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4400" windowHeight="11730"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76号规划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酒店模型" sheetId="68" state="hidden" r:id="rId31"/>
    <sheet name="成本逼近法" sheetId="11" state="hidden" r:id="rId32"/>
    <sheet name="不动产比较法-住宅" sheetId="21" r:id="rId33"/>
    <sheet name="不动产比较法-商业" sheetId="33" r:id="rId34"/>
    <sheet name="不动产比较法-办公" sheetId="34" state="hidden" r:id="rId35"/>
    <sheet name="不动产比较法-工业" sheetId="37" state="hidden" r:id="rId36"/>
    <sheet name="典型户型修正" sheetId="31" r:id="rId37"/>
    <sheet name="不动产比较法-公寓" sheetId="73" r:id="rId38"/>
    <sheet name="不动产比较法-车位" sheetId="35" state="hidden" r:id="rId39"/>
    <sheet name="不动产比较法-仓储" sheetId="36" state="hidden" r:id="rId40"/>
    <sheet name="存贷款利率" sheetId="65" state="hidden" r:id="rId41"/>
    <sheet name="不动产收益法" sheetId="15" r:id="rId42"/>
    <sheet name="土地案例" sheetId="70" r:id="rId43"/>
    <sheet name="住宅案例" sheetId="71" r:id="rId44"/>
    <sheet name="商业案例" sheetId="72" r:id="rId45"/>
    <sheet name="Sheet4" sheetId="74" r:id="rId46"/>
  </sheets>
  <externalReferences>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5" hidden="1">'不动产比较法-工业'!$A$1:$L$43</definedName>
    <definedName name="_xlnm._FilterDatabase" localSheetId="37" hidden="1">'不动产比较法-公寓'!$A$1:$L$49</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4">'不动产比较法-办公'!$A$1:$K$55,'不动产比较法-办公'!$A$58:$M$132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5">'不动产比较法-工业'!$A$1:$K$48,'不动产比较法-工业'!$A$51:$M$113</definedName>
    <definedName name="_xlnm.Print_Area" localSheetId="37">'不动产比较法-公寓'!$A$57:$M$131</definedName>
    <definedName name="_xlnm.Print_Area" localSheetId="33">'不动产比较法-商业'!$A$1:$K$54,'不动产比较法-商业'!$A$57:$M$131</definedName>
    <definedName name="_xlnm.Print_Area" localSheetId="32">'不动产比较法-住宅'!$A$57:$M$131</definedName>
    <definedName name="_xlnm.Print_Area" localSheetId="41">不动产收益法!$A$1:$F$43,不动产收益法!$H$3:$M$29,不动产收益法!$A$46:$F$70,不动产收益法!$I$46:$M$60</definedName>
    <definedName name="_xlnm.Print_Area" localSheetId="31">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结果表!$A$1:$I$46,结果表!$A$62:$I$115,结果表!$K$64:$P$81</definedName>
    <definedName name="_xlnm.Print_Area" localSheetId="19">'剩余法-待开发'!$A$1:$K$36</definedName>
    <definedName name="_xlnm.Print_Area" localSheetId="20">'剩余法-现房'!$A$1:$K$27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7">'不动产比较法-公寓'!$B$88:$M$88</definedName>
    <definedName name="住宅朝向">'不动产比较法-住宅'!$B$88:$M$88</definedName>
    <definedName name="住宅房型" localSheetId="37">'不动产比较法-公寓'!$B$118:$M$118</definedName>
    <definedName name="住宅房型">'不动产比较法-住宅'!$B$118:$M$118</definedName>
    <definedName name="住宅公共部分装修" localSheetId="37">'不动产比较法-公寓'!$B$109:$M$109</definedName>
    <definedName name="住宅公共部分装修">'不动产比较法-住宅'!$B$109:$M$109</definedName>
    <definedName name="住宅基础设施水平" localSheetId="37">'不动产比较法-公寓'!$B$116:$M$116</definedName>
    <definedName name="住宅基础设施水平">'不动产比较法-住宅'!$B$116:$M$116</definedName>
    <definedName name="住宅建筑结构" localSheetId="37">'不动产比较法-公寓'!$B$105:$M$105</definedName>
    <definedName name="住宅建筑结构">'不动产比较法-住宅'!$B$105:$M$105</definedName>
    <definedName name="住宅建筑类型" localSheetId="37">'不动产比较法-公寓'!$B$100:$M$100</definedName>
    <definedName name="住宅建筑类型">'不动产比较法-住宅'!$B$100:$M$100</definedName>
    <definedName name="住宅建筑品质" localSheetId="37">'不动产比较法-公寓'!$B$107:$M$107</definedName>
    <definedName name="住宅建筑品质">'不动产比较法-住宅'!$B$107:$M$107</definedName>
    <definedName name="住宅交易情况" localSheetId="37">'不动产比较法-公寓'!$A$61:$M$61</definedName>
    <definedName name="住宅交易情况">'不动产比较法-住宅'!$A$61:$M$61</definedName>
    <definedName name="住宅楼层" localSheetId="37">'不动产比较法-公寓'!$B$86:$M$86</definedName>
    <definedName name="住宅楼层">'不动产比较法-住宅'!$B$86:$M$86</definedName>
    <definedName name="住宅内部装修" localSheetId="37">'不动产比较法-公寓'!$B$122:$M$122</definedName>
    <definedName name="住宅内部装修">'不动产比较法-住宅'!$B$122:$M$122</definedName>
    <definedName name="住宅物业管理" localSheetId="37">'不动产比较法-公寓'!$B$114:$M$114</definedName>
    <definedName name="住宅物业管理">'不动产比较法-住宅'!$B$114:$M$114</definedName>
    <definedName name="住宅用途" localSheetId="37">'不动产比较法-公寓'!$B$63:$M$63</definedName>
    <definedName name="住宅用途">'不动产比较法-住宅'!$B$63:$M$63</definedName>
    <definedName name="住宅主力户型面积" localSheetId="37">'不动产比较法-公寓'!$B$120:$M$120</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E24" i="69" l="1"/>
  <c r="I7" i="73" l="1"/>
  <c r="G7" i="73"/>
  <c r="I7" i="33"/>
  <c r="G7" i="33"/>
  <c r="I7" i="21"/>
  <c r="G7" i="21"/>
  <c r="I47" i="73" l="1"/>
  <c r="G47" i="73"/>
  <c r="E47" i="73"/>
  <c r="R47" i="73" s="1"/>
  <c r="I33" i="73"/>
  <c r="G33" i="73"/>
  <c r="E33" i="73"/>
  <c r="I5" i="73"/>
  <c r="G5" i="73"/>
  <c r="E5" i="73"/>
  <c r="C145" i="73"/>
  <c r="K143" i="73"/>
  <c r="J142" i="73"/>
  <c r="J140" i="73"/>
  <c r="K145" i="73" s="1"/>
  <c r="K139" i="73"/>
  <c r="K141" i="73" s="1"/>
  <c r="B130" i="73"/>
  <c r="B128" i="73"/>
  <c r="B126" i="73"/>
  <c r="D125" i="73"/>
  <c r="E125" i="73" s="1"/>
  <c r="F125" i="73" s="1"/>
  <c r="G125" i="73" s="1"/>
  <c r="E123" i="73"/>
  <c r="F123" i="73" s="1"/>
  <c r="D123" i="73"/>
  <c r="K119" i="73"/>
  <c r="L119" i="73" s="1"/>
  <c r="M119" i="73" s="1"/>
  <c r="G119" i="73"/>
  <c r="H119" i="73" s="1"/>
  <c r="I119" i="73" s="1"/>
  <c r="J119" i="73" s="1"/>
  <c r="D119" i="73"/>
  <c r="E119" i="73" s="1"/>
  <c r="F119" i="73" s="1"/>
  <c r="D117" i="73"/>
  <c r="E117" i="73" s="1"/>
  <c r="F117" i="73" s="1"/>
  <c r="G117" i="73" s="1"/>
  <c r="E115" i="73"/>
  <c r="F115" i="73" s="1"/>
  <c r="G115" i="73" s="1"/>
  <c r="H115" i="73" s="1"/>
  <c r="I115" i="73" s="1"/>
  <c r="J115" i="73" s="1"/>
  <c r="K115" i="73" s="1"/>
  <c r="L115" i="73" s="1"/>
  <c r="M115" i="73" s="1"/>
  <c r="D115" i="73"/>
  <c r="F113" i="73"/>
  <c r="G113" i="73" s="1"/>
  <c r="E113" i="73"/>
  <c r="D113" i="73"/>
  <c r="H111" i="73"/>
  <c r="G111" i="73"/>
  <c r="F111" i="73"/>
  <c r="E111" i="73"/>
  <c r="D111" i="73"/>
  <c r="C111" i="73"/>
  <c r="F110" i="73"/>
  <c r="G110" i="73" s="1"/>
  <c r="H110" i="73" s="1"/>
  <c r="I110" i="73" s="1"/>
  <c r="J110" i="73" s="1"/>
  <c r="K110" i="73" s="1"/>
  <c r="L110" i="73" s="1"/>
  <c r="M110" i="73" s="1"/>
  <c r="E110" i="73"/>
  <c r="D110" i="73"/>
  <c r="D108" i="73"/>
  <c r="E108" i="73" s="1"/>
  <c r="F108" i="73" s="1"/>
  <c r="G108" i="73" s="1"/>
  <c r="H108" i="73" s="1"/>
  <c r="I108" i="73" s="1"/>
  <c r="J108" i="73" s="1"/>
  <c r="K108" i="73" s="1"/>
  <c r="L108" i="73" s="1"/>
  <c r="M108" i="73" s="1"/>
  <c r="J106" i="73"/>
  <c r="K106" i="73" s="1"/>
  <c r="L106" i="73" s="1"/>
  <c r="M106" i="73" s="1"/>
  <c r="F106" i="73"/>
  <c r="G106" i="73" s="1"/>
  <c r="H106" i="73" s="1"/>
  <c r="I106" i="73" s="1"/>
  <c r="E106" i="73"/>
  <c r="D106" i="73"/>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J89" i="73"/>
  <c r="K89" i="73" s="1"/>
  <c r="L89" i="73" s="1"/>
  <c r="M89" i="73" s="1"/>
  <c r="F89" i="73"/>
  <c r="G89" i="73" s="1"/>
  <c r="H89" i="73" s="1"/>
  <c r="I89" i="73" s="1"/>
  <c r="E89" i="73"/>
  <c r="D89" i="73"/>
  <c r="M87" i="73"/>
  <c r="L87" i="73"/>
  <c r="K87" i="73"/>
  <c r="J87" i="73"/>
  <c r="I87" i="73"/>
  <c r="H87" i="73"/>
  <c r="G87" i="73"/>
  <c r="F87" i="73"/>
  <c r="E87" i="73"/>
  <c r="D87" i="73"/>
  <c r="D85" i="73"/>
  <c r="D83" i="73"/>
  <c r="E83" i="73" s="1"/>
  <c r="F83" i="73" s="1"/>
  <c r="G83" i="73" s="1"/>
  <c r="D81" i="73"/>
  <c r="E81" i="73" s="1"/>
  <c r="F81" i="73" s="1"/>
  <c r="G81" i="73" s="1"/>
  <c r="D79" i="73"/>
  <c r="E79" i="73" s="1"/>
  <c r="F79" i="73" s="1"/>
  <c r="G79" i="73" s="1"/>
  <c r="D77" i="73"/>
  <c r="E77" i="73" s="1"/>
  <c r="F77" i="73" s="1"/>
  <c r="G77" i="73" s="1"/>
  <c r="B74" i="73"/>
  <c r="B72" i="73"/>
  <c r="B70" i="73"/>
  <c r="E69" i="73"/>
  <c r="F69" i="73" s="1"/>
  <c r="G69" i="73" s="1"/>
  <c r="H69" i="73" s="1"/>
  <c r="I69" i="73" s="1"/>
  <c r="J69" i="73" s="1"/>
  <c r="K69" i="73" s="1"/>
  <c r="L69" i="73" s="1"/>
  <c r="M69" i="73" s="1"/>
  <c r="D69" i="73"/>
  <c r="M67" i="73"/>
  <c r="L67" i="73"/>
  <c r="K67" i="73"/>
  <c r="J67" i="73"/>
  <c r="I67" i="73"/>
  <c r="H67" i="73"/>
  <c r="G67" i="73"/>
  <c r="F67" i="73"/>
  <c r="E67" i="73"/>
  <c r="D67" i="73"/>
  <c r="C67" i="73"/>
  <c r="F66" i="73"/>
  <c r="G66" i="73" s="1"/>
  <c r="H66" i="73" s="1"/>
  <c r="I66" i="73" s="1"/>
  <c r="E66" i="73"/>
  <c r="D66" i="73"/>
  <c r="C63" i="73"/>
  <c r="P49" i="73"/>
  <c r="P48" i="73"/>
  <c r="K48" i="73"/>
  <c r="P47" i="73"/>
  <c r="T47" i="73"/>
  <c r="Q46" i="73"/>
  <c r="Z46" i="73" s="1"/>
  <c r="J46" i="73"/>
  <c r="AC46" i="73" s="1"/>
  <c r="H46" i="73"/>
  <c r="AB46" i="73" s="1"/>
  <c r="F46" i="73"/>
  <c r="AA46" i="73" s="1"/>
  <c r="Z45" i="73"/>
  <c r="Q45" i="73"/>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F42" i="73"/>
  <c r="AA42" i="73" s="1"/>
  <c r="Z41" i="73"/>
  <c r="Q41" i="73"/>
  <c r="J41" i="73"/>
  <c r="AC41" i="73" s="1"/>
  <c r="H41" i="73"/>
  <c r="AB41" i="73" s="1"/>
  <c r="F41" i="73"/>
  <c r="AA41" i="73" s="1"/>
  <c r="W40" i="73"/>
  <c r="Q40" i="73"/>
  <c r="Z40" i="73" s="1"/>
  <c r="J40" i="73"/>
  <c r="AC40" i="73" s="1"/>
  <c r="H40" i="73"/>
  <c r="AB40" i="73" s="1"/>
  <c r="F40" i="73"/>
  <c r="AA40" i="73" s="1"/>
  <c r="Q39" i="73"/>
  <c r="Z39" i="73" s="1"/>
  <c r="J39" i="73"/>
  <c r="AC39" i="73" s="1"/>
  <c r="H39" i="73"/>
  <c r="U39" i="73" s="1"/>
  <c r="F39" i="73"/>
  <c r="AA39" i="73" s="1"/>
  <c r="Q38" i="73"/>
  <c r="Z38" i="73" s="1"/>
  <c r="J38" i="73"/>
  <c r="AC38" i="73" s="1"/>
  <c r="H38" i="73"/>
  <c r="AB38" i="73" s="1"/>
  <c r="F38" i="73"/>
  <c r="S38" i="73" s="1"/>
  <c r="Z37" i="73"/>
  <c r="Q37" i="73"/>
  <c r="W36" i="73"/>
  <c r="Q36" i="73"/>
  <c r="Z36" i="73" s="1"/>
  <c r="J36" i="73"/>
  <c r="AC36" i="73" s="1"/>
  <c r="H36" i="73"/>
  <c r="AB36" i="73" s="1"/>
  <c r="F36" i="73"/>
  <c r="AA36" i="73" s="1"/>
  <c r="AB35" i="73"/>
  <c r="Q35" i="73"/>
  <c r="Z35" i="73" s="1"/>
  <c r="J35" i="73"/>
  <c r="AC35" i="73" s="1"/>
  <c r="H35" i="73"/>
  <c r="U35" i="73" s="1"/>
  <c r="F35" i="73"/>
  <c r="AA35" i="73" s="1"/>
  <c r="Q34" i="73"/>
  <c r="Z34" i="73" s="1"/>
  <c r="J34" i="73"/>
  <c r="AC34" i="73" s="1"/>
  <c r="H34" i="73"/>
  <c r="U34" i="73" s="1"/>
  <c r="F34" i="73"/>
  <c r="AA34" i="73" s="1"/>
  <c r="Z33" i="73"/>
  <c r="Q33" i="73"/>
  <c r="J33" i="73"/>
  <c r="AC33" i="73" s="1"/>
  <c r="F33" i="73"/>
  <c r="S33" i="73" s="1"/>
  <c r="C33" i="73"/>
  <c r="H33" i="73" s="1"/>
  <c r="Q32" i="73"/>
  <c r="Z32" i="73" s="1"/>
  <c r="J32" i="73"/>
  <c r="W32" i="73" s="1"/>
  <c r="H32" i="73"/>
  <c r="U32" i="73" s="1"/>
  <c r="F32" i="73"/>
  <c r="AA32" i="73" s="1"/>
  <c r="AC31" i="73"/>
  <c r="Q31" i="73"/>
  <c r="Z31" i="73" s="1"/>
  <c r="J31" i="73"/>
  <c r="W31" i="73" s="1"/>
  <c r="H31" i="73"/>
  <c r="U31" i="73" s="1"/>
  <c r="F31" i="73"/>
  <c r="AA31" i="73" s="1"/>
  <c r="Z30" i="73"/>
  <c r="Q30" i="73"/>
  <c r="J30" i="73"/>
  <c r="AC30" i="73" s="1"/>
  <c r="H30" i="73"/>
  <c r="AB30" i="73" s="1"/>
  <c r="F30" i="73"/>
  <c r="S30" i="73" s="1"/>
  <c r="AA29" i="73"/>
  <c r="Q29" i="73"/>
  <c r="Z29" i="73" s="1"/>
  <c r="J29" i="73"/>
  <c r="W29" i="73" s="1"/>
  <c r="H29" i="73"/>
  <c r="AB29" i="73" s="1"/>
  <c r="F29" i="73"/>
  <c r="S29" i="73" s="1"/>
  <c r="AC28" i="73"/>
  <c r="AB28" i="73"/>
  <c r="U28" i="73"/>
  <c r="Q28" i="73"/>
  <c r="Z28" i="73" s="1"/>
  <c r="J28" i="73"/>
  <c r="W28" i="73" s="1"/>
  <c r="H28" i="73"/>
  <c r="F28" i="73"/>
  <c r="AA28" i="73" s="1"/>
  <c r="Q27" i="73"/>
  <c r="Z27" i="73" s="1"/>
  <c r="J27" i="73"/>
  <c r="W27" i="73" s="1"/>
  <c r="H27" i="73"/>
  <c r="AB27" i="73" s="1"/>
  <c r="F27" i="73"/>
  <c r="S27" i="73" s="1"/>
  <c r="AA26" i="73"/>
  <c r="Q26" i="73"/>
  <c r="Z26" i="73" s="1"/>
  <c r="J26" i="73"/>
  <c r="AC26" i="73" s="1"/>
  <c r="H26" i="73"/>
  <c r="U26" i="73" s="1"/>
  <c r="F26" i="73"/>
  <c r="S26" i="73" s="1"/>
  <c r="AC25" i="73"/>
  <c r="Q25" i="73"/>
  <c r="Z25" i="73" s="1"/>
  <c r="J25" i="73"/>
  <c r="W25" i="73" s="1"/>
  <c r="H25" i="73"/>
  <c r="AB25" i="73" s="1"/>
  <c r="F25" i="73"/>
  <c r="S25" i="73" s="1"/>
  <c r="AC23" i="73"/>
  <c r="W23" i="73"/>
  <c r="Q23" i="73"/>
  <c r="Z23" i="73" s="1"/>
  <c r="J23" i="73"/>
  <c r="H23" i="73"/>
  <c r="AB23" i="73" s="1"/>
  <c r="C23" i="73"/>
  <c r="Q21" i="73"/>
  <c r="Z21" i="73" s="1"/>
  <c r="J21" i="73"/>
  <c r="AC21" i="73" s="1"/>
  <c r="H21" i="73"/>
  <c r="U21" i="73" s="1"/>
  <c r="F21" i="73"/>
  <c r="AA21" i="73" s="1"/>
  <c r="C21" i="73"/>
  <c r="Q19" i="73"/>
  <c r="Z19" i="73" s="1"/>
  <c r="C19" i="73"/>
  <c r="Q17" i="73"/>
  <c r="Z17" i="73" s="1"/>
  <c r="J17" i="73"/>
  <c r="AC17" i="73" s="1"/>
  <c r="H17" i="73"/>
  <c r="AB17" i="73" s="1"/>
  <c r="F17" i="73"/>
  <c r="AA17" i="73" s="1"/>
  <c r="C17" i="73"/>
  <c r="Q15" i="73"/>
  <c r="Z15" i="73" s="1"/>
  <c r="J15" i="73"/>
  <c r="AC15" i="73" s="1"/>
  <c r="H15" i="73"/>
  <c r="AB15" i="73" s="1"/>
  <c r="F15" i="73"/>
  <c r="AA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C11" i="73"/>
  <c r="Q10" i="73"/>
  <c r="Z10" i="73" s="1"/>
  <c r="J10" i="73"/>
  <c r="AC10" i="73" s="1"/>
  <c r="H10" i="73"/>
  <c r="AB10" i="73" s="1"/>
  <c r="F10" i="73"/>
  <c r="AA10" i="73" s="1"/>
  <c r="Q9" i="73"/>
  <c r="Z9" i="73" s="1"/>
  <c r="J9" i="73"/>
  <c r="AC9" i="73" s="1"/>
  <c r="H9" i="73"/>
  <c r="AB9" i="73" s="1"/>
  <c r="F9" i="73"/>
  <c r="AA9" i="73" s="1"/>
  <c r="AB8" i="73"/>
  <c r="AA8" i="73"/>
  <c r="S8" i="73"/>
  <c r="J8" i="73"/>
  <c r="W8" i="73" s="1"/>
  <c r="H8" i="73"/>
  <c r="U8" i="73" s="1"/>
  <c r="F8" i="73"/>
  <c r="D3" i="73"/>
  <c r="B25" i="31"/>
  <c r="B24" i="31"/>
  <c r="I33" i="33"/>
  <c r="G33" i="33"/>
  <c r="E33" i="33"/>
  <c r="C33" i="33"/>
  <c r="C11" i="33"/>
  <c r="I5" i="33"/>
  <c r="G5" i="33"/>
  <c r="E5" i="33"/>
  <c r="I47" i="21"/>
  <c r="G47" i="21"/>
  <c r="E47" i="21"/>
  <c r="I33" i="21"/>
  <c r="G33" i="21"/>
  <c r="E33" i="21"/>
  <c r="C33" i="21"/>
  <c r="I11" i="21"/>
  <c r="G11" i="21"/>
  <c r="E11" i="21"/>
  <c r="C11" i="21"/>
  <c r="I54" i="73" l="1"/>
  <c r="J54" i="73" s="1"/>
  <c r="AB32" i="73"/>
  <c r="AB33" i="73"/>
  <c r="U33" i="73"/>
  <c r="J11" i="73"/>
  <c r="W10" i="73"/>
  <c r="S12" i="73"/>
  <c r="U13" i="73"/>
  <c r="W14" i="73"/>
  <c r="W15" i="73"/>
  <c r="W17" i="73"/>
  <c r="J19" i="73"/>
  <c r="W21" i="73"/>
  <c r="U23" i="73"/>
  <c r="AA25" i="73"/>
  <c r="U27" i="73"/>
  <c r="AC27" i="73"/>
  <c r="U30" i="73"/>
  <c r="S31" i="73"/>
  <c r="AB31" i="73"/>
  <c r="W33" i="73"/>
  <c r="S34" i="73"/>
  <c r="AB34" i="73"/>
  <c r="AB39" i="73"/>
  <c r="U43" i="73"/>
  <c r="G54" i="73"/>
  <c r="H54" i="73" s="1"/>
  <c r="J37" i="73"/>
  <c r="H113" i="73"/>
  <c r="H37" i="73"/>
  <c r="F37" i="73"/>
  <c r="W9" i="73"/>
  <c r="H11" i="73"/>
  <c r="S46" i="73"/>
  <c r="AC8" i="73"/>
  <c r="S10" i="73"/>
  <c r="W12" i="73"/>
  <c r="S14" i="73"/>
  <c r="S15" i="73"/>
  <c r="S17" i="73"/>
  <c r="F19" i="73"/>
  <c r="S21" i="73"/>
  <c r="AB21" i="73"/>
  <c r="AB26" i="73"/>
  <c r="AA27" i="73"/>
  <c r="AC29" i="73"/>
  <c r="AA30" i="73"/>
  <c r="AC32" i="73"/>
  <c r="AA33" i="73"/>
  <c r="AA38" i="73"/>
  <c r="S42" i="73"/>
  <c r="W44" i="73"/>
  <c r="U9" i="73"/>
  <c r="U12" i="73"/>
  <c r="W13" i="73"/>
  <c r="S35" i="73"/>
  <c r="S9" i="73"/>
  <c r="U10" i="73"/>
  <c r="F11" i="73"/>
  <c r="S13" i="73"/>
  <c r="U14" i="73"/>
  <c r="U15" i="73"/>
  <c r="U17" i="73"/>
  <c r="H19" i="73"/>
  <c r="F23" i="73"/>
  <c r="E85" i="73"/>
  <c r="F85" i="73" s="1"/>
  <c r="G85" i="73" s="1"/>
  <c r="G123" i="73"/>
  <c r="H123" i="73" s="1"/>
  <c r="I123" i="73" s="1"/>
  <c r="J123" i="73" s="1"/>
  <c r="K123" i="73" s="1"/>
  <c r="L123" i="73" s="1"/>
  <c r="M123" i="73" s="1"/>
  <c r="J42" i="73"/>
  <c r="H42" i="73"/>
  <c r="W35" i="73"/>
  <c r="U38" i="73"/>
  <c r="W39" i="73"/>
  <c r="S41" i="73"/>
  <c r="W43" i="73"/>
  <c r="S45" i="73"/>
  <c r="U46" i="73"/>
  <c r="V47" i="73"/>
  <c r="K144" i="73"/>
  <c r="U25" i="73"/>
  <c r="W26" i="73"/>
  <c r="S28" i="73"/>
  <c r="U29" i="73"/>
  <c r="W30" i="73"/>
  <c r="S32" i="73"/>
  <c r="W34" i="73"/>
  <c r="S36" i="73"/>
  <c r="W38" i="73"/>
  <c r="S40" i="73"/>
  <c r="U41" i="73"/>
  <c r="S44" i="73"/>
  <c r="U45" i="73"/>
  <c r="W46" i="73"/>
  <c r="E54" i="73"/>
  <c r="F54" i="73" s="1"/>
  <c r="U36" i="73"/>
  <c r="S39" i="73"/>
  <c r="U40" i="73"/>
  <c r="W41" i="73"/>
  <c r="S43" i="73"/>
  <c r="U44" i="73"/>
  <c r="W45" i="73"/>
  <c r="E40" i="39"/>
  <c r="E9" i="39"/>
  <c r="E7" i="39"/>
  <c r="C40" i="39"/>
  <c r="C13" i="39"/>
  <c r="I40" i="39"/>
  <c r="I9" i="39"/>
  <c r="I7" i="39"/>
  <c r="G40" i="39"/>
  <c r="G9" i="39"/>
  <c r="G7" i="39"/>
  <c r="AB42" i="73" l="1"/>
  <c r="U42" i="73"/>
  <c r="AA23" i="73"/>
  <c r="S23" i="73"/>
  <c r="AA19" i="73"/>
  <c r="S19" i="73"/>
  <c r="AB11" i="73"/>
  <c r="U11" i="73"/>
  <c r="AC19" i="73"/>
  <c r="W19" i="73"/>
  <c r="AC42" i="73"/>
  <c r="W42" i="73"/>
  <c r="AB19" i="73"/>
  <c r="U19" i="73"/>
  <c r="AC37" i="73"/>
  <c r="W37" i="73"/>
  <c r="AA11" i="73"/>
  <c r="S11" i="73"/>
  <c r="AA37" i="73"/>
  <c r="S37" i="73"/>
  <c r="AB37" i="73"/>
  <c r="U37" i="73"/>
  <c r="AC11" i="73"/>
  <c r="W11" i="73"/>
  <c r="G22" i="6"/>
  <c r="F21" i="6"/>
  <c r="F20" i="6"/>
  <c r="F19" i="6"/>
  <c r="AN13" i="3"/>
  <c r="AL13" i="3"/>
  <c r="AH13" i="3"/>
  <c r="AD13" i="3"/>
  <c r="O13" i="3"/>
  <c r="M13" i="3"/>
  <c r="K13" i="3"/>
  <c r="I13" i="3"/>
  <c r="A3" i="3"/>
  <c r="E28" i="69"/>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AB24" i="59" s="1"/>
  <c r="P24" i="59"/>
  <c r="O24" i="59"/>
  <c r="N24" i="59"/>
  <c r="M19" i="46"/>
  <c r="J50" i="15"/>
  <c r="D26" i="59"/>
  <c r="AH24" i="59"/>
  <c r="AG24" i="59"/>
  <c r="AE24" i="59"/>
  <c r="AF24" i="59" s="1"/>
  <c r="AD24" i="59"/>
  <c r="AE25" i="59"/>
  <c r="AF25" i="59" s="1"/>
  <c r="AG25" i="59"/>
  <c r="AH25" i="59"/>
  <c r="AD25" i="59"/>
  <c r="Q25" i="59"/>
  <c r="P25" i="59"/>
  <c r="O25" i="59"/>
  <c r="N25" i="59"/>
  <c r="N26" i="59"/>
  <c r="Q26" i="59"/>
  <c r="P26" i="59"/>
  <c r="O26" i="59"/>
  <c r="K59" i="15"/>
  <c r="P75" i="15" s="1"/>
  <c r="Q74" i="44"/>
  <c r="Q61" i="44"/>
  <c r="Q60" i="44"/>
  <c r="Q53" i="44"/>
  <c r="J51" i="44"/>
  <c r="J52" i="44" s="1"/>
  <c r="M48" i="44"/>
  <c r="A16" i="55"/>
  <c r="A15" i="55"/>
  <c r="B66" i="63" s="1"/>
  <c r="A10" i="55"/>
  <c r="B61" i="63" s="1"/>
  <c r="A9" i="55"/>
  <c r="B60" i="63" s="1"/>
  <c r="A8" i="55"/>
  <c r="A6" i="54"/>
  <c r="B49" i="63" s="1"/>
  <c r="A8" i="54"/>
  <c r="B53" i="63" s="1"/>
  <c r="A7" i="54"/>
  <c r="B51" i="63" s="1"/>
  <c r="A27" i="51"/>
  <c r="B20" i="63"/>
  <c r="Q27" i="59"/>
  <c r="O27" i="59"/>
  <c r="N28" i="59"/>
  <c r="O28" i="59"/>
  <c r="P28" i="59"/>
  <c r="Q28" i="59"/>
  <c r="N27" i="59"/>
  <c r="P27" i="59"/>
  <c r="K75" i="9"/>
  <c r="K6" i="4"/>
  <c r="L76" i="9" s="1"/>
  <c r="O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S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AB32" i="59"/>
  <c r="S2" i="31"/>
  <c r="M2" i="31"/>
  <c r="N2" i="31"/>
  <c r="O2" i="31"/>
  <c r="P2" i="31"/>
  <c r="Q2" i="31"/>
  <c r="R2" i="31"/>
  <c r="C25" i="59"/>
  <c r="C24" i="59"/>
  <c r="C3" i="65"/>
  <c r="C1" i="65"/>
  <c r="N1" i="65" s="1"/>
  <c r="T25" i="59"/>
  <c r="D25" i="59"/>
  <c r="B76" i="63"/>
  <c r="M5" i="54"/>
  <c r="A23" i="51"/>
  <c r="Y12" i="46"/>
  <c r="AA9" i="46"/>
  <c r="AA10" i="46" s="1"/>
  <c r="AB9" i="46"/>
  <c r="AB10" i="46" s="1"/>
  <c r="AC9" i="46"/>
  <c r="AC10" i="46" s="1"/>
  <c r="AD9" i="46"/>
  <c r="AD10" i="46" s="1"/>
  <c r="AE9" i="46"/>
  <c r="AF9" i="46"/>
  <c r="AF10" i="46" s="1"/>
  <c r="AG9" i="46"/>
  <c r="AG10" i="46" s="1"/>
  <c r="AH9" i="46"/>
  <c r="AH10" i="46"/>
  <c r="AI9" i="46"/>
  <c r="AI10" i="46" s="1"/>
  <c r="AJ9" i="46"/>
  <c r="AJ10" i="46" s="1"/>
  <c r="Z9" i="46"/>
  <c r="Z10" i="46" s="1"/>
  <c r="AE10" i="46"/>
  <c r="Y10" i="46"/>
  <c r="Z12" i="46"/>
  <c r="AI12" i="46"/>
  <c r="AG12" i="46"/>
  <c r="AE12" i="46"/>
  <c r="AC12" i="46"/>
  <c r="AA12" i="46"/>
  <c r="B73" i="63"/>
  <c r="A21" i="64"/>
  <c r="B75" i="63" s="1"/>
  <c r="A27" i="64"/>
  <c r="A15" i="64"/>
  <c r="A14" i="64"/>
  <c r="A11" i="64"/>
  <c r="A3" i="64"/>
  <c r="A45" i="9"/>
  <c r="A44" i="9"/>
  <c r="K39" i="9" s="1"/>
  <c r="C57" i="10"/>
  <c r="C56" i="10"/>
  <c r="C55" i="10"/>
  <c r="C54" i="10"/>
  <c r="B44" i="63"/>
  <c r="B40" i="63"/>
  <c r="B30" i="63"/>
  <c r="B27" i="63"/>
  <c r="B25" i="63"/>
  <c r="A11" i="51"/>
  <c r="B10" i="63" s="1"/>
  <c r="A26" i="64"/>
  <c r="A26" i="51"/>
  <c r="B19" i="63" s="1"/>
  <c r="K40" i="9"/>
  <c r="B58" i="63"/>
  <c r="A46" i="9"/>
  <c r="K41" i="9"/>
  <c r="B8" i="63"/>
  <c r="A21" i="55"/>
  <c r="B71" i="63" s="1"/>
  <c r="A20" i="55"/>
  <c r="B69" i="63" s="1"/>
  <c r="B26" i="63"/>
  <c r="B28" i="63"/>
  <c r="B29" i="63"/>
  <c r="B31" i="63"/>
  <c r="B33" i="63"/>
  <c r="B35" i="63"/>
  <c r="B36" i="63"/>
  <c r="B37" i="63"/>
  <c r="B63" i="63"/>
  <c r="B64" i="63"/>
  <c r="B68" i="63"/>
  <c r="D51" i="10"/>
  <c r="B59" i="63"/>
  <c r="B51" i="10"/>
  <c r="B17" i="63"/>
  <c r="A15" i="51"/>
  <c r="B12" i="63" s="1"/>
  <c r="A14" i="51"/>
  <c r="B11" i="63"/>
  <c r="A4" i="55"/>
  <c r="B57" i="63" s="1"/>
  <c r="B41" i="63"/>
  <c r="G5" i="54"/>
  <c r="B34" i="63" s="1"/>
  <c r="E5" i="54"/>
  <c r="B32" i="63"/>
  <c r="R2" i="54"/>
  <c r="B24" i="63" s="1"/>
  <c r="B49" i="50"/>
  <c r="B5" i="63"/>
  <c r="B40" i="50"/>
  <c r="B3" i="63" s="1"/>
  <c r="B67" i="63"/>
  <c r="I19" i="46"/>
  <c r="Q29" i="59"/>
  <c r="F29" i="59" s="1"/>
  <c r="P29" i="59"/>
  <c r="E29" i="59" s="1"/>
  <c r="O29" i="59"/>
  <c r="N29" i="59"/>
  <c r="D90" i="59"/>
  <c r="F89" i="59"/>
  <c r="F88" i="59" s="1"/>
  <c r="E89" i="59"/>
  <c r="E88" i="59"/>
  <c r="E87" i="59" s="1"/>
  <c r="C89" i="59"/>
  <c r="D89" i="59"/>
  <c r="B89" i="59"/>
  <c r="B88" i="59" s="1"/>
  <c r="B87" i="59" s="1"/>
  <c r="F87" i="59"/>
  <c r="D86" i="59"/>
  <c r="F85" i="59"/>
  <c r="F84" i="59" s="1"/>
  <c r="F83" i="59" s="1"/>
  <c r="E85" i="59"/>
  <c r="E84" i="59"/>
  <c r="E83" i="59" s="1"/>
  <c r="C85" i="59"/>
  <c r="D85" i="59"/>
  <c r="B85" i="59"/>
  <c r="B84" i="59" s="1"/>
  <c r="B83" i="59"/>
  <c r="D82" i="59"/>
  <c r="Q81" i="59"/>
  <c r="P81" i="59"/>
  <c r="O81" i="59"/>
  <c r="N81" i="59"/>
  <c r="F81" i="59"/>
  <c r="V81" i="59" s="1"/>
  <c r="E81" i="59"/>
  <c r="U81" i="59" s="1"/>
  <c r="C81" i="59"/>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c r="C77" i="59"/>
  <c r="B77" i="59"/>
  <c r="S77" i="59"/>
  <c r="Q76" i="59"/>
  <c r="P76" i="59"/>
  <c r="O76" i="59"/>
  <c r="N76" i="59"/>
  <c r="B76" i="59"/>
  <c r="B75" i="59"/>
  <c r="Q75" i="59"/>
  <c r="P75" i="59"/>
  <c r="O75" i="59"/>
  <c r="N75" i="59"/>
  <c r="Q74" i="59"/>
  <c r="P74" i="59"/>
  <c r="O74" i="59"/>
  <c r="N74" i="59"/>
  <c r="D74" i="59"/>
  <c r="Q73" i="59"/>
  <c r="P73" i="59"/>
  <c r="O73" i="59"/>
  <c r="N73" i="59"/>
  <c r="F73" i="59"/>
  <c r="V73" i="59" s="1"/>
  <c r="E73" i="59"/>
  <c r="U73" i="59" s="1"/>
  <c r="C73" i="59"/>
  <c r="B73" i="59"/>
  <c r="S73" i="59"/>
  <c r="Q72" i="59"/>
  <c r="P72" i="59"/>
  <c r="O72" i="59"/>
  <c r="N72" i="59"/>
  <c r="F72" i="59"/>
  <c r="F71" i="59" s="1"/>
  <c r="B72" i="59"/>
  <c r="B71" i="59" s="1"/>
  <c r="Q71" i="59"/>
  <c r="P71" i="59"/>
  <c r="O71" i="59"/>
  <c r="N71" i="59"/>
  <c r="Q70" i="59"/>
  <c r="P70" i="59"/>
  <c r="O70" i="59"/>
  <c r="N70" i="59"/>
  <c r="D70" i="59"/>
  <c r="F69" i="59"/>
  <c r="V69" i="59"/>
  <c r="E69" i="59"/>
  <c r="E68" i="59"/>
  <c r="P68" i="59" s="1"/>
  <c r="C69" i="59"/>
  <c r="B69" i="59"/>
  <c r="F68" i="59"/>
  <c r="F67" i="59"/>
  <c r="Q66" i="59" s="1"/>
  <c r="Q67" i="59"/>
  <c r="D66" i="59"/>
  <c r="Q65" i="59"/>
  <c r="P65" i="59"/>
  <c r="O65" i="59"/>
  <c r="N65" i="59"/>
  <c r="Q64" i="59"/>
  <c r="P64" i="59"/>
  <c r="O64" i="59"/>
  <c r="N64" i="59"/>
  <c r="Q63" i="59"/>
  <c r="P63" i="59"/>
  <c r="O63" i="59"/>
  <c r="N63" i="59"/>
  <c r="Q62" i="59"/>
  <c r="F63" i="59"/>
  <c r="F64" i="59" s="1"/>
  <c r="F65" i="59" s="1"/>
  <c r="P62" i="59"/>
  <c r="E63" i="59"/>
  <c r="O62" i="59"/>
  <c r="C63" i="59"/>
  <c r="D63" i="59" s="1"/>
  <c r="N62" i="59"/>
  <c r="B63" i="59" s="1"/>
  <c r="B64" i="59"/>
  <c r="B65" i="59" s="1"/>
  <c r="S65" i="59" s="1"/>
  <c r="D62" i="59"/>
  <c r="Q61" i="59"/>
  <c r="P61" i="59"/>
  <c r="O61" i="59"/>
  <c r="N61" i="59"/>
  <c r="Q60" i="59"/>
  <c r="P60" i="59"/>
  <c r="O60" i="59"/>
  <c r="N60" i="59"/>
  <c r="Q59" i="59"/>
  <c r="P59" i="59"/>
  <c r="O59" i="59"/>
  <c r="N59" i="59"/>
  <c r="Q58" i="59"/>
  <c r="F59" i="59" s="1"/>
  <c r="F60" i="59" s="1"/>
  <c r="P58" i="59"/>
  <c r="E59" i="59" s="1"/>
  <c r="E60" i="59" s="1"/>
  <c r="E61" i="59"/>
  <c r="U61" i="59" s="1"/>
  <c r="O58" i="59"/>
  <c r="C59" i="59"/>
  <c r="N58" i="59"/>
  <c r="B59" i="59" s="1"/>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D54" i="59"/>
  <c r="Q53" i="59"/>
  <c r="P53" i="59"/>
  <c r="O53" i="59"/>
  <c r="N53" i="59"/>
  <c r="Q52" i="59"/>
  <c r="P52" i="59"/>
  <c r="O52" i="59"/>
  <c r="N52" i="59"/>
  <c r="Q51" i="59"/>
  <c r="P51" i="59"/>
  <c r="O51" i="59"/>
  <c r="N51" i="59"/>
  <c r="Q50" i="59"/>
  <c r="F51" i="59" s="1"/>
  <c r="F52" i="59"/>
  <c r="F53" i="59" s="1"/>
  <c r="V53" i="59"/>
  <c r="P50" i="59"/>
  <c r="E51" i="59"/>
  <c r="E52" i="59" s="1"/>
  <c r="O50" i="59"/>
  <c r="C51" i="59"/>
  <c r="N50" i="59"/>
  <c r="B51" i="59"/>
  <c r="D50" i="59"/>
  <c r="T49" i="59"/>
  <c r="Q49" i="59"/>
  <c r="P49" i="59"/>
  <c r="O49" i="59"/>
  <c r="N49" i="59"/>
  <c r="D49" i="59"/>
  <c r="Q48" i="59"/>
  <c r="P48" i="59"/>
  <c r="O48" i="59"/>
  <c r="N48" i="59"/>
  <c r="Q47" i="59"/>
  <c r="P47" i="59"/>
  <c r="O47" i="59"/>
  <c r="C48" i="59" s="1"/>
  <c r="D48" i="59" s="1"/>
  <c r="N47" i="59"/>
  <c r="Q46" i="59"/>
  <c r="F47" i="59" s="1"/>
  <c r="F48" i="59" s="1"/>
  <c r="F49" i="59" s="1"/>
  <c r="V49" i="59" s="1"/>
  <c r="P46" i="59"/>
  <c r="E47" i="59" s="1"/>
  <c r="E48" i="59" s="1"/>
  <c r="E49" i="59" s="1"/>
  <c r="U49" i="59" s="1"/>
  <c r="O46" i="59"/>
  <c r="C47" i="59"/>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c r="O42" i="59"/>
  <c r="C43" i="59" s="1"/>
  <c r="N42" i="59"/>
  <c r="B43" i="59" s="1"/>
  <c r="B44" i="59"/>
  <c r="B45" i="59" s="1"/>
  <c r="S45" i="59" s="1"/>
  <c r="D42" i="59"/>
  <c r="Q41" i="59"/>
  <c r="P41" i="59"/>
  <c r="O41" i="59"/>
  <c r="N41" i="59"/>
  <c r="Q40" i="59"/>
  <c r="P40" i="59"/>
  <c r="O40" i="59"/>
  <c r="Y40" i="59"/>
  <c r="Z40" i="59" s="1"/>
  <c r="N40" i="59"/>
  <c r="X40" i="59"/>
  <c r="Q39" i="59"/>
  <c r="P39" i="59"/>
  <c r="O39" i="59"/>
  <c r="Y39" i="59" s="1"/>
  <c r="N39" i="59"/>
  <c r="Q38" i="59"/>
  <c r="P38" i="59"/>
  <c r="E39" i="59" s="1"/>
  <c r="E40" i="59"/>
  <c r="E41" i="59" s="1"/>
  <c r="U41" i="59" s="1"/>
  <c r="O38" i="59"/>
  <c r="Y38" i="59" s="1"/>
  <c r="Z38" i="59" s="1"/>
  <c r="N38" i="59"/>
  <c r="X38" i="59" s="1"/>
  <c r="B39" i="59"/>
  <c r="D38" i="59"/>
  <c r="Q37" i="59"/>
  <c r="AB37" i="59" s="1"/>
  <c r="P37" i="59"/>
  <c r="AA37" i="59" s="1"/>
  <c r="O37" i="59"/>
  <c r="N37" i="59"/>
  <c r="X37" i="59" s="1"/>
  <c r="Q36" i="59"/>
  <c r="AB36" i="59" s="1"/>
  <c r="P36" i="59"/>
  <c r="O36" i="59"/>
  <c r="N36" i="59"/>
  <c r="X36" i="59" s="1"/>
  <c r="Q35" i="59"/>
  <c r="AB35" i="59" s="1"/>
  <c r="P35" i="59"/>
  <c r="O35" i="59"/>
  <c r="N35" i="59"/>
  <c r="X35" i="59" s="1"/>
  <c r="Q34" i="59"/>
  <c r="AB34" i="59" s="1"/>
  <c r="F35" i="59"/>
  <c r="P34" i="59"/>
  <c r="E35" i="59"/>
  <c r="E36" i="59" s="1"/>
  <c r="E37" i="59" s="1"/>
  <c r="U37" i="59" s="1"/>
  <c r="O34" i="59"/>
  <c r="C35" i="59"/>
  <c r="N34" i="59"/>
  <c r="D34" i="59"/>
  <c r="Q33" i="59"/>
  <c r="AB33" i="59" s="1"/>
  <c r="P33" i="59"/>
  <c r="O33" i="59"/>
  <c r="Y33" i="59" s="1"/>
  <c r="Z33" i="59" s="1"/>
  <c r="N33" i="59"/>
  <c r="Q32" i="59"/>
  <c r="P32" i="59"/>
  <c r="O32" i="59"/>
  <c r="Y32" i="59" s="1"/>
  <c r="Z32" i="59" s="1"/>
  <c r="N32" i="59"/>
  <c r="Q31" i="59"/>
  <c r="AB31" i="59" s="1"/>
  <c r="P31" i="59"/>
  <c r="O31" i="59"/>
  <c r="N31" i="59"/>
  <c r="Q30" i="59"/>
  <c r="F31" i="59" s="1"/>
  <c r="F32" i="59" s="1"/>
  <c r="F33" i="59" s="1"/>
  <c r="V33" i="59" s="1"/>
  <c r="P30" i="59"/>
  <c r="O30" i="59"/>
  <c r="C31" i="59"/>
  <c r="N30" i="59"/>
  <c r="B31" i="59"/>
  <c r="B32" i="59" s="1"/>
  <c r="B33" i="59" s="1"/>
  <c r="S33" i="59" s="1"/>
  <c r="D30" i="59"/>
  <c r="AA26" i="59"/>
  <c r="Y28" i="59"/>
  <c r="Z28" i="59" s="1"/>
  <c r="AB29" i="59"/>
  <c r="AB26" i="59"/>
  <c r="AB28" i="59"/>
  <c r="E31" i="59"/>
  <c r="E32" i="59" s="1"/>
  <c r="E33" i="59" s="1"/>
  <c r="U33" i="59" s="1"/>
  <c r="B52" i="59"/>
  <c r="B53" i="59" s="1"/>
  <c r="S53" i="59" s="1"/>
  <c r="E53" i="59"/>
  <c r="U53" i="59" s="1"/>
  <c r="Z39" i="59"/>
  <c r="AA40" i="59"/>
  <c r="F36" i="59"/>
  <c r="F37" i="59" s="1"/>
  <c r="V37" i="59" s="1"/>
  <c r="F56" i="59"/>
  <c r="F57" i="59" s="1"/>
  <c r="V57" i="59" s="1"/>
  <c r="F61" i="59"/>
  <c r="V61" i="59" s="1"/>
  <c r="V65" i="59"/>
  <c r="D31" i="59"/>
  <c r="C44" i="59"/>
  <c r="D43" i="59"/>
  <c r="D47" i="59"/>
  <c r="C56" i="59"/>
  <c r="C57" i="59" s="1"/>
  <c r="D57" i="59" s="1"/>
  <c r="D55" i="59"/>
  <c r="C60" i="59"/>
  <c r="D60" i="59" s="1"/>
  <c r="D59" i="59"/>
  <c r="C64" i="59"/>
  <c r="C65" i="59" s="1"/>
  <c r="E67" i="59"/>
  <c r="P66" i="59" s="1"/>
  <c r="Q68" i="59"/>
  <c r="T69" i="59"/>
  <c r="O69" i="59"/>
  <c r="D69" i="59"/>
  <c r="C68" i="59"/>
  <c r="P69" i="59"/>
  <c r="U69" i="59"/>
  <c r="Q69" i="59"/>
  <c r="E72" i="59"/>
  <c r="E71" i="59" s="1"/>
  <c r="E76" i="59"/>
  <c r="E75" i="59" s="1"/>
  <c r="C80" i="59"/>
  <c r="C79" i="59" s="1"/>
  <c r="D79" i="59" s="1"/>
  <c r="E80" i="59"/>
  <c r="E79" i="59" s="1"/>
  <c r="D81" i="59"/>
  <c r="C84" i="59"/>
  <c r="D84" i="59" s="1"/>
  <c r="C88" i="59"/>
  <c r="U16" i="4"/>
  <c r="S16" i="4"/>
  <c r="Q16" i="4"/>
  <c r="O16" i="4"/>
  <c r="M16" i="4"/>
  <c r="K16" i="4"/>
  <c r="P67" i="59"/>
  <c r="D80" i="59"/>
  <c r="C67" i="59"/>
  <c r="D67" i="59" s="1"/>
  <c r="O68" i="59"/>
  <c r="D68" i="59"/>
  <c r="C83" i="59"/>
  <c r="D83" i="59" s="1"/>
  <c r="D64" i="59"/>
  <c r="C61" i="59"/>
  <c r="D61" i="59" s="1"/>
  <c r="C45" i="59"/>
  <c r="D45" i="59" s="1"/>
  <c r="D44" i="59"/>
  <c r="T61" i="59"/>
  <c r="T45" i="59"/>
  <c r="T57" i="59"/>
  <c r="O6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S21" i="21" s="1"/>
  <c r="AA21" i="21"/>
  <c r="C21" i="21"/>
  <c r="Q27" i="40"/>
  <c r="Z27" i="40" s="1"/>
  <c r="D95" i="40"/>
  <c r="E95" i="40"/>
  <c r="F95" i="40" s="1"/>
  <c r="F27" i="40"/>
  <c r="AA27" i="40" s="1"/>
  <c r="Q31" i="39"/>
  <c r="Z31" i="39" s="1"/>
  <c r="D104" i="39"/>
  <c r="E104" i="39"/>
  <c r="F104" i="39" s="1"/>
  <c r="F31" i="39"/>
  <c r="AA31" i="39" s="1"/>
  <c r="G20" i="20"/>
  <c r="B85" i="46" s="1"/>
  <c r="C22" i="20"/>
  <c r="S18" i="36"/>
  <c r="S21" i="37"/>
  <c r="C27" i="40"/>
  <c r="E66" i="36"/>
  <c r="H18" i="35"/>
  <c r="J18" i="35"/>
  <c r="H21" i="37"/>
  <c r="J21" i="37"/>
  <c r="E84" i="34"/>
  <c r="F84" i="34"/>
  <c r="G84" i="34" s="1"/>
  <c r="J21" i="34"/>
  <c r="H21" i="34"/>
  <c r="F21" i="33"/>
  <c r="S21" i="33" s="1"/>
  <c r="H21" i="33"/>
  <c r="J21" i="33"/>
  <c r="F83" i="21"/>
  <c r="G83" i="21" s="1"/>
  <c r="H21" i="21"/>
  <c r="AB21" i="21" s="1"/>
  <c r="J21" i="21"/>
  <c r="W21" i="21" s="1"/>
  <c r="H27" i="40"/>
  <c r="H31" i="39"/>
  <c r="AB31" i="39" s="1"/>
  <c r="F23" i="15"/>
  <c r="D22" i="15" s="1"/>
  <c r="G17" i="11"/>
  <c r="F15" i="15"/>
  <c r="F17" i="15"/>
  <c r="F18" i="15"/>
  <c r="F20" i="15"/>
  <c r="F21" i="15"/>
  <c r="F33" i="15"/>
  <c r="F60" i="15" s="1"/>
  <c r="K2" i="4"/>
  <c r="A4" i="64" s="1"/>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s="1"/>
  <c r="M66" i="46"/>
  <c r="N66" i="46"/>
  <c r="K66" i="46"/>
  <c r="M65" i="46"/>
  <c r="N65" i="46"/>
  <c r="K65" i="46"/>
  <c r="J65" i="46" s="1"/>
  <c r="D65" i="46"/>
  <c r="M64" i="46"/>
  <c r="N64" i="46"/>
  <c r="K64" i="46"/>
  <c r="J64" i="46" s="1"/>
  <c r="D64" i="46"/>
  <c r="M63" i="46"/>
  <c r="N63" i="46" s="1"/>
  <c r="K63" i="46"/>
  <c r="J63" i="46"/>
  <c r="D63" i="46"/>
  <c r="M62" i="46"/>
  <c r="N62" i="46" s="1"/>
  <c r="K62" i="46"/>
  <c r="J62" i="46"/>
  <c r="D62" i="46"/>
  <c r="M61" i="46"/>
  <c r="N61" i="46"/>
  <c r="K61" i="46"/>
  <c r="J61" i="46" s="1"/>
  <c r="D61" i="46"/>
  <c r="M60" i="46"/>
  <c r="N60" i="46"/>
  <c r="K60" i="46"/>
  <c r="J60" i="46" s="1"/>
  <c r="D60" i="46"/>
  <c r="M59" i="46"/>
  <c r="N59" i="46" s="1"/>
  <c r="K59" i="46"/>
  <c r="J59" i="46"/>
  <c r="D59" i="46"/>
  <c r="M58" i="46"/>
  <c r="N58" i="46" s="1"/>
  <c r="M55" i="46"/>
  <c r="N55" i="46"/>
  <c r="K55" i="46"/>
  <c r="J55" i="46" s="1"/>
  <c r="M54" i="46"/>
  <c r="N54" i="46"/>
  <c r="K54" i="46"/>
  <c r="M53" i="46"/>
  <c r="N53" i="46"/>
  <c r="K53" i="46"/>
  <c r="J53" i="46" s="1"/>
  <c r="D53" i="46"/>
  <c r="M52" i="46"/>
  <c r="N52" i="46"/>
  <c r="K52" i="46"/>
  <c r="J52" i="46" s="1"/>
  <c r="D52" i="46"/>
  <c r="M51" i="46"/>
  <c r="N51" i="46" s="1"/>
  <c r="K51" i="46"/>
  <c r="J51" i="46"/>
  <c r="M50" i="46"/>
  <c r="N50" i="46" s="1"/>
  <c r="M49" i="46"/>
  <c r="N49" i="46"/>
  <c r="K49" i="46"/>
  <c r="J49" i="46" s="1"/>
  <c r="D49" i="46"/>
  <c r="M48" i="46"/>
  <c r="N48" i="46"/>
  <c r="K48" i="46"/>
  <c r="J48" i="46" s="1"/>
  <c r="D48" i="46"/>
  <c r="M47" i="46"/>
  <c r="N47" i="46" s="1"/>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AZ80" i="3" s="1"/>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Z53" i="3" s="1"/>
  <c r="AX53" i="3"/>
  <c r="AW53" i="3"/>
  <c r="AV53" i="3"/>
  <c r="AC53" i="3"/>
  <c r="G53" i="3" s="1"/>
  <c r="H53" i="3"/>
  <c r="BT52" i="3"/>
  <c r="BS52" i="3"/>
  <c r="BR52" i="3"/>
  <c r="BQ52" i="3"/>
  <c r="BP52" i="3"/>
  <c r="BO52" i="3"/>
  <c r="BN52" i="3"/>
  <c r="BM52" i="3"/>
  <c r="BK52" i="3"/>
  <c r="BJ52" i="3"/>
  <c r="BI52" i="3"/>
  <c r="BH52" i="3"/>
  <c r="BG52" i="3"/>
  <c r="BF52" i="3"/>
  <c r="BE52" i="3"/>
  <c r="BD52" i="3"/>
  <c r="BC52" i="3"/>
  <c r="BA52" i="3" s="1"/>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L46" i="3" s="1"/>
  <c r="AZ46" i="3" s="1"/>
  <c r="BM46" i="3"/>
  <c r="BK46" i="3"/>
  <c r="BJ46" i="3"/>
  <c r="BI46" i="3"/>
  <c r="BH46" i="3"/>
  <c r="BG46" i="3"/>
  <c r="BF46" i="3"/>
  <c r="BE46" i="3"/>
  <c r="BD46" i="3"/>
  <c r="BC46" i="3"/>
  <c r="BB46" i="3"/>
  <c r="BA46" i="3" s="1"/>
  <c r="AX46" i="3"/>
  <c r="AW46" i="3"/>
  <c r="AV46" i="3"/>
  <c r="AC46" i="3"/>
  <c r="G46" i="3" s="1"/>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L184" i="3" s="1"/>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A183" i="3" s="1"/>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L168" i="3"/>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A163" i="3" s="1"/>
  <c r="AZ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L160" i="3" s="1"/>
  <c r="BN160" i="3"/>
  <c r="BM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L141" i="3" s="1"/>
  <c r="BN141" i="3"/>
  <c r="BM141" i="3"/>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G137" i="3" s="1"/>
  <c r="H137" i="3"/>
  <c r="BT136" i="3"/>
  <c r="BS136" i="3"/>
  <c r="BR136" i="3"/>
  <c r="BQ136" i="3"/>
  <c r="BP136" i="3"/>
  <c r="BO136" i="3"/>
  <c r="BL136" i="3" s="1"/>
  <c r="BN136" i="3"/>
  <c r="BM136" i="3"/>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G113" i="3" s="1"/>
  <c r="H113" i="3"/>
  <c r="BT296" i="3"/>
  <c r="BS296" i="3"/>
  <c r="BR296" i="3"/>
  <c r="BQ296" i="3"/>
  <c r="BP296" i="3"/>
  <c r="BO296" i="3"/>
  <c r="BN296" i="3"/>
  <c r="BM296" i="3"/>
  <c r="BL296" i="3"/>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L293" i="3" s="1"/>
  <c r="BN293" i="3"/>
  <c r="BM293" i="3"/>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AZ283" i="3" s="1"/>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AZ275" i="3" s="1"/>
  <c r="BC275" i="3"/>
  <c r="BB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Z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BC251" i="3"/>
  <c r="BB251" i="3"/>
  <c r="AZ251" i="3"/>
  <c r="AX251" i="3"/>
  <c r="AW251" i="3"/>
  <c r="AV251" i="3"/>
  <c r="AC251" i="3"/>
  <c r="H251" i="3"/>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Z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AZ206" i="3" s="1"/>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L387" i="3" s="1"/>
  <c r="BN387" i="3"/>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AZ427" i="3" s="1"/>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A404" i="3" s="1"/>
  <c r="AZ404" i="3" s="1"/>
  <c r="BB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45" i="21" s="1"/>
  <c r="K139" i="21"/>
  <c r="M87" i="21"/>
  <c r="L87" i="21"/>
  <c r="K87" i="21"/>
  <c r="J87" i="21"/>
  <c r="I87" i="21"/>
  <c r="H87" i="21"/>
  <c r="G87" i="21"/>
  <c r="F87" i="21"/>
  <c r="E87" i="21"/>
  <c r="D87" i="21"/>
  <c r="G2" i="46"/>
  <c r="H17" i="46"/>
  <c r="G19" i="46"/>
  <c r="O19" i="46" s="1"/>
  <c r="R26" i="31"/>
  <c r="S26" i="31" s="1"/>
  <c r="R27" i="3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32" i="6"/>
  <c r="E20" i="6"/>
  <c r="E21" i="6"/>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H10" i="39"/>
  <c r="AB10" i="39" s="1"/>
  <c r="H11" i="39"/>
  <c r="AB11" i="39" s="1"/>
  <c r="H40" i="39"/>
  <c r="AB40" i="39" s="1"/>
  <c r="H42" i="39"/>
  <c r="AB42" i="39" s="1"/>
  <c r="J10" i="39"/>
  <c r="AC10" i="39" s="1"/>
  <c r="J11" i="39"/>
  <c r="AC11" i="39" s="1"/>
  <c r="J40" i="39"/>
  <c r="AC40" i="39" s="1"/>
  <c r="J42" i="39"/>
  <c r="AC42" i="39" s="1"/>
  <c r="F35" i="44"/>
  <c r="M21" i="44"/>
  <c r="F20" i="44"/>
  <c r="K9" i="43"/>
  <c r="J9" i="43"/>
  <c r="I9" i="43"/>
  <c r="H9" i="43"/>
  <c r="G9" i="43"/>
  <c r="F9" i="43"/>
  <c r="E9" i="43"/>
  <c r="D9" i="43"/>
  <c r="C9" i="43"/>
  <c r="C6" i="43" s="1"/>
  <c r="BC13" i="3"/>
  <c r="BB13" i="3"/>
  <c r="BB5" i="3" s="1"/>
  <c r="BR13" i="3"/>
  <c r="B24" i="1"/>
  <c r="O75" i="9"/>
  <c r="L75" i="9"/>
  <c r="P75" i="9"/>
  <c r="O74" i="9"/>
  <c r="O73" i="9"/>
  <c r="E66" i="9"/>
  <c r="O72" i="9" s="1"/>
  <c r="F74" i="9"/>
  <c r="P74" i="9" s="1"/>
  <c r="N67" i="9"/>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18" i="31"/>
  <c r="S221" i="31"/>
  <c r="S478" i="31"/>
  <c r="S467" i="31"/>
  <c r="S49"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c r="C26" i="35"/>
  <c r="C79" i="35" s="1"/>
  <c r="J31" i="35"/>
  <c r="H31" i="35"/>
  <c r="F31" i="35"/>
  <c r="D87" i="35"/>
  <c r="E87" i="35"/>
  <c r="F87" i="35" s="1"/>
  <c r="G87" i="35" s="1"/>
  <c r="H87" i="35" s="1"/>
  <c r="I87" i="35" s="1"/>
  <c r="J87" i="35" s="1"/>
  <c r="K87" i="35" s="1"/>
  <c r="L87" i="35" s="1"/>
  <c r="M87" i="35" s="1"/>
  <c r="H34" i="37"/>
  <c r="AB34" i="37" s="1"/>
  <c r="D101" i="37"/>
  <c r="F34" i="37"/>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F41" i="21"/>
  <c r="J41" i="21"/>
  <c r="H41" i="21"/>
  <c r="U41" i="2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c r="G73" i="37" s="1"/>
  <c r="D71" i="37"/>
  <c r="E71" i="37" s="1"/>
  <c r="F71" i="37"/>
  <c r="G71" i="37"/>
  <c r="F15" i="37"/>
  <c r="AA15" i="37" s="1"/>
  <c r="B68" i="37"/>
  <c r="H14" i="37"/>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c r="I60"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s="1"/>
  <c r="H30" i="37"/>
  <c r="AB30" i="37" s="1"/>
  <c r="F30" i="37"/>
  <c r="Q29" i="37"/>
  <c r="Z29" i="37"/>
  <c r="H29" i="37"/>
  <c r="U29" i="37"/>
  <c r="Q28" i="37"/>
  <c r="Z28" i="37"/>
  <c r="Q27" i="37"/>
  <c r="Z27" i="37"/>
  <c r="Q26" i="37"/>
  <c r="Z26" i="37"/>
  <c r="H26" i="37"/>
  <c r="AB26" i="37" s="1"/>
  <c r="F26" i="37"/>
  <c r="AA26" i="37" s="1"/>
  <c r="Q25" i="37"/>
  <c r="Z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c r="M86" i="36"/>
  <c r="L86" i="36"/>
  <c r="K86" i="36"/>
  <c r="J86" i="36"/>
  <c r="I86" i="36"/>
  <c r="H86" i="36"/>
  <c r="G86" i="36"/>
  <c r="F86" i="36"/>
  <c r="E86" i="36"/>
  <c r="D86" i="36"/>
  <c r="C86" i="36"/>
  <c r="D85" i="36"/>
  <c r="H29" i="36"/>
  <c r="AB29" i="36" s="1"/>
  <c r="D81" i="36"/>
  <c r="E81" i="36"/>
  <c r="F81" i="36"/>
  <c r="G81" i="36" s="1"/>
  <c r="H81" i="36" s="1"/>
  <c r="I81" i="36" s="1"/>
  <c r="J81" i="36" s="1"/>
  <c r="K81" i="36" s="1"/>
  <c r="L81" i="36"/>
  <c r="M81" i="36" s="1"/>
  <c r="F79" i="36"/>
  <c r="E79" i="36"/>
  <c r="D79" i="36"/>
  <c r="C79" i="36"/>
  <c r="B93" i="36"/>
  <c r="B91" i="36"/>
  <c r="F32" i="36"/>
  <c r="S32" i="36" s="1"/>
  <c r="B95" i="36"/>
  <c r="H34" i="36" s="1"/>
  <c r="D83" i="36"/>
  <c r="E83" i="36"/>
  <c r="F83" i="36" s="1"/>
  <c r="G83" i="36" s="1"/>
  <c r="H83" i="36" s="1"/>
  <c r="I83" i="36" s="1"/>
  <c r="J83" i="36" s="1"/>
  <c r="K83" i="36" s="1"/>
  <c r="L83" i="36" s="1"/>
  <c r="M83" i="36" s="1"/>
  <c r="D78" i="36"/>
  <c r="J26" i="36"/>
  <c r="W26" i="36"/>
  <c r="B75" i="36"/>
  <c r="B73" i="36"/>
  <c r="J24" i="36" s="1"/>
  <c r="W24" i="36"/>
  <c r="B71" i="36"/>
  <c r="H23" i="36" s="1"/>
  <c r="D70" i="36"/>
  <c r="H22" i="36"/>
  <c r="AB22" i="36"/>
  <c r="D68" i="36"/>
  <c r="E68" i="36" s="1"/>
  <c r="D64" i="36"/>
  <c r="E64" i="36"/>
  <c r="F64" i="36" s="1"/>
  <c r="G64" i="36" s="1"/>
  <c r="J16" i="36"/>
  <c r="D62" i="36"/>
  <c r="E62" i="36" s="1"/>
  <c r="B59" i="36"/>
  <c r="B57" i="36"/>
  <c r="J12" i="36"/>
  <c r="B55" i="36"/>
  <c r="F54" i="36"/>
  <c r="G54" i="36" s="1"/>
  <c r="H54" i="36"/>
  <c r="I54"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AB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s="1"/>
  <c r="J8" i="36"/>
  <c r="AC8" i="36" s="1"/>
  <c r="H8" i="36"/>
  <c r="U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s="1"/>
  <c r="B99" i="35"/>
  <c r="B97" i="35"/>
  <c r="B77" i="35"/>
  <c r="B75" i="35"/>
  <c r="J24" i="35"/>
  <c r="AC24" i="35" s="1"/>
  <c r="B73" i="35"/>
  <c r="J23" i="35" s="1"/>
  <c r="B57" i="35"/>
  <c r="B61" i="35"/>
  <c r="B59" i="35"/>
  <c r="F12" i="35" s="1"/>
  <c r="B131" i="34"/>
  <c r="B129" i="34"/>
  <c r="B127" i="34"/>
  <c r="B99" i="34"/>
  <c r="B97" i="34"/>
  <c r="B95" i="34"/>
  <c r="B93" i="34"/>
  <c r="B75" i="34"/>
  <c r="B73" i="34"/>
  <c r="B71" i="34"/>
  <c r="B130" i="33"/>
  <c r="B128" i="33"/>
  <c r="H45" i="33" s="1"/>
  <c r="U45" i="33"/>
  <c r="B126" i="33"/>
  <c r="J44" i="33" s="1"/>
  <c r="B98" i="33"/>
  <c r="F31" i="33" s="1"/>
  <c r="AA31" i="33" s="1"/>
  <c r="B96" i="33"/>
  <c r="B94" i="33"/>
  <c r="J29" i="33" s="1"/>
  <c r="B74" i="33"/>
  <c r="B72" i="33"/>
  <c r="B70" i="33"/>
  <c r="D96" i="35"/>
  <c r="E96" i="35" s="1"/>
  <c r="F96" i="35" s="1"/>
  <c r="G96" i="35" s="1"/>
  <c r="D94" i="35"/>
  <c r="D84" i="35"/>
  <c r="E84" i="35"/>
  <c r="F84" i="35" s="1"/>
  <c r="G84" i="35" s="1"/>
  <c r="H84" i="35" s="1"/>
  <c r="I84" i="35"/>
  <c r="J84" i="35" s="1"/>
  <c r="K84" i="35" s="1"/>
  <c r="L84" i="35" s="1"/>
  <c r="M84" i="35" s="1"/>
  <c r="D80" i="35"/>
  <c r="D72" i="35"/>
  <c r="D70" i="35"/>
  <c r="E70" i="35"/>
  <c r="F70" i="35"/>
  <c r="G70" i="35" s="1"/>
  <c r="D66" i="35"/>
  <c r="E66" i="35"/>
  <c r="F66" i="35"/>
  <c r="G66" i="35" s="1"/>
  <c r="D64" i="35"/>
  <c r="E64" i="35"/>
  <c r="F64" i="35"/>
  <c r="G64" i="35" s="1"/>
  <c r="F56" i="35"/>
  <c r="G56" i="35"/>
  <c r="H56" i="35"/>
  <c r="I56" i="35" s="1"/>
  <c r="C53" i="35"/>
  <c r="H9" i="35"/>
  <c r="AB9" i="35"/>
  <c r="P39" i="35"/>
  <c r="P38" i="35"/>
  <c r="V37" i="35"/>
  <c r="T37" i="35"/>
  <c r="R37" i="35"/>
  <c r="P37" i="35"/>
  <c r="Q36" i="35"/>
  <c r="Z36" i="35"/>
  <c r="Q35" i="35"/>
  <c r="Z35" i="35"/>
  <c r="Q34" i="35"/>
  <c r="Z34" i="35" s="1"/>
  <c r="J34" i="35"/>
  <c r="AC34" i="35" s="1"/>
  <c r="H34" i="35"/>
  <c r="AB34" i="35" s="1"/>
  <c r="F34" i="35"/>
  <c r="Q33" i="35"/>
  <c r="Z33" i="35" s="1"/>
  <c r="Q32" i="35"/>
  <c r="Z32" i="35"/>
  <c r="H32" i="35"/>
  <c r="AB32" i="35" s="1"/>
  <c r="F32" i="35"/>
  <c r="AA32" i="35"/>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c r="Q16" i="35"/>
  <c r="Z16" i="35" s="1"/>
  <c r="Q14" i="35"/>
  <c r="Z14" i="35"/>
  <c r="Q13" i="35"/>
  <c r="Z13" i="35" s="1"/>
  <c r="Q12" i="35"/>
  <c r="Z12" i="35"/>
  <c r="J12" i="35"/>
  <c r="W12" i="35" s="1"/>
  <c r="AA12" i="35"/>
  <c r="Q11" i="35"/>
  <c r="Z11" i="35" s="1"/>
  <c r="Q10" i="35"/>
  <c r="Z10" i="35"/>
  <c r="Q9" i="35"/>
  <c r="Z9" i="35" s="1"/>
  <c r="J9" i="35"/>
  <c r="W9" i="35"/>
  <c r="F9" i="35"/>
  <c r="AA9" i="35" s="1"/>
  <c r="J8" i="35"/>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c r="G126" i="34"/>
  <c r="D124" i="34"/>
  <c r="E124" i="34" s="1"/>
  <c r="F124" i="34" s="1"/>
  <c r="G124" i="34" s="1"/>
  <c r="H124" i="34"/>
  <c r="I124" i="34" s="1"/>
  <c r="J124" i="34" s="1"/>
  <c r="K124" i="34" s="1"/>
  <c r="L124" i="34" s="1"/>
  <c r="M124" i="34" s="1"/>
  <c r="J43" i="34"/>
  <c r="AC43" i="34" s="1"/>
  <c r="D118" i="34"/>
  <c r="E118" i="34" s="1"/>
  <c r="F118" i="34" s="1"/>
  <c r="G118" i="34" s="1"/>
  <c r="H40" i="34"/>
  <c r="U40" i="34" s="1"/>
  <c r="D116" i="34"/>
  <c r="E116" i="34"/>
  <c r="F116" i="34"/>
  <c r="G116" i="34" s="1"/>
  <c r="H116" i="34" s="1"/>
  <c r="I116" i="34" s="1"/>
  <c r="J116" i="34" s="1"/>
  <c r="K116" i="34"/>
  <c r="L116" i="34" s="1"/>
  <c r="M116" i="34" s="1"/>
  <c r="F110" i="34"/>
  <c r="E110" i="34"/>
  <c r="D110" i="34"/>
  <c r="C110" i="34"/>
  <c r="D109" i="34"/>
  <c r="E109" i="34"/>
  <c r="F109" i="34" s="1"/>
  <c r="G109" i="34"/>
  <c r="H109" i="34" s="1"/>
  <c r="I109" i="34" s="1"/>
  <c r="J109" i="34" s="1"/>
  <c r="K109" i="34" s="1"/>
  <c r="L109" i="34"/>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s="1"/>
  <c r="F82" i="34" s="1"/>
  <c r="G82" i="34" s="1"/>
  <c r="D80" i="34"/>
  <c r="D78" i="34"/>
  <c r="D70" i="34"/>
  <c r="E70" i="34"/>
  <c r="F70" i="34"/>
  <c r="G70" i="34"/>
  <c r="H70" i="34" s="1"/>
  <c r="I70" i="34" s="1"/>
  <c r="J70" i="34" s="1"/>
  <c r="K70" i="34" s="1"/>
  <c r="L70" i="34" s="1"/>
  <c r="M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H44" i="34"/>
  <c r="AB44" i="34"/>
  <c r="Q43" i="34"/>
  <c r="Z43" i="34" s="1"/>
  <c r="F43" i="34"/>
  <c r="AA43" i="34"/>
  <c r="Q42" i="34"/>
  <c r="Z42" i="34" s="1"/>
  <c r="Q41" i="34"/>
  <c r="Z41" i="34"/>
  <c r="Q40" i="34"/>
  <c r="Z40" i="34" s="1"/>
  <c r="F40" i="34"/>
  <c r="S40" i="34"/>
  <c r="Q39" i="34"/>
  <c r="Z39" i="34" s="1"/>
  <c r="J39" i="34"/>
  <c r="AC39" i="34"/>
  <c r="H39" i="34"/>
  <c r="U39" i="34" s="1"/>
  <c r="F39" i="34"/>
  <c r="Q38" i="34"/>
  <c r="Z38" i="34" s="1"/>
  <c r="Q37" i="34"/>
  <c r="Z37" i="34" s="1"/>
  <c r="Q36" i="34"/>
  <c r="Z36" i="34"/>
  <c r="Q35" i="34"/>
  <c r="Z35" i="34" s="1"/>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c r="Q10" i="34"/>
  <c r="Z10" i="34" s="1"/>
  <c r="F10" i="34"/>
  <c r="AA10" i="34"/>
  <c r="Q9" i="34"/>
  <c r="Z9" i="34" s="1"/>
  <c r="J8" i="34"/>
  <c r="H8" i="34"/>
  <c r="U8" i="34"/>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c r="I101" i="33" s="1"/>
  <c r="J101" i="33" s="1"/>
  <c r="K101" i="33" s="1"/>
  <c r="L101" i="33"/>
  <c r="M101" i="33" s="1"/>
  <c r="B92" i="33"/>
  <c r="B90" i="33"/>
  <c r="H27" i="33"/>
  <c r="U27" i="33" s="1"/>
  <c r="D87" i="33"/>
  <c r="E87" i="33"/>
  <c r="D85" i="33"/>
  <c r="E85" i="33" s="1"/>
  <c r="D81" i="33"/>
  <c r="E81" i="33"/>
  <c r="F81" i="33"/>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c r="Q45" i="33"/>
  <c r="Z45" i="33" s="1"/>
  <c r="Q44" i="33"/>
  <c r="Z44" i="33"/>
  <c r="Q43" i="33"/>
  <c r="Z43" i="33" s="1"/>
  <c r="Q42" i="33"/>
  <c r="Z42" i="33"/>
  <c r="J42" i="33"/>
  <c r="AC42" i="33" s="1"/>
  <c r="W41" i="33"/>
  <c r="Q41" i="33"/>
  <c r="Z41" i="33"/>
  <c r="Q40" i="33"/>
  <c r="Z40" i="33" s="1"/>
  <c r="J40" i="33"/>
  <c r="AC40" i="33"/>
  <c r="H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J12" i="33"/>
  <c r="W12" i="33" s="1"/>
  <c r="H12" i="33"/>
  <c r="U12" i="33"/>
  <c r="F12" i="33"/>
  <c r="S12" i="33" s="1"/>
  <c r="Q11" i="33"/>
  <c r="Z11" i="33"/>
  <c r="Q10" i="33"/>
  <c r="Z10" i="33" s="1"/>
  <c r="Q9" i="33"/>
  <c r="Z9" i="33"/>
  <c r="F9" i="33"/>
  <c r="AA9" i="33" s="1"/>
  <c r="J8" i="33"/>
  <c r="W8" i="33" s="1"/>
  <c r="H8" i="33"/>
  <c r="F8" i="33"/>
  <c r="AA8" i="33" s="1"/>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s="1"/>
  <c r="G15" i="20"/>
  <c r="B80" i="46"/>
  <c r="C24" i="20"/>
  <c r="B72" i="46" s="1"/>
  <c r="C21" i="20"/>
  <c r="B73" i="46"/>
  <c r="C20" i="20"/>
  <c r="B76" i="46" s="1"/>
  <c r="C18" i="20"/>
  <c r="B70" i="46"/>
  <c r="C17" i="20"/>
  <c r="B58" i="46" s="1"/>
  <c r="C16" i="20"/>
  <c r="B47" i="46"/>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I101" i="2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c r="G79" i="21" s="1"/>
  <c r="D85" i="21"/>
  <c r="E85" i="21"/>
  <c r="D81" i="21"/>
  <c r="E81" i="21" s="1"/>
  <c r="F81" i="21" s="1"/>
  <c r="G81" i="21" s="1"/>
  <c r="D77" i="21"/>
  <c r="E77" i="21" s="1"/>
  <c r="B130" i="21"/>
  <c r="B128" i="21"/>
  <c r="B126" i="21"/>
  <c r="B98" i="21"/>
  <c r="B96" i="21"/>
  <c r="B94" i="21"/>
  <c r="B92" i="21"/>
  <c r="F28" i="21" s="1"/>
  <c r="B90" i="21"/>
  <c r="B74" i="21"/>
  <c r="B72" i="21"/>
  <c r="B70" i="21"/>
  <c r="F10" i="21"/>
  <c r="AA10" i="21"/>
  <c r="C7" i="21"/>
  <c r="C58" i="21" s="1"/>
  <c r="D58" i="21" s="1"/>
  <c r="E58"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G5" i="3" s="1"/>
  <c r="BH13" i="3"/>
  <c r="BI13" i="3"/>
  <c r="BJ13" i="3"/>
  <c r="BJ5" i="3" s="1"/>
  <c r="BK13" i="3"/>
  <c r="BM13" i="3"/>
  <c r="BN13" i="3"/>
  <c r="BO13" i="3"/>
  <c r="BO5" i="3" s="1"/>
  <c r="F29" i="6"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I4" i="6" s="1"/>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c r="H38" i="21"/>
  <c r="AB38" i="21" s="1"/>
  <c r="H43" i="21"/>
  <c r="AB43" i="21"/>
  <c r="F32" i="21"/>
  <c r="F38" i="21"/>
  <c r="S38" i="21"/>
  <c r="F36" i="21"/>
  <c r="S36" i="21" s="1"/>
  <c r="F39" i="21"/>
  <c r="AA39" i="21"/>
  <c r="J40" i="21"/>
  <c r="H35" i="21"/>
  <c r="AB35" i="21"/>
  <c r="J8" i="21"/>
  <c r="J9" i="21"/>
  <c r="AC9" i="21"/>
  <c r="H8" i="21"/>
  <c r="H9" i="21"/>
  <c r="AB9" i="21" s="1"/>
  <c r="H10" i="21"/>
  <c r="U10" i="21"/>
  <c r="H39" i="21"/>
  <c r="AB39" i="21" s="1"/>
  <c r="J34" i="21"/>
  <c r="AC34" i="21" s="1"/>
  <c r="W34" i="21"/>
  <c r="H36" i="21"/>
  <c r="U36" i="21" s="1"/>
  <c r="F35" i="21"/>
  <c r="AA35" i="21"/>
  <c r="J33" i="21"/>
  <c r="W33" i="21" s="1"/>
  <c r="H33" i="21"/>
  <c r="U33" i="21" s="1"/>
  <c r="F33" i="21"/>
  <c r="S33" i="21" s="1"/>
  <c r="J10" i="21"/>
  <c r="AC10" i="21"/>
  <c r="H26" i="21"/>
  <c r="F19" i="21"/>
  <c r="AA19" i="21" s="1"/>
  <c r="H19" i="21"/>
  <c r="U19" i="21" s="1"/>
  <c r="J19" i="21"/>
  <c r="W19" i="21" s="1"/>
  <c r="H12" i="21"/>
  <c r="U12" i="21" s="1"/>
  <c r="J26" i="21"/>
  <c r="W26" i="21"/>
  <c r="F26" i="21"/>
  <c r="AA26" i="21" s="1"/>
  <c r="AB41" i="21"/>
  <c r="S41" i="21"/>
  <c r="AA41" i="21"/>
  <c r="S10" i="39"/>
  <c r="U30" i="37"/>
  <c r="E103" i="37"/>
  <c r="F103" i="37" s="1"/>
  <c r="F39" i="37"/>
  <c r="S39" i="37"/>
  <c r="W39" i="37"/>
  <c r="F29" i="36"/>
  <c r="AA29" i="36" s="1"/>
  <c r="F16" i="36"/>
  <c r="AA16" i="36"/>
  <c r="U22" i="36"/>
  <c r="W23" i="36"/>
  <c r="W22" i="36"/>
  <c r="U26" i="36"/>
  <c r="J33" i="36"/>
  <c r="W33" i="36"/>
  <c r="AC27" i="35"/>
  <c r="U31" i="35"/>
  <c r="W24" i="35"/>
  <c r="S31" i="35"/>
  <c r="W31" i="35"/>
  <c r="U34" i="35"/>
  <c r="F36" i="34"/>
  <c r="S36" i="34" s="1"/>
  <c r="S34" i="34"/>
  <c r="W39" i="34"/>
  <c r="H39" i="33"/>
  <c r="AB39" i="33" s="1"/>
  <c r="F26" i="33"/>
  <c r="AA26" i="33"/>
  <c r="W38" i="33"/>
  <c r="S40" i="33"/>
  <c r="U38" i="33"/>
  <c r="S8" i="21"/>
  <c r="H39" i="37"/>
  <c r="AB39" i="37"/>
  <c r="AB27" i="35"/>
  <c r="W10" i="40"/>
  <c r="U11" i="40"/>
  <c r="U36" i="40"/>
  <c r="F11" i="21"/>
  <c r="S11" i="21" s="1"/>
  <c r="AA38" i="21"/>
  <c r="AB36" i="21"/>
  <c r="C29" i="39"/>
  <c r="C23" i="39"/>
  <c r="H32" i="33"/>
  <c r="AB32" i="33"/>
  <c r="H11" i="21"/>
  <c r="U11" i="21" s="1"/>
  <c r="J11" i="21"/>
  <c r="W11" i="21" s="1"/>
  <c r="F85" i="40"/>
  <c r="G85" i="40" s="1"/>
  <c r="AA12" i="33"/>
  <c r="J27" i="36"/>
  <c r="W27" i="36"/>
  <c r="J34" i="36"/>
  <c r="W34" i="36" s="1"/>
  <c r="J30" i="35"/>
  <c r="W30" i="35"/>
  <c r="F22" i="35"/>
  <c r="AA22" i="35" s="1"/>
  <c r="H10" i="35"/>
  <c r="U10" i="35"/>
  <c r="AC24" i="36"/>
  <c r="U29" i="36"/>
  <c r="U24" i="36"/>
  <c r="E85" i="36"/>
  <c r="F85" i="36" s="1"/>
  <c r="G85" i="36" s="1"/>
  <c r="H85" i="36" s="1"/>
  <c r="I85" i="36" s="1"/>
  <c r="J85" i="36" s="1"/>
  <c r="K85" i="36" s="1"/>
  <c r="L85" i="36" s="1"/>
  <c r="M85" i="36" s="1"/>
  <c r="J29" i="36"/>
  <c r="AC29" i="36" s="1"/>
  <c r="F12" i="36"/>
  <c r="S12" i="36"/>
  <c r="F24" i="36"/>
  <c r="AA24" i="36" s="1"/>
  <c r="F34" i="36"/>
  <c r="S34" i="36"/>
  <c r="S10" i="36"/>
  <c r="AB8" i="36"/>
  <c r="H16" i="35"/>
  <c r="U16" i="35"/>
  <c r="H33" i="35"/>
  <c r="AB33" i="35" s="1"/>
  <c r="W8" i="35"/>
  <c r="AC8" i="35"/>
  <c r="F35" i="37"/>
  <c r="E101" i="37"/>
  <c r="F101" i="37"/>
  <c r="G101" i="37"/>
  <c r="H101" i="37" s="1"/>
  <c r="I101" i="37" s="1"/>
  <c r="J101" i="37" s="1"/>
  <c r="K101" i="37" s="1"/>
  <c r="L101" i="37" s="1"/>
  <c r="M101" i="37" s="1"/>
  <c r="J34" i="37"/>
  <c r="W34" i="37"/>
  <c r="AA39" i="37"/>
  <c r="H43" i="34"/>
  <c r="U42" i="34"/>
  <c r="E114" i="34"/>
  <c r="H36" i="34"/>
  <c r="U36" i="34" s="1"/>
  <c r="F37" i="34"/>
  <c r="AA37" i="34"/>
  <c r="F33" i="34"/>
  <c r="S33" i="34" s="1"/>
  <c r="AA28" i="34"/>
  <c r="F19" i="34"/>
  <c r="AA19" i="34" s="1"/>
  <c r="J10" i="34"/>
  <c r="AC10" i="34"/>
  <c r="J28" i="34"/>
  <c r="W28" i="34"/>
  <c r="S38" i="33"/>
  <c r="E113" i="33"/>
  <c r="F36" i="33"/>
  <c r="S36" i="33"/>
  <c r="F19" i="33"/>
  <c r="S19" i="33" s="1"/>
  <c r="J19" i="33"/>
  <c r="S10" i="21"/>
  <c r="W40" i="33"/>
  <c r="AB30" i="36"/>
  <c r="AC34" i="36"/>
  <c r="S22" i="35"/>
  <c r="H29" i="35"/>
  <c r="U34" i="37"/>
  <c r="S34" i="37"/>
  <c r="AA34" i="37"/>
  <c r="AB42" i="34"/>
  <c r="AB40" i="34"/>
  <c r="W36" i="34"/>
  <c r="J19" i="34"/>
  <c r="AC19" i="34"/>
  <c r="F113" i="33"/>
  <c r="G113" i="33" s="1"/>
  <c r="H113" i="33" s="1"/>
  <c r="I113" i="33" s="1"/>
  <c r="J113" i="33" s="1"/>
  <c r="K113" i="33" s="1"/>
  <c r="L113" i="33" s="1"/>
  <c r="M113" i="33" s="1"/>
  <c r="H37" i="33"/>
  <c r="AB37" i="33" s="1"/>
  <c r="S37" i="33"/>
  <c r="W43" i="34"/>
  <c r="AC42" i="34"/>
  <c r="W42" i="34"/>
  <c r="S42" i="34"/>
  <c r="AC38" i="34"/>
  <c r="W38" i="34"/>
  <c r="AA38" i="34"/>
  <c r="S38" i="34"/>
  <c r="J37" i="33"/>
  <c r="W37" i="33" s="1"/>
  <c r="J42" i="21"/>
  <c r="AC42" i="21" s="1"/>
  <c r="J44" i="34"/>
  <c r="AC44" i="34" s="1"/>
  <c r="F44" i="34"/>
  <c r="S44" i="34"/>
  <c r="J10" i="35"/>
  <c r="W10" i="35" s="1"/>
  <c r="AL5" i="3"/>
  <c r="BQ13" i="3"/>
  <c r="BL13" i="3" s="1"/>
  <c r="J14" i="21"/>
  <c r="W14" i="21" s="1"/>
  <c r="F14" i="21"/>
  <c r="AA14" i="21" s="1"/>
  <c r="H14" i="21"/>
  <c r="U14" i="21"/>
  <c r="H28" i="21"/>
  <c r="AB28" i="21" s="1"/>
  <c r="J28" i="21"/>
  <c r="AC28" i="21" s="1"/>
  <c r="H30" i="21"/>
  <c r="U30" i="21" s="1"/>
  <c r="F30" i="21"/>
  <c r="S30" i="21" s="1"/>
  <c r="J30" i="21"/>
  <c r="H44" i="21"/>
  <c r="U44" i="21" s="1"/>
  <c r="H46" i="21"/>
  <c r="AB46" i="21" s="1"/>
  <c r="J46" i="21"/>
  <c r="W46" i="2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S45" i="21" s="1"/>
  <c r="AA45" i="21"/>
  <c r="H45" i="21"/>
  <c r="U45" i="21"/>
  <c r="J27" i="33"/>
  <c r="AC27" i="33"/>
  <c r="F27" i="33"/>
  <c r="S27" i="33"/>
  <c r="F13" i="33"/>
  <c r="S13" i="33"/>
  <c r="W29" i="33"/>
  <c r="J31" i="33"/>
  <c r="AC31" i="33"/>
  <c r="H31" i="33"/>
  <c r="U31" i="33"/>
  <c r="S31" i="33"/>
  <c r="J45" i="33"/>
  <c r="W45" i="33" s="1"/>
  <c r="F45" i="33"/>
  <c r="S45" i="33" s="1"/>
  <c r="F11" i="35"/>
  <c r="S11" i="35" s="1"/>
  <c r="H28" i="36"/>
  <c r="U28" i="36"/>
  <c r="H32" i="36"/>
  <c r="AB32" i="36" s="1"/>
  <c r="J32" i="36"/>
  <c r="J11" i="36"/>
  <c r="W11" i="36"/>
  <c r="H13" i="36"/>
  <c r="AB13" i="36"/>
  <c r="J13" i="36"/>
  <c r="AC13" i="36" s="1"/>
  <c r="W13" i="36"/>
  <c r="F13" i="36"/>
  <c r="S13" i="36"/>
  <c r="E89" i="37"/>
  <c r="F89" i="37"/>
  <c r="G89" i="37" s="1"/>
  <c r="H89" i="37" s="1"/>
  <c r="I89" i="37" s="1"/>
  <c r="J89" i="37" s="1"/>
  <c r="K89" i="37" s="1"/>
  <c r="L89" i="37" s="1"/>
  <c r="M89" i="37" s="1"/>
  <c r="J29" i="37"/>
  <c r="W29" i="37" s="1"/>
  <c r="F29" i="37"/>
  <c r="AA29" i="37"/>
  <c r="F105" i="37"/>
  <c r="AB36" i="37"/>
  <c r="F107" i="37"/>
  <c r="J37" i="37"/>
  <c r="AC37" i="37" s="1"/>
  <c r="H37" i="37"/>
  <c r="U37" i="37"/>
  <c r="H40" i="37"/>
  <c r="U40" i="37" s="1"/>
  <c r="J40" i="37"/>
  <c r="F40" i="37"/>
  <c r="AA40" i="37"/>
  <c r="H14" i="33"/>
  <c r="U14" i="33" s="1"/>
  <c r="F14" i="33"/>
  <c r="AA14" i="33"/>
  <c r="J14" i="33"/>
  <c r="AC14" i="33" s="1"/>
  <c r="H30" i="33"/>
  <c r="AB30" i="33" s="1"/>
  <c r="F30" i="33"/>
  <c r="S30" i="33" s="1"/>
  <c r="J30" i="33"/>
  <c r="H44" i="33"/>
  <c r="U44" i="33" s="1"/>
  <c r="AC44" i="33"/>
  <c r="F44" i="33"/>
  <c r="S44" i="33" s="1"/>
  <c r="J46" i="33"/>
  <c r="AC46" i="33"/>
  <c r="F46" i="33"/>
  <c r="AA46" i="33" s="1"/>
  <c r="H46" i="33"/>
  <c r="AB46" i="33"/>
  <c r="H13" i="34"/>
  <c r="U13" i="34" s="1"/>
  <c r="J13" i="34"/>
  <c r="W13" i="34"/>
  <c r="F13" i="34"/>
  <c r="AA13" i="34" s="1"/>
  <c r="J29" i="34"/>
  <c r="AC29" i="34"/>
  <c r="F29" i="34"/>
  <c r="S29" i="34" s="1"/>
  <c r="H29" i="34"/>
  <c r="U29" i="34"/>
  <c r="J31" i="34"/>
  <c r="AC31" i="34" s="1"/>
  <c r="H31" i="34"/>
  <c r="AB31" i="34"/>
  <c r="F31" i="34"/>
  <c r="S31" i="34" s="1"/>
  <c r="H45" i="34"/>
  <c r="U45" i="34"/>
  <c r="J45" i="34"/>
  <c r="W45" i="34" s="1"/>
  <c r="F45" i="34"/>
  <c r="AA45" i="34"/>
  <c r="H47" i="34"/>
  <c r="U47" i="34" s="1"/>
  <c r="F47" i="34"/>
  <c r="AA47" i="34"/>
  <c r="J47" i="34"/>
  <c r="AC47" i="34" s="1"/>
  <c r="J13" i="35"/>
  <c r="AC13" i="35"/>
  <c r="J25" i="35"/>
  <c r="AC25" i="35"/>
  <c r="F25" i="35"/>
  <c r="AA25" i="35"/>
  <c r="H25" i="35"/>
  <c r="AB25" i="35"/>
  <c r="F35" i="35"/>
  <c r="S35" i="35" s="1"/>
  <c r="J25" i="36"/>
  <c r="W25" i="36" s="1"/>
  <c r="F25" i="36"/>
  <c r="AA25" i="36"/>
  <c r="H25" i="36"/>
  <c r="AB25" i="36" s="1"/>
  <c r="H13" i="37"/>
  <c r="AB13" i="37"/>
  <c r="F13" i="37"/>
  <c r="S13" i="37" s="1"/>
  <c r="J13" i="37"/>
  <c r="AC13" i="37"/>
  <c r="F28" i="37"/>
  <c r="AA28" i="37" s="1"/>
  <c r="J28" i="37"/>
  <c r="AC28" i="37"/>
  <c r="H28" i="37"/>
  <c r="U28" i="37" s="1"/>
  <c r="H38" i="37"/>
  <c r="AB38" i="37"/>
  <c r="J38" i="37"/>
  <c r="AC38" i="37" s="1"/>
  <c r="F38" i="37"/>
  <c r="S38" i="37"/>
  <c r="F14" i="37"/>
  <c r="AA14" i="37" s="1"/>
  <c r="F27" i="37"/>
  <c r="AA27" i="37"/>
  <c r="J14" i="37"/>
  <c r="W14" i="37" s="1"/>
  <c r="J27" i="37"/>
  <c r="W27" i="37"/>
  <c r="AA38" i="37"/>
  <c r="W46" i="33"/>
  <c r="U30" i="33"/>
  <c r="AB40" i="37"/>
  <c r="J36" i="37"/>
  <c r="AC36" i="37"/>
  <c r="G105" i="37"/>
  <c r="AB28" i="36"/>
  <c r="AB31" i="21"/>
  <c r="AB13" i="21"/>
  <c r="S46" i="21"/>
  <c r="U46" i="21"/>
  <c r="AC30" i="21"/>
  <c r="W30" i="21"/>
  <c r="AB30" i="21"/>
  <c r="S28" i="21"/>
  <c r="AA28" i="21"/>
  <c r="AB14" i="21"/>
  <c r="AC14" i="21"/>
  <c r="U36" i="37"/>
  <c r="AB45" i="33"/>
  <c r="AB31" i="33"/>
  <c r="AA27" i="33"/>
  <c r="AB27" i="33"/>
  <c r="AC28" i="33"/>
  <c r="U28"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AZ501" i="3" s="1"/>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c r="BA551" i="3"/>
  <c r="AZ551" i="3" s="1"/>
  <c r="BA545" i="3"/>
  <c r="BA543" i="3"/>
  <c r="BA541" i="3"/>
  <c r="AZ541" i="3" s="1"/>
  <c r="BA531" i="3"/>
  <c r="BA521" i="3"/>
  <c r="BA509" i="3"/>
  <c r="BA505" i="3"/>
  <c r="BA501" i="3"/>
  <c r="BA493" i="3"/>
  <c r="AZ493" i="3"/>
  <c r="BA487" i="3"/>
  <c r="BA19" i="3"/>
  <c r="BA572" i="3"/>
  <c r="BA566" i="3"/>
  <c r="BA562" i="3"/>
  <c r="BA560" i="3"/>
  <c r="BA558" i="3"/>
  <c r="BA556" i="3"/>
  <c r="AZ556" i="3" s="1"/>
  <c r="BA554" i="3"/>
  <c r="BA550" i="3"/>
  <c r="BA546" i="3"/>
  <c r="BA544" i="3"/>
  <c r="AZ544" i="3" s="1"/>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c r="BA542" i="3"/>
  <c r="AZ542" i="3" s="1"/>
  <c r="AC542" i="3"/>
  <c r="G542" i="3" s="1"/>
  <c r="BQ542" i="3"/>
  <c r="BL542" i="3"/>
  <c r="BQ568" i="3"/>
  <c r="BQ566" i="3"/>
  <c r="BQ564" i="3"/>
  <c r="BL564" i="3" s="1"/>
  <c r="AZ564" i="3" s="1"/>
  <c r="BQ562" i="3"/>
  <c r="BL562" i="3"/>
  <c r="AZ562" i="3"/>
  <c r="BQ560" i="3"/>
  <c r="BL560" i="3" s="1"/>
  <c r="AZ560" i="3" s="1"/>
  <c r="BQ558" i="3"/>
  <c r="BL558" i="3"/>
  <c r="BQ556" i="3"/>
  <c r="BL556" i="3" s="1"/>
  <c r="BQ554" i="3"/>
  <c r="BQ552" i="3"/>
  <c r="BL552" i="3" s="1"/>
  <c r="AZ552" i="3" s="1"/>
  <c r="BQ550" i="3"/>
  <c r="BL550" i="3"/>
  <c r="AZ550" i="3" s="1"/>
  <c r="BQ548" i="3"/>
  <c r="BQ546" i="3"/>
  <c r="BL546" i="3"/>
  <c r="BQ544" i="3"/>
  <c r="BL544" i="3" s="1"/>
  <c r="G544" i="3"/>
  <c r="G538" i="3"/>
  <c r="G534" i="3"/>
  <c r="G530" i="3"/>
  <c r="G526" i="3"/>
  <c r="G522" i="3"/>
  <c r="BQ540" i="3"/>
  <c r="BL540" i="3" s="1"/>
  <c r="AZ540" i="3" s="1"/>
  <c r="BQ538" i="3"/>
  <c r="BL538" i="3"/>
  <c r="BQ536" i="3"/>
  <c r="BQ534" i="3"/>
  <c r="BL534" i="3"/>
  <c r="BQ532" i="3"/>
  <c r="BL532" i="3" s="1"/>
  <c r="AZ532" i="3" s="1"/>
  <c r="BQ530" i="3"/>
  <c r="BQ528" i="3"/>
  <c r="BQ526" i="3"/>
  <c r="BL526" i="3" s="1"/>
  <c r="BQ524" i="3"/>
  <c r="BL524" i="3"/>
  <c r="BQ522" i="3"/>
  <c r="BQ520" i="3"/>
  <c r="BL520" i="3" s="1"/>
  <c r="AZ520" i="3" s="1"/>
  <c r="BQ518" i="3"/>
  <c r="BQ516" i="3"/>
  <c r="BL516" i="3" s="1"/>
  <c r="AZ516" i="3" s="1"/>
  <c r="BQ514" i="3"/>
  <c r="BL514" i="3"/>
  <c r="BQ512" i="3"/>
  <c r="BQ510" i="3"/>
  <c r="BL510" i="3" s="1"/>
  <c r="AZ510" i="3" s="1"/>
  <c r="BQ508" i="3"/>
  <c r="BL508" i="3"/>
  <c r="AC506" i="3"/>
  <c r="G506" i="3" s="1"/>
  <c r="BQ506" i="3"/>
  <c r="G502" i="3"/>
  <c r="G498" i="3"/>
  <c r="BQ504" i="3"/>
  <c r="BQ502" i="3"/>
  <c r="BL502" i="3"/>
  <c r="BQ500" i="3"/>
  <c r="BL500" i="3" s="1"/>
  <c r="AZ500" i="3" s="1"/>
  <c r="BQ498" i="3"/>
  <c r="BQ496" i="3"/>
  <c r="AC494" i="3"/>
  <c r="BQ494" i="3"/>
  <c r="BL493" i="3"/>
  <c r="G492" i="3"/>
  <c r="G488" i="3"/>
  <c r="G484" i="3"/>
  <c r="G20" i="3"/>
  <c r="BQ492" i="3"/>
  <c r="BL492" i="3" s="1"/>
  <c r="AZ492" i="3" s="1"/>
  <c r="BQ490" i="3"/>
  <c r="BQ488" i="3"/>
  <c r="BL488" i="3"/>
  <c r="BQ486" i="3"/>
  <c r="BQ484" i="3"/>
  <c r="BL484" i="3"/>
  <c r="AZ484" i="3" s="1"/>
  <c r="BQ482" i="3"/>
  <c r="BL482" i="3" s="1"/>
  <c r="AZ482" i="3" s="1"/>
  <c r="BQ20" i="3"/>
  <c r="BL20" i="3"/>
  <c r="AZ20" i="3"/>
  <c r="BQ18" i="3"/>
  <c r="O27" i="31"/>
  <c r="O28" i="31"/>
  <c r="O26" i="31"/>
  <c r="M27" i="31"/>
  <c r="M28" i="31"/>
  <c r="M26" i="31"/>
  <c r="I26" i="31"/>
  <c r="I25" i="31"/>
  <c r="Q26" i="31"/>
  <c r="K26" i="31"/>
  <c r="I27" i="31"/>
  <c r="Q27" i="31"/>
  <c r="K27" i="31"/>
  <c r="I28" i="31"/>
  <c r="Q28" i="31"/>
  <c r="K28" i="31"/>
  <c r="AC28" i="34"/>
  <c r="H25" i="21"/>
  <c r="U25" i="21"/>
  <c r="F25" i="21"/>
  <c r="S25" i="21" s="1"/>
  <c r="J25" i="21"/>
  <c r="AC25" i="21"/>
  <c r="E125" i="33"/>
  <c r="F125" i="33" s="1"/>
  <c r="G125" i="33" s="1"/>
  <c r="H43" i="33"/>
  <c r="U43" i="33" s="1"/>
  <c r="H17" i="37"/>
  <c r="U17" i="37"/>
  <c r="F23" i="37"/>
  <c r="S23" i="37" s="1"/>
  <c r="F79" i="37"/>
  <c r="AB27" i="37"/>
  <c r="F39" i="33"/>
  <c r="AA39" i="33" s="1"/>
  <c r="E123" i="33"/>
  <c r="F42" i="33"/>
  <c r="AA42" i="33"/>
  <c r="H28" i="34"/>
  <c r="AB28" i="34"/>
  <c r="F22" i="36"/>
  <c r="S22" i="36"/>
  <c r="H35" i="34"/>
  <c r="U35" i="34" s="1"/>
  <c r="F41" i="34"/>
  <c r="S41" i="34"/>
  <c r="H41" i="34"/>
  <c r="U41" i="34" s="1"/>
  <c r="J41" i="34"/>
  <c r="W41" i="34"/>
  <c r="F10" i="35"/>
  <c r="AA10" i="35" s="1"/>
  <c r="F24" i="35"/>
  <c r="AA24" i="35"/>
  <c r="H24" i="35"/>
  <c r="AB24" i="35" s="1"/>
  <c r="H23" i="37"/>
  <c r="AB23" i="37"/>
  <c r="J32" i="37"/>
  <c r="AC32" i="37" s="1"/>
  <c r="F36" i="37"/>
  <c r="S36" i="37"/>
  <c r="F37" i="37"/>
  <c r="AA37" i="37" s="1"/>
  <c r="U23" i="37"/>
  <c r="AC41" i="34"/>
  <c r="F123" i="33"/>
  <c r="G123" i="33" s="1"/>
  <c r="H123" i="33" s="1"/>
  <c r="I123" i="33" s="1"/>
  <c r="J123" i="33" s="1"/>
  <c r="K123" i="33" s="1"/>
  <c r="L123" i="33" s="1"/>
  <c r="M123" i="33" s="1"/>
  <c r="H42" i="33"/>
  <c r="U42" i="33" s="1"/>
  <c r="J43" i="33"/>
  <c r="AC43" i="33"/>
  <c r="G79" i="37"/>
  <c r="J23" i="37"/>
  <c r="W23" i="37"/>
  <c r="F17" i="37"/>
  <c r="AA17" i="37" s="1"/>
  <c r="D3" i="21"/>
  <c r="AC33" i="36"/>
  <c r="AC12" i="35"/>
  <c r="W23" i="35"/>
  <c r="AC23" i="37"/>
  <c r="S27" i="37"/>
  <c r="U39" i="37"/>
  <c r="AC8" i="37"/>
  <c r="AC36" i="34"/>
  <c r="AB8" i="34"/>
  <c r="AC37" i="33"/>
  <c r="AA13" i="33"/>
  <c r="AC45" i="33"/>
  <c r="AA36" i="21"/>
  <c r="S39" i="33"/>
  <c r="F43" i="33"/>
  <c r="AA43" i="33" s="1"/>
  <c r="S10" i="35"/>
  <c r="AB44" i="33"/>
  <c r="G107" i="37"/>
  <c r="H107" i="37"/>
  <c r="I107" i="37"/>
  <c r="J107" i="37" s="1"/>
  <c r="K107" i="37" s="1"/>
  <c r="L107" i="37" s="1"/>
  <c r="M107" i="37" s="1"/>
  <c r="AA9" i="21"/>
  <c r="F37" i="21"/>
  <c r="S37" i="21" s="1"/>
  <c r="J37" i="21"/>
  <c r="W37" i="21" s="1"/>
  <c r="H19" i="34"/>
  <c r="AB19" i="34"/>
  <c r="J10" i="37"/>
  <c r="W10" i="37" s="1"/>
  <c r="F36" i="35"/>
  <c r="S36" i="35"/>
  <c r="J9" i="37"/>
  <c r="W9" i="37" s="1"/>
  <c r="H9" i="37"/>
  <c r="U9" i="37"/>
  <c r="F9" i="37"/>
  <c r="S9" i="37" s="1"/>
  <c r="F11" i="37"/>
  <c r="S11" i="37"/>
  <c r="J12" i="37"/>
  <c r="AC12" i="37" s="1"/>
  <c r="H12" i="37"/>
  <c r="AB12" i="37"/>
  <c r="F12" i="37"/>
  <c r="AA12" i="37" s="1"/>
  <c r="H15" i="37"/>
  <c r="U15" i="37"/>
  <c r="E94" i="37"/>
  <c r="F94" i="37" s="1"/>
  <c r="G94" i="37" s="1"/>
  <c r="H94" i="37" s="1"/>
  <c r="I94" i="37" s="1"/>
  <c r="J94" i="37" s="1"/>
  <c r="K94" i="37" s="1"/>
  <c r="L94" i="37" s="1"/>
  <c r="M94" i="37" s="1"/>
  <c r="F31" i="37"/>
  <c r="S31" i="37" s="1"/>
  <c r="H31" i="37"/>
  <c r="AB31" i="37"/>
  <c r="J15" i="37"/>
  <c r="W15" i="37" s="1"/>
  <c r="U12" i="37"/>
  <c r="AB10" i="37"/>
  <c r="J11" i="37"/>
  <c r="W11" i="37" s="1"/>
  <c r="U31" i="37"/>
  <c r="E89" i="40"/>
  <c r="F89" i="40" s="1"/>
  <c r="G89" i="40" s="1"/>
  <c r="F21" i="40"/>
  <c r="S21" i="40" s="1"/>
  <c r="J21" i="40"/>
  <c r="AC21" i="40" s="1"/>
  <c r="S27" i="31"/>
  <c r="AZ558" i="3"/>
  <c r="G483" i="3"/>
  <c r="G515" i="3"/>
  <c r="G507" i="3"/>
  <c r="G501" i="3"/>
  <c r="BA15" i="3"/>
  <c r="BL17" i="3"/>
  <c r="BL15" i="3"/>
  <c r="BA14" i="3"/>
  <c r="AZ14" i="3" s="1"/>
  <c r="J57" i="39"/>
  <c r="H13" i="40"/>
  <c r="U13" i="40" s="1"/>
  <c r="H12" i="48"/>
  <c r="I4" i="4"/>
  <c r="K141" i="21"/>
  <c r="K143" i="21"/>
  <c r="K144" i="21"/>
  <c r="I58" i="40"/>
  <c r="C58" i="40" s="1"/>
  <c r="I59" i="40"/>
  <c r="C59" i="40" s="1"/>
  <c r="G297" i="3"/>
  <c r="BL298" i="3"/>
  <c r="G299" i="3"/>
  <c r="BL300" i="3"/>
  <c r="AZ300" i="3" s="1"/>
  <c r="BA302" i="3"/>
  <c r="AZ302" i="3" s="1"/>
  <c r="BA303" i="3"/>
  <c r="BL303" i="3"/>
  <c r="AZ303" i="3" s="1"/>
  <c r="G304" i="3"/>
  <c r="BA305" i="3"/>
  <c r="G321" i="3"/>
  <c r="BL322" i="3"/>
  <c r="G323" i="3"/>
  <c r="BL324" i="3"/>
  <c r="BA326" i="3"/>
  <c r="AZ326" i="3" s="1"/>
  <c r="BA327" i="3"/>
  <c r="BL327" i="3"/>
  <c r="AZ327" i="3"/>
  <c r="G328" i="3"/>
  <c r="BA329" i="3"/>
  <c r="G337" i="3"/>
  <c r="BL338" i="3"/>
  <c r="AZ338" i="3" s="1"/>
  <c r="G339" i="3"/>
  <c r="BL340" i="3"/>
  <c r="BA342" i="3"/>
  <c r="AZ342" i="3" s="1"/>
  <c r="BA343" i="3"/>
  <c r="BL343" i="3"/>
  <c r="AZ343" i="3"/>
  <c r="G344" i="3"/>
  <c r="BA345" i="3"/>
  <c r="G353" i="3"/>
  <c r="BL354" i="3"/>
  <c r="G355" i="3"/>
  <c r="BL356" i="3"/>
  <c r="G357" i="3"/>
  <c r="BL358" i="3"/>
  <c r="G359" i="3"/>
  <c r="BA360" i="3"/>
  <c r="AZ360" i="3" s="1"/>
  <c r="BA361" i="3"/>
  <c r="BL361" i="3"/>
  <c r="G362" i="3"/>
  <c r="BA363" i="3"/>
  <c r="AZ363" i="3" s="1"/>
  <c r="G371" i="3"/>
  <c r="BL372" i="3"/>
  <c r="G373" i="3"/>
  <c r="BL374" i="3"/>
  <c r="AZ374" i="3" s="1"/>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5" i="3"/>
  <c r="G537" i="3"/>
  <c r="BL181" i="3"/>
  <c r="AZ181" i="3"/>
  <c r="G182" i="3"/>
  <c r="BA184" i="3"/>
  <c r="AZ184" i="3"/>
  <c r="BL185" i="3"/>
  <c r="AZ185" i="3" s="1"/>
  <c r="G186" i="3"/>
  <c r="BA188" i="3"/>
  <c r="AZ188" i="3"/>
  <c r="BL189" i="3"/>
  <c r="AZ189" i="3" s="1"/>
  <c r="G190" i="3"/>
  <c r="BA192" i="3"/>
  <c r="AZ192" i="3"/>
  <c r="BL193" i="3"/>
  <c r="AZ193" i="3" s="1"/>
  <c r="G194" i="3"/>
  <c r="BA196" i="3"/>
  <c r="AZ196" i="3" s="1"/>
  <c r="BL197" i="3"/>
  <c r="AZ197" i="3"/>
  <c r="G198" i="3"/>
  <c r="BA200" i="3"/>
  <c r="AZ200" i="3" s="1"/>
  <c r="BL201" i="3"/>
  <c r="AZ201" i="3" s="1"/>
  <c r="AZ66" i="3"/>
  <c r="AZ70" i="3"/>
  <c r="AZ78" i="3"/>
  <c r="AZ82" i="3"/>
  <c r="AZ84" i="3"/>
  <c r="AZ86" i="3"/>
  <c r="AZ90" i="3"/>
  <c r="AZ94" i="3"/>
  <c r="AZ98" i="3"/>
  <c r="AZ102" i="3"/>
  <c r="AZ106" i="3"/>
  <c r="AZ110" i="3"/>
  <c r="G491" i="3"/>
  <c r="BA298" i="3"/>
  <c r="AZ298" i="3" s="1"/>
  <c r="BA299" i="3"/>
  <c r="BL299" i="3"/>
  <c r="AZ299" i="3" s="1"/>
  <c r="G300" i="3"/>
  <c r="G303" i="3"/>
  <c r="BL304" i="3"/>
  <c r="BA306" i="3"/>
  <c r="AZ306" i="3" s="1"/>
  <c r="BA307" i="3"/>
  <c r="BL307" i="3"/>
  <c r="AZ307" i="3"/>
  <c r="G308" i="3"/>
  <c r="G319" i="3"/>
  <c r="BL320" i="3"/>
  <c r="BA322" i="3"/>
  <c r="AZ322" i="3" s="1"/>
  <c r="BA323" i="3"/>
  <c r="AZ323" i="3" s="1"/>
  <c r="BL323" i="3"/>
  <c r="G324" i="3"/>
  <c r="G327" i="3"/>
  <c r="BL328" i="3"/>
  <c r="BA330" i="3"/>
  <c r="AZ330" i="3"/>
  <c r="BA331" i="3"/>
  <c r="AZ331" i="3" s="1"/>
  <c r="BL331" i="3"/>
  <c r="G332" i="3"/>
  <c r="G335" i="3"/>
  <c r="BL336" i="3"/>
  <c r="BA338" i="3"/>
  <c r="BA339" i="3"/>
  <c r="BL339" i="3"/>
  <c r="G340" i="3"/>
  <c r="G343" i="3"/>
  <c r="BL344" i="3"/>
  <c r="BA346" i="3"/>
  <c r="AZ346" i="3" s="1"/>
  <c r="BA347" i="3"/>
  <c r="BL347" i="3"/>
  <c r="AZ347" i="3" s="1"/>
  <c r="G348" i="3"/>
  <c r="G351" i="3"/>
  <c r="BL352" i="3"/>
  <c r="BA354" i="3"/>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AZ373" i="3" s="1"/>
  <c r="BL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AZ305" i="3" s="1"/>
  <c r="G306" i="3"/>
  <c r="BA308" i="3"/>
  <c r="AZ308" i="3"/>
  <c r="BL309" i="3"/>
  <c r="G310" i="3"/>
  <c r="BA310" i="3"/>
  <c r="AZ310" i="3"/>
  <c r="BL311" i="3"/>
  <c r="AZ311" i="3" s="1"/>
  <c r="G312" i="3"/>
  <c r="BA312" i="3"/>
  <c r="AZ312" i="3"/>
  <c r="BL313" i="3"/>
  <c r="AZ313" i="3" s="1"/>
  <c r="G314" i="3"/>
  <c r="BA314" i="3"/>
  <c r="AZ314" i="3"/>
  <c r="BL315" i="3"/>
  <c r="G316" i="3"/>
  <c r="BA316" i="3"/>
  <c r="AZ316" i="3"/>
  <c r="BL317" i="3"/>
  <c r="AZ317" i="3" s="1"/>
  <c r="G318" i="3"/>
  <c r="BA320" i="3"/>
  <c r="AZ320" i="3"/>
  <c r="BL321" i="3"/>
  <c r="AZ321" i="3" s="1"/>
  <c r="G322" i="3"/>
  <c r="BA324" i="3"/>
  <c r="AZ324" i="3"/>
  <c r="BL325" i="3"/>
  <c r="G326" i="3"/>
  <c r="BA328" i="3"/>
  <c r="AZ328" i="3"/>
  <c r="BL329" i="3"/>
  <c r="AZ329" i="3" s="1"/>
  <c r="G330" i="3"/>
  <c r="BA332" i="3"/>
  <c r="AZ332" i="3"/>
  <c r="BL333" i="3"/>
  <c r="G334" i="3"/>
  <c r="BA336" i="3"/>
  <c r="AZ336" i="3"/>
  <c r="BL337" i="3"/>
  <c r="AZ337" i="3" s="1"/>
  <c r="G338" i="3"/>
  <c r="BA340" i="3"/>
  <c r="AZ340" i="3"/>
  <c r="BL341" i="3"/>
  <c r="AZ341" i="3" s="1"/>
  <c r="G342" i="3"/>
  <c r="BA344" i="3"/>
  <c r="AZ344" i="3"/>
  <c r="BL345" i="3"/>
  <c r="AZ345" i="3" s="1"/>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5" i="3"/>
  <c r="AZ333" i="3"/>
  <c r="AZ349" i="3"/>
  <c r="AZ353" i="3"/>
  <c r="AZ367" i="3"/>
  <c r="G368" i="3"/>
  <c r="BA370" i="3"/>
  <c r="AZ370" i="3" s="1"/>
  <c r="BL371" i="3"/>
  <c r="AZ371" i="3"/>
  <c r="G372" i="3"/>
  <c r="BA374" i="3"/>
  <c r="BL375" i="3"/>
  <c r="G376" i="3"/>
  <c r="BA378" i="3"/>
  <c r="AZ378" i="3"/>
  <c r="BL379" i="3"/>
  <c r="G380" i="3"/>
  <c r="BA382" i="3"/>
  <c r="AZ382" i="3"/>
  <c r="BL383" i="3"/>
  <c r="G384" i="3"/>
  <c r="AZ249" i="3"/>
  <c r="AZ253" i="3"/>
  <c r="AZ261" i="3"/>
  <c r="AZ265" i="3"/>
  <c r="AZ375" i="3"/>
  <c r="AZ383" i="3"/>
  <c r="AZ270" i="3"/>
  <c r="AZ274" i="3"/>
  <c r="AZ278" i="3"/>
  <c r="AZ282" i="3"/>
  <c r="AZ286" i="3"/>
  <c r="AZ290" i="3"/>
  <c r="AZ295" i="3"/>
  <c r="AZ315" i="3"/>
  <c r="AZ319" i="3"/>
  <c r="AZ335" i="3"/>
  <c r="AZ339" i="3"/>
  <c r="AZ351" i="3"/>
  <c r="AZ361" i="3"/>
  <c r="AZ369" i="3"/>
  <c r="AZ385" i="3"/>
  <c r="AZ390" i="3"/>
  <c r="AZ394" i="3"/>
  <c r="AZ410" i="3"/>
  <c r="AZ414" i="3"/>
  <c r="AZ418" i="3"/>
  <c r="AZ422"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AC26" i="36"/>
  <c r="W25" i="35"/>
  <c r="AZ354" i="3"/>
  <c r="H13" i="39"/>
  <c r="AB13" i="39" s="1"/>
  <c r="F13" i="39"/>
  <c r="S13" i="39" s="1"/>
  <c r="J13" i="39"/>
  <c r="AC13" i="39" s="1"/>
  <c r="AA36" i="35"/>
  <c r="H11" i="37"/>
  <c r="AB11" i="37"/>
  <c r="W37" i="37"/>
  <c r="AA30" i="33"/>
  <c r="AA36" i="37"/>
  <c r="S42" i="33"/>
  <c r="U32" i="33"/>
  <c r="AB17" i="37"/>
  <c r="AZ488" i="3"/>
  <c r="AZ508" i="3"/>
  <c r="AZ524" i="3"/>
  <c r="AZ546"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W9" i="21"/>
  <c r="J32" i="21"/>
  <c r="AC32" i="21" s="1"/>
  <c r="AC5" i="3"/>
  <c r="F17" i="21"/>
  <c r="S17" i="21" s="1"/>
  <c r="H17" i="21"/>
  <c r="U17" i="21" s="1"/>
  <c r="J17" i="21"/>
  <c r="W17" i="21" s="1"/>
  <c r="H37" i="21"/>
  <c r="U37" i="21" s="1"/>
  <c r="F40" i="21"/>
  <c r="S40" i="21"/>
  <c r="H40" i="21"/>
  <c r="AB40" i="21"/>
  <c r="E119" i="21"/>
  <c r="F119" i="21"/>
  <c r="G119" i="21" s="1"/>
  <c r="H119" i="21" s="1"/>
  <c r="I119" i="21" s="1"/>
  <c r="J119" i="21" s="1"/>
  <c r="K119" i="21" s="1"/>
  <c r="L119" i="21" s="1"/>
  <c r="M119" i="21" s="1"/>
  <c r="S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AZ571" i="3" s="1"/>
  <c r="BA571" i="3"/>
  <c r="BL570" i="3"/>
  <c r="BE5" i="3"/>
  <c r="F42" i="21"/>
  <c r="AA42" i="21" s="1"/>
  <c r="AB40" i="33"/>
  <c r="U40" i="33"/>
  <c r="AA35" i="34"/>
  <c r="S35" i="34"/>
  <c r="E90" i="34"/>
  <c r="H27" i="34"/>
  <c r="AB27" i="34"/>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AB17" i="39" s="1"/>
  <c r="J17" i="39"/>
  <c r="W17" i="39" s="1"/>
  <c r="F21" i="39"/>
  <c r="S21" i="39" s="1"/>
  <c r="H21" i="39"/>
  <c r="J21" i="39"/>
  <c r="W21" i="39" s="1"/>
  <c r="F33" i="39"/>
  <c r="S33" i="39" s="1"/>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BA563" i="3"/>
  <c r="AZ563" i="3"/>
  <c r="BL554" i="3"/>
  <c r="AZ554" i="3"/>
  <c r="BA553" i="3"/>
  <c r="AZ553" i="3"/>
  <c r="BA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AZ518" i="3" s="1"/>
  <c r="BA518" i="3"/>
  <c r="BL517" i="3"/>
  <c r="BA517" i="3"/>
  <c r="AZ517" i="3" s="1"/>
  <c r="BL515" i="3"/>
  <c r="BA515" i="3"/>
  <c r="BA514" i="3"/>
  <c r="AZ514" i="3" s="1"/>
  <c r="BL513" i="3"/>
  <c r="BA513" i="3"/>
  <c r="AZ513" i="3"/>
  <c r="BL512" i="3"/>
  <c r="AZ512" i="3"/>
  <c r="BA511" i="3"/>
  <c r="AZ511" i="3"/>
  <c r="BA510" i="3"/>
  <c r="BL509" i="3"/>
  <c r="AZ509" i="3"/>
  <c r="BL507" i="3"/>
  <c r="BA507" i="3"/>
  <c r="AZ507" i="3" s="1"/>
  <c r="BL506" i="3"/>
  <c r="AZ506" i="3" s="1"/>
  <c r="BA506" i="3"/>
  <c r="BL505" i="3"/>
  <c r="AZ505" i="3"/>
  <c r="BL504" i="3"/>
  <c r="BA504" i="3"/>
  <c r="BA503" i="3"/>
  <c r="AZ503" i="3"/>
  <c r="BA500" i="3"/>
  <c r="BL499" i="3"/>
  <c r="BA499" i="3"/>
  <c r="AZ499" i="3" s="1"/>
  <c r="BL498" i="3"/>
  <c r="AZ498" i="3" s="1"/>
  <c r="BL497" i="3"/>
  <c r="AZ497" i="3" s="1"/>
  <c r="BA497" i="3"/>
  <c r="BL496" i="3"/>
  <c r="BA496" i="3"/>
  <c r="AZ496" i="3"/>
  <c r="BA495" i="3"/>
  <c r="AZ495" i="3"/>
  <c r="BL494" i="3"/>
  <c r="BA494" i="3"/>
  <c r="AZ494" i="3" s="1"/>
  <c r="G494" i="3"/>
  <c r="BA491" i="3"/>
  <c r="AZ491" i="3"/>
  <c r="BL490" i="3"/>
  <c r="BA490" i="3"/>
  <c r="AZ490" i="3" s="1"/>
  <c r="BL489" i="3"/>
  <c r="AZ489" i="3" s="1"/>
  <c r="BA489" i="3"/>
  <c r="BL487" i="3"/>
  <c r="AZ487" i="3"/>
  <c r="BL486" i="3"/>
  <c r="BA486" i="3"/>
  <c r="BA485" i="3"/>
  <c r="AZ485" i="3"/>
  <c r="BA483" i="3"/>
  <c r="AZ483" i="3"/>
  <c r="BA482" i="3"/>
  <c r="BL481" i="3"/>
  <c r="BA481" i="3"/>
  <c r="AZ481"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S35" i="21"/>
  <c r="AB10" i="21"/>
  <c r="U8" i="21"/>
  <c r="AB8" i="21"/>
  <c r="S34" i="21"/>
  <c r="AC36" i="21"/>
  <c r="AB8" i="33"/>
  <c r="U8" i="33"/>
  <c r="E106" i="33"/>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AB16" i="39" s="1"/>
  <c r="J16" i="39"/>
  <c r="AC16" i="39" s="1"/>
  <c r="F23" i="39"/>
  <c r="AA23" i="39" s="1"/>
  <c r="E96" i="39"/>
  <c r="F27" i="39"/>
  <c r="AA27" i="39" s="1"/>
  <c r="H27" i="39"/>
  <c r="AB27" i="39" s="1"/>
  <c r="J27" i="39"/>
  <c r="AC27" i="39" s="1"/>
  <c r="F15" i="40"/>
  <c r="AA15" i="40" s="1"/>
  <c r="J15" i="40"/>
  <c r="H15" i="40"/>
  <c r="AB15" i="40"/>
  <c r="E91" i="40"/>
  <c r="F91" i="40"/>
  <c r="G91" i="40" s="1"/>
  <c r="H23" i="40"/>
  <c r="U23" i="40"/>
  <c r="H41" i="40"/>
  <c r="AB41" i="40"/>
  <c r="F41" i="40"/>
  <c r="AA41" i="40"/>
  <c r="J41" i="40"/>
  <c r="H36" i="33"/>
  <c r="AB36" i="33" s="1"/>
  <c r="H37" i="34"/>
  <c r="AB37" i="34" s="1"/>
  <c r="F15" i="39"/>
  <c r="AA15" i="39"/>
  <c r="H15" i="39"/>
  <c r="U15" i="39"/>
  <c r="J15" i="39"/>
  <c r="AC15" i="39"/>
  <c r="H25" i="39"/>
  <c r="U25" i="39" s="1"/>
  <c r="J25" i="39"/>
  <c r="W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9" i="3"/>
  <c r="AZ407" i="3"/>
  <c r="AZ415" i="3"/>
  <c r="AZ423" i="3"/>
  <c r="AZ439" i="3"/>
  <c r="AZ454" i="3"/>
  <c r="J42" i="40"/>
  <c r="AC42" i="40"/>
  <c r="J40" i="40"/>
  <c r="AC40" i="40"/>
  <c r="J34" i="40"/>
  <c r="AC34" i="40"/>
  <c r="H16" i="40"/>
  <c r="AB16" i="40"/>
  <c r="H14" i="40"/>
  <c r="U14" i="40"/>
  <c r="F32" i="40"/>
  <c r="AA32" i="40"/>
  <c r="AZ401" i="3"/>
  <c r="AZ428" i="3"/>
  <c r="AZ433"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8" i="3"/>
  <c r="AZ63" i="3"/>
  <c r="AZ79" i="3"/>
  <c r="AZ91" i="3"/>
  <c r="AZ99" i="3"/>
  <c r="AZ107" i="3"/>
  <c r="AZ112" i="3"/>
  <c r="J13" i="40"/>
  <c r="W13" i="40"/>
  <c r="AB14" i="40"/>
  <c r="W40" i="40"/>
  <c r="AC14" i="40"/>
  <c r="S33" i="40"/>
  <c r="S47" i="39"/>
  <c r="AB25" i="39"/>
  <c r="AC41" i="40"/>
  <c r="W41" i="40"/>
  <c r="U41" i="40"/>
  <c r="J23" i="40"/>
  <c r="AC23" i="40"/>
  <c r="F23" i="40"/>
  <c r="S23" i="40" s="1"/>
  <c r="AC15" i="40"/>
  <c r="W15" i="40"/>
  <c r="W14" i="39"/>
  <c r="AB23" i="35"/>
  <c r="H20" i="35"/>
  <c r="U20" i="35" s="1"/>
  <c r="F20" i="35"/>
  <c r="S20" i="35" s="1"/>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B38" i="34"/>
  <c r="AZ486" i="3"/>
  <c r="AZ504" i="3"/>
  <c r="AZ515" i="3"/>
  <c r="AZ529" i="3"/>
  <c r="AZ530" i="3"/>
  <c r="AZ537" i="3"/>
  <c r="AZ548" i="3"/>
  <c r="AB37" i="39"/>
  <c r="AA29" i="35"/>
  <c r="U39" i="39"/>
  <c r="J29" i="39"/>
  <c r="AC29" i="39" s="1"/>
  <c r="AB21" i="39"/>
  <c r="U21" i="39"/>
  <c r="AB33" i="36"/>
  <c r="AA11" i="36"/>
  <c r="S14" i="35"/>
  <c r="G99" i="37"/>
  <c r="F33" i="37"/>
  <c r="AA33" i="37" s="1"/>
  <c r="AB19" i="39"/>
  <c r="U19" i="39"/>
  <c r="U46" i="34"/>
  <c r="AC30" i="34"/>
  <c r="AA14" i="34"/>
  <c r="W12" i="34"/>
  <c r="U29" i="33"/>
  <c r="AC13" i="33"/>
  <c r="U17" i="34"/>
  <c r="AA11" i="34"/>
  <c r="H15" i="33"/>
  <c r="U15" i="33" s="1"/>
  <c r="AA40" i="21"/>
  <c r="U16" i="40"/>
  <c r="W34" i="40"/>
  <c r="AB34" i="40"/>
  <c r="U42" i="40"/>
  <c r="W32" i="40"/>
  <c r="H25" i="40"/>
  <c r="AB25" i="40"/>
  <c r="F93" i="40"/>
  <c r="G93" i="40"/>
  <c r="W15" i="39"/>
  <c r="J37" i="34"/>
  <c r="AC37" i="34"/>
  <c r="J36" i="33"/>
  <c r="AC36" i="33" s="1"/>
  <c r="S41" i="40"/>
  <c r="AB23" i="40"/>
  <c r="U27" i="39"/>
  <c r="H23" i="39"/>
  <c r="AB23" i="39" s="1"/>
  <c r="J23" i="39"/>
  <c r="AC23" i="39" s="1"/>
  <c r="F96" i="39"/>
  <c r="G96" i="39" s="1"/>
  <c r="S16" i="39"/>
  <c r="AA15" i="34"/>
  <c r="AA34" i="33"/>
  <c r="F106" i="33"/>
  <c r="G106" i="33"/>
  <c r="H106" i="33" s="1"/>
  <c r="I106" i="33" s="1"/>
  <c r="J106" i="33" s="1"/>
  <c r="K106" i="33" s="1"/>
  <c r="L106" i="33" s="1"/>
  <c r="M106" i="33" s="1"/>
  <c r="J34" i="33"/>
  <c r="W34" i="33" s="1"/>
  <c r="AC34" i="33"/>
  <c r="AA37" i="39"/>
  <c r="W29" i="35"/>
  <c r="AC39" i="39"/>
  <c r="W39" i="39"/>
  <c r="AA39" i="39"/>
  <c r="U34" i="39"/>
  <c r="AB46" i="39"/>
  <c r="AB44" i="39"/>
  <c r="AC33" i="39"/>
  <c r="W33" i="39"/>
  <c r="AA33" i="39"/>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F25" i="40"/>
  <c r="AA25" i="40" s="1"/>
  <c r="J11" i="33"/>
  <c r="AC11" i="33" s="1"/>
  <c r="H33" i="37"/>
  <c r="AB33" i="37"/>
  <c r="AC15" i="34"/>
  <c r="AB20" i="35"/>
  <c r="W23" i="40"/>
  <c r="AP11" i="1"/>
  <c r="B11" i="1"/>
  <c r="E11" i="1"/>
  <c r="K11" i="1"/>
  <c r="M11" i="1" s="1"/>
  <c r="B9" i="1"/>
  <c r="E9" i="1" s="1"/>
  <c r="K9" i="1"/>
  <c r="M9" i="1" s="1"/>
  <c r="B7" i="1"/>
  <c r="E7" i="1"/>
  <c r="F6" i="1"/>
  <c r="AP6" i="1" s="1"/>
  <c r="G11" i="1"/>
  <c r="AC25" i="36"/>
  <c r="S8" i="36"/>
  <c r="AA26" i="36"/>
  <c r="AA28" i="36"/>
  <c r="U25" i="36"/>
  <c r="H20" i="36"/>
  <c r="U20" i="36" s="1"/>
  <c r="F68" i="36"/>
  <c r="G68" i="36" s="1"/>
  <c r="J20" i="36"/>
  <c r="AC20" i="36" s="1"/>
  <c r="F20" i="36"/>
  <c r="S20" i="36" s="1"/>
  <c r="F62" i="36"/>
  <c r="G62" i="36" s="1"/>
  <c r="J14" i="36"/>
  <c r="H14" i="36"/>
  <c r="F14" i="36"/>
  <c r="S14" i="36" s="1"/>
  <c r="U27" i="36"/>
  <c r="U32" i="36"/>
  <c r="AB12" i="36"/>
  <c r="U9" i="36"/>
  <c r="S33" i="36"/>
  <c r="AA27" i="36"/>
  <c r="S16" i="36"/>
  <c r="S29" i="36"/>
  <c r="AC33" i="35"/>
  <c r="U22" i="35"/>
  <c r="AC9" i="35"/>
  <c r="S8" i="35"/>
  <c r="U33" i="35"/>
  <c r="W20" i="35"/>
  <c r="S23" i="35"/>
  <c r="S16" i="35"/>
  <c r="AB14" i="35"/>
  <c r="AC10" i="35"/>
  <c r="U9" i="35"/>
  <c r="W13" i="35"/>
  <c r="AC18" i="35"/>
  <c r="W18" i="35"/>
  <c r="U18" i="35"/>
  <c r="AB18" i="35"/>
  <c r="S30" i="35"/>
  <c r="AA35" i="35"/>
  <c r="AB30" i="35"/>
  <c r="S27" i="35"/>
  <c r="S28" i="35"/>
  <c r="J26" i="35"/>
  <c r="F26" i="35"/>
  <c r="H26" i="35"/>
  <c r="AB26" i="35" s="1"/>
  <c r="AB9" i="37"/>
  <c r="W12" i="37"/>
  <c r="AA9" i="37"/>
  <c r="S17" i="37"/>
  <c r="W28" i="37"/>
  <c r="AB37" i="37"/>
  <c r="AA31" i="37"/>
  <c r="S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AC25" i="34" s="1"/>
  <c r="H25" i="34"/>
  <c r="F25" i="34"/>
  <c r="J23" i="34"/>
  <c r="F86" i="34"/>
  <c r="G86" i="34" s="1"/>
  <c r="F23" i="34"/>
  <c r="S23" i="34" s="1"/>
  <c r="H23" i="34"/>
  <c r="W17" i="34"/>
  <c r="W10" i="34"/>
  <c r="U10" i="34"/>
  <c r="W37" i="34"/>
  <c r="AC40" i="34"/>
  <c r="W44" i="34"/>
  <c r="W19" i="34"/>
  <c r="W29" i="34"/>
  <c r="AC21" i="34"/>
  <c r="W21" i="34"/>
  <c r="U15" i="34"/>
  <c r="AB21" i="34"/>
  <c r="U21" i="34"/>
  <c r="U27" i="34"/>
  <c r="U19" i="34"/>
  <c r="AB41" i="34"/>
  <c r="S13" i="34"/>
  <c r="AA41" i="34"/>
  <c r="S10" i="34"/>
  <c r="U39" i="33"/>
  <c r="U37" i="33"/>
  <c r="S35" i="33"/>
  <c r="AC12"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S25" i="33" s="1"/>
  <c r="F85" i="33"/>
  <c r="G85" i="33"/>
  <c r="J23" i="33"/>
  <c r="W23" i="33" s="1"/>
  <c r="F23" i="33"/>
  <c r="AA23" i="33" s="1"/>
  <c r="H23" i="33"/>
  <c r="U23" i="33" s="1"/>
  <c r="F79" i="33"/>
  <c r="G79" i="33"/>
  <c r="F17" i="33"/>
  <c r="S17" i="33" s="1"/>
  <c r="H17" i="33"/>
  <c r="AB17" i="33" s="1"/>
  <c r="J17" i="33"/>
  <c r="W17" i="33" s="1"/>
  <c r="AB15" i="33"/>
  <c r="S10" i="33"/>
  <c r="S14" i="33"/>
  <c r="W10" i="33"/>
  <c r="AC21" i="33"/>
  <c r="W21" i="33"/>
  <c r="W14" i="33"/>
  <c r="AB10" i="33"/>
  <c r="AB21" i="33"/>
  <c r="U21" i="33"/>
  <c r="AA44" i="33"/>
  <c r="AA36" i="33"/>
  <c r="W39" i="21"/>
  <c r="W32" i="21"/>
  <c r="U35" i="21"/>
  <c r="W43" i="21"/>
  <c r="AA37" i="21"/>
  <c r="W28" i="21"/>
  <c r="AC46" i="21"/>
  <c r="AC26" i="21"/>
  <c r="F85" i="21"/>
  <c r="G85" i="21"/>
  <c r="J23" i="21"/>
  <c r="AC23" i="21" s="1"/>
  <c r="W23" i="21"/>
  <c r="F23" i="21"/>
  <c r="H23" i="21"/>
  <c r="U23" i="21" s="1"/>
  <c r="F15" i="21"/>
  <c r="S15" i="21" s="1"/>
  <c r="F77" i="21"/>
  <c r="G77" i="21"/>
  <c r="J15" i="21"/>
  <c r="W15" i="21" s="1"/>
  <c r="H15" i="21"/>
  <c r="AC11" i="21"/>
  <c r="W13" i="21"/>
  <c r="AC21" i="21"/>
  <c r="W10" i="21"/>
  <c r="AC38" i="21"/>
  <c r="AB29" i="21"/>
  <c r="AA30" i="21"/>
  <c r="AA31" i="21"/>
  <c r="W33" i="40"/>
  <c r="U33" i="40"/>
  <c r="U15" i="40"/>
  <c r="S14" i="40"/>
  <c r="S15" i="40"/>
  <c r="AB13" i="40"/>
  <c r="S16" i="40"/>
  <c r="W11" i="40"/>
  <c r="AA21" i="40"/>
  <c r="U21" i="40"/>
  <c r="W25" i="40"/>
  <c r="U25" i="40"/>
  <c r="W42" i="40"/>
  <c r="U35" i="40"/>
  <c r="F37" i="40"/>
  <c r="J37" i="40"/>
  <c r="AC37" i="40" s="1"/>
  <c r="H37" i="40"/>
  <c r="AB37" i="40" s="1"/>
  <c r="G112" i="40"/>
  <c r="H112" i="40"/>
  <c r="I112" i="40" s="1"/>
  <c r="J112" i="40" s="1"/>
  <c r="K112" i="40" s="1"/>
  <c r="L112" i="40" s="1"/>
  <c r="M112" i="40" s="1"/>
  <c r="F39" i="40"/>
  <c r="S38" i="40"/>
  <c r="H39" i="40"/>
  <c r="J39" i="40"/>
  <c r="W39" i="40" s="1"/>
  <c r="W38" i="40"/>
  <c r="F29" i="40"/>
  <c r="S29" i="40" s="1"/>
  <c r="H29" i="40"/>
  <c r="J29" i="40"/>
  <c r="F97" i="40"/>
  <c r="G97" i="40" s="1"/>
  <c r="H97" i="40" s="1"/>
  <c r="I97" i="40" s="1"/>
  <c r="J97" i="40" s="1"/>
  <c r="K97" i="40" s="1"/>
  <c r="L97" i="40" s="1"/>
  <c r="M97" i="40" s="1"/>
  <c r="S30" i="40"/>
  <c r="AA23" i="40"/>
  <c r="F87" i="40"/>
  <c r="G87" i="40"/>
  <c r="F19" i="40"/>
  <c r="H19" i="40"/>
  <c r="J19" i="40"/>
  <c r="W17" i="40"/>
  <c r="AC17" i="40"/>
  <c r="F17" i="40"/>
  <c r="AA17" i="40" s="1"/>
  <c r="H17" i="40"/>
  <c r="U17" i="40" s="1"/>
  <c r="W21" i="40"/>
  <c r="AB40" i="40"/>
  <c r="U10" i="40"/>
  <c r="U27" i="40"/>
  <c r="AB27" i="40"/>
  <c r="AC44" i="39"/>
  <c r="W13" i="39"/>
  <c r="S11" i="39"/>
  <c r="AB45" i="39"/>
  <c r="AA21" i="39"/>
  <c r="AC38" i="39"/>
  <c r="W29" i="39"/>
  <c r="AC21" i="39"/>
  <c r="AB15" i="39"/>
  <c r="U11" i="39"/>
  <c r="U41" i="39"/>
  <c r="AB38" i="39"/>
  <c r="S25" i="39"/>
  <c r="S38" i="39"/>
  <c r="A18" i="64"/>
  <c r="B74" i="63"/>
  <c r="C53" i="10"/>
  <c r="A25" i="64" s="1"/>
  <c r="A18" i="51"/>
  <c r="B14" i="63" s="1"/>
  <c r="BA16" i="3"/>
  <c r="AZ16" i="3" s="1"/>
  <c r="BA17" i="3"/>
  <c r="AZ17" i="3"/>
  <c r="G1" i="44"/>
  <c r="G3" i="46"/>
  <c r="G22" i="46" s="1"/>
  <c r="AZ15" i="3"/>
  <c r="BK5" i="3"/>
  <c r="BP5" i="3"/>
  <c r="BN5" i="3"/>
  <c r="BL18" i="3"/>
  <c r="AZ18" i="3"/>
  <c r="BC5" i="3"/>
  <c r="BD5" i="3"/>
  <c r="BR5" i="3"/>
  <c r="BS5" i="3"/>
  <c r="BL16" i="3"/>
  <c r="BM5" i="3"/>
  <c r="BA13" i="3"/>
  <c r="G28" i="12"/>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C51" i="10"/>
  <c r="A9" i="64" s="1"/>
  <c r="I100" i="46"/>
  <c r="C24" i="46"/>
  <c r="N100" i="46"/>
  <c r="H100" i="46"/>
  <c r="F108" i="46"/>
  <c r="H80" i="46"/>
  <c r="B45" i="46"/>
  <c r="E100" i="46"/>
  <c r="G100" i="46"/>
  <c r="H84" i="46"/>
  <c r="C100" i="46"/>
  <c r="J100" i="46"/>
  <c r="M100" i="46"/>
  <c r="AA12" i="36"/>
  <c r="W11" i="35"/>
  <c r="AA11" i="35"/>
  <c r="S14" i="37"/>
  <c r="U13" i="37"/>
  <c r="S13" i="21"/>
  <c r="C24" i="9"/>
  <c r="C25" i="9"/>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12" i="1"/>
  <c r="E12" i="1" s="1"/>
  <c r="S12" i="1"/>
  <c r="K6" i="1"/>
  <c r="M6" i="1" s="1"/>
  <c r="F66" i="36"/>
  <c r="H18" i="36"/>
  <c r="AB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S43" i="33"/>
  <c r="AB42" i="33"/>
  <c r="AB14" i="33"/>
  <c r="S26" i="33"/>
  <c r="AB12" i="33"/>
  <c r="S15" i="33"/>
  <c r="S39" i="21"/>
  <c r="AB25" i="21"/>
  <c r="AB45" i="21"/>
  <c r="W25" i="21"/>
  <c r="AA25" i="21"/>
  <c r="AC37" i="21"/>
  <c r="AA29" i="21"/>
  <c r="U27" i="21"/>
  <c r="W31" i="21"/>
  <c r="S27" i="21"/>
  <c r="AC27" i="21"/>
  <c r="W29" i="21"/>
  <c r="G95" i="40"/>
  <c r="J27" i="40"/>
  <c r="W27" i="40" s="1"/>
  <c r="W37" i="40"/>
  <c r="W30" i="40"/>
  <c r="S34" i="40"/>
  <c r="U38" i="40"/>
  <c r="S40" i="40"/>
  <c r="S42" i="40"/>
  <c r="G104" i="39"/>
  <c r="J31" i="39"/>
  <c r="W31" i="39" s="1"/>
  <c r="S45" i="39"/>
  <c r="W41" i="39"/>
  <c r="AB33" i="39"/>
  <c r="AC46" i="39"/>
  <c r="S34" i="39"/>
  <c r="W42" i="39"/>
  <c r="AC37" i="39"/>
  <c r="U14" i="39"/>
  <c r="W16" i="39"/>
  <c r="S15" i="39"/>
  <c r="W45" i="39"/>
  <c r="S41" i="39"/>
  <c r="AA44" i="39"/>
  <c r="AA46" i="39"/>
  <c r="W34" i="39"/>
  <c r="W11" i="39"/>
  <c r="U42" i="39"/>
  <c r="S32" i="40"/>
  <c r="C27" i="39"/>
  <c r="C17" i="40"/>
  <c r="C19" i="40"/>
  <c r="C17" i="39"/>
  <c r="C19" i="39"/>
  <c r="C21" i="39"/>
  <c r="C23" i="40"/>
  <c r="B48" i="46"/>
  <c r="B51" i="46"/>
  <c r="B55" i="46"/>
  <c r="B59" i="46"/>
  <c r="B62" i="46"/>
  <c r="B66" i="46"/>
  <c r="B53" i="46"/>
  <c r="B64" i="46"/>
  <c r="D24" i="15"/>
  <c r="AB20" i="36"/>
  <c r="AA20" i="36"/>
  <c r="AC14" i="36"/>
  <c r="W14" i="36"/>
  <c r="U14" i="36"/>
  <c r="AB14" i="36"/>
  <c r="AA26" i="35"/>
  <c r="S26" i="35"/>
  <c r="U26" i="35"/>
  <c r="W26" i="35"/>
  <c r="AC26" i="35"/>
  <c r="S19" i="37"/>
  <c r="W19" i="37"/>
  <c r="AB19" i="37"/>
  <c r="U19" i="37"/>
  <c r="AC17" i="37"/>
  <c r="W17" i="37"/>
  <c r="U25" i="34"/>
  <c r="AB25" i="34"/>
  <c r="AA25" i="34"/>
  <c r="S25" i="34"/>
  <c r="W25" i="34"/>
  <c r="U23" i="34"/>
  <c r="AB23" i="34"/>
  <c r="AA23" i="34"/>
  <c r="AC23" i="34"/>
  <c r="W23" i="34"/>
  <c r="AA25" i="33"/>
  <c r="U17" i="33"/>
  <c r="AA23" i="21"/>
  <c r="S23" i="21"/>
  <c r="U15" i="21"/>
  <c r="AB15" i="21"/>
  <c r="AB39" i="40"/>
  <c r="U39" i="40"/>
  <c r="AC39" i="40"/>
  <c r="AA39" i="40"/>
  <c r="S39" i="40"/>
  <c r="U37" i="40"/>
  <c r="AA37" i="40"/>
  <c r="S37" i="40"/>
  <c r="U29" i="40"/>
  <c r="AB29" i="40"/>
  <c r="AC29" i="40"/>
  <c r="W29" i="40"/>
  <c r="AA29" i="40"/>
  <c r="W19" i="40"/>
  <c r="AC19" i="40"/>
  <c r="AA19" i="40"/>
  <c r="S19" i="40"/>
  <c r="AB19" i="40"/>
  <c r="U19" i="40"/>
  <c r="AC27" i="40"/>
  <c r="E5" i="6"/>
  <c r="D12" i="11" s="1"/>
  <c r="C12" i="11" s="1"/>
  <c r="AT6" i="3"/>
  <c r="E4" i="4"/>
  <c r="C4" i="4"/>
  <c r="B20" i="55" s="1"/>
  <c r="B70" i="63" s="1"/>
  <c r="G66" i="36"/>
  <c r="J18" i="36"/>
  <c r="AC18" i="36" s="1"/>
  <c r="AE7" i="1"/>
  <c r="AE6" i="1"/>
  <c r="AG6" i="1"/>
  <c r="L20" i="6"/>
  <c r="L19" i="6"/>
  <c r="B21" i="55"/>
  <c r="B72" i="63" s="1"/>
  <c r="C45" i="9"/>
  <c r="O40" i="9" s="1"/>
  <c r="R7" i="54" s="1"/>
  <c r="B52" i="63" s="1"/>
  <c r="H14" i="66"/>
  <c r="B7" i="66" s="1"/>
  <c r="N76" i="9"/>
  <c r="C46" i="9"/>
  <c r="O41" i="9" s="1"/>
  <c r="R8" i="54" s="1"/>
  <c r="B54" i="63" s="1"/>
  <c r="H58" i="46"/>
  <c r="J17" i="46"/>
  <c r="C17" i="46"/>
  <c r="F34" i="46"/>
  <c r="F38" i="46"/>
  <c r="F37" i="46"/>
  <c r="H113" i="46"/>
  <c r="H49" i="46"/>
  <c r="H53" i="46"/>
  <c r="D24" i="59"/>
  <c r="C23" i="59"/>
  <c r="D23" i="59" s="1"/>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B22" i="59"/>
  <c r="B21" i="59" s="1"/>
  <c r="G20" i="46"/>
  <c r="E41" i="46" s="1"/>
  <c r="C41" i="46" s="1"/>
  <c r="I4" i="65"/>
  <c r="E13" i="67"/>
  <c r="F13" i="67"/>
  <c r="M30" i="44"/>
  <c r="F28" i="44"/>
  <c r="J5" i="65"/>
  <c r="F9" i="44"/>
  <c r="F10" i="44"/>
  <c r="F38" i="44"/>
  <c r="M11" i="44"/>
  <c r="M24" i="44"/>
  <c r="F8" i="67"/>
  <c r="M8" i="44"/>
  <c r="F14" i="67"/>
  <c r="N7" i="65"/>
  <c r="B14" i="67"/>
  <c r="F11" i="67"/>
  <c r="B12" i="67"/>
  <c r="J4" i="65"/>
  <c r="F8" i="44"/>
  <c r="E9" i="67"/>
  <c r="F46" i="44"/>
  <c r="F43" i="44"/>
  <c r="E8" i="67"/>
  <c r="L48" i="44"/>
  <c r="I6" i="65"/>
  <c r="F45" i="44"/>
  <c r="M29" i="44"/>
  <c r="F9" i="67"/>
  <c r="I3" i="65"/>
  <c r="B9" i="67"/>
  <c r="M31" i="44"/>
  <c r="E10" i="67"/>
  <c r="F11" i="44"/>
  <c r="L49" i="44"/>
  <c r="M25" i="44"/>
  <c r="J7" i="65"/>
  <c r="B8" i="67"/>
  <c r="M28" i="44"/>
  <c r="B13" i="67"/>
  <c r="N3" i="65"/>
  <c r="I5" i="65"/>
  <c r="F40" i="44"/>
  <c r="F10" i="67"/>
  <c r="I7" i="65"/>
  <c r="E11" i="67"/>
  <c r="M10" i="44"/>
  <c r="E12" i="67"/>
  <c r="F39" i="44"/>
  <c r="E14" i="67"/>
  <c r="N6" i="65"/>
  <c r="J17" i="44"/>
  <c r="F15" i="44"/>
  <c r="F12" i="67"/>
  <c r="M26" i="44"/>
  <c r="B11" i="67"/>
  <c r="N5" i="65"/>
  <c r="N4" i="65"/>
  <c r="F18" i="44"/>
  <c r="B10" i="67"/>
  <c r="J51" i="15" l="1"/>
  <c r="C42" i="1"/>
  <c r="C7" i="73"/>
  <c r="C58" i="73" s="1"/>
  <c r="C18" i="9"/>
  <c r="W11" i="33"/>
  <c r="W36" i="33"/>
  <c r="U36" i="33"/>
  <c r="W33" i="33"/>
  <c r="S33" i="33"/>
  <c r="U33" i="33"/>
  <c r="W32" i="33"/>
  <c r="AC23" i="33"/>
  <c r="AB23" i="33"/>
  <c r="AA21" i="33"/>
  <c r="AA19" i="33"/>
  <c r="U19" i="33"/>
  <c r="AC17" i="33"/>
  <c r="AA17" i="33"/>
  <c r="AA11" i="33"/>
  <c r="AC9" i="33"/>
  <c r="W9" i="33"/>
  <c r="H9" i="33"/>
  <c r="S9" i="33"/>
  <c r="AC8" i="33"/>
  <c r="AA11" i="21"/>
  <c r="AB33" i="21"/>
  <c r="AA33" i="21"/>
  <c r="W42" i="21"/>
  <c r="U42" i="21"/>
  <c r="S42" i="21"/>
  <c r="AB37" i="21"/>
  <c r="AB34" i="21"/>
  <c r="AC33" i="21"/>
  <c r="AB32" i="21"/>
  <c r="AB23" i="21"/>
  <c r="U21" i="21"/>
  <c r="AA17" i="21"/>
  <c r="AB17" i="21"/>
  <c r="AC17" i="21"/>
  <c r="AB11" i="21"/>
  <c r="AC15" i="21"/>
  <c r="AA15" i="21"/>
  <c r="AC19" i="21"/>
  <c r="S19" i="21"/>
  <c r="AB19" i="21"/>
  <c r="S40" i="39"/>
  <c r="W40" i="39"/>
  <c r="H36" i="39"/>
  <c r="AB36" i="39" s="1"/>
  <c r="F36" i="39"/>
  <c r="AA36" i="39" s="1"/>
  <c r="J36" i="39"/>
  <c r="AC43" i="39"/>
  <c r="AC25" i="39"/>
  <c r="W10" i="39"/>
  <c r="AB43" i="39"/>
  <c r="S43" i="39"/>
  <c r="U13" i="39"/>
  <c r="U31" i="39"/>
  <c r="S27" i="39"/>
  <c r="W23" i="39"/>
  <c r="AC19" i="39"/>
  <c r="AA19" i="39"/>
  <c r="AC17" i="39"/>
  <c r="U17" i="39"/>
  <c r="S17" i="39"/>
  <c r="S31" i="39"/>
  <c r="S29" i="39"/>
  <c r="AA13" i="39"/>
  <c r="M20" i="15"/>
  <c r="M22" i="44"/>
  <c r="F36" i="44"/>
  <c r="D96" i="9"/>
  <c r="B41" i="1"/>
  <c r="D24" i="44"/>
  <c r="K8" i="1"/>
  <c r="M8" i="1" s="1"/>
  <c r="O8" i="1" s="1"/>
  <c r="P8" i="1" s="1"/>
  <c r="K7" i="1"/>
  <c r="M7" i="1" s="1"/>
  <c r="O7" i="1" s="1"/>
  <c r="P7" i="1" s="1"/>
  <c r="AD11" i="46"/>
  <c r="AD13" i="46" s="1"/>
  <c r="B8" i="1"/>
  <c r="E8" i="1" s="1"/>
  <c r="F3" i="35"/>
  <c r="G1" i="15"/>
  <c r="K1" i="12"/>
  <c r="K1" i="43"/>
  <c r="AA11" i="46"/>
  <c r="AA13" i="46" s="1"/>
  <c r="E8" i="6"/>
  <c r="E53" i="40" s="1"/>
  <c r="E22" i="46"/>
  <c r="I101" i="46"/>
  <c r="I105" i="46" s="1"/>
  <c r="D101" i="46"/>
  <c r="D105" i="46" s="1"/>
  <c r="F22" i="46"/>
  <c r="H101" i="46"/>
  <c r="H102" i="46" s="1"/>
  <c r="AB11" i="46"/>
  <c r="AB13" i="46" s="1"/>
  <c r="J101" i="46"/>
  <c r="J106" i="46" s="1"/>
  <c r="BQ5" i="3"/>
  <c r="F28" i="6" s="1"/>
  <c r="F30" i="6" s="1"/>
  <c r="G29" i="6"/>
  <c r="E29" i="6" s="1"/>
  <c r="AE11" i="46"/>
  <c r="AE13" i="46" s="1"/>
  <c r="AH11" i="46"/>
  <c r="AH13" i="46" s="1"/>
  <c r="K101" i="46"/>
  <c r="K103" i="46" s="1"/>
  <c r="L101" i="46"/>
  <c r="L109" i="46" s="1"/>
  <c r="G101" i="46"/>
  <c r="G104" i="46" s="1"/>
  <c r="AC11" i="46"/>
  <c r="AC13" i="46" s="1"/>
  <c r="F101" i="46"/>
  <c r="F106" i="46" s="1"/>
  <c r="Y11" i="46"/>
  <c r="Y13" i="46" s="1"/>
  <c r="C23" i="46"/>
  <c r="AF11" i="46"/>
  <c r="AF13" i="46" s="1"/>
  <c r="Z11" i="46"/>
  <c r="Z13" i="46" s="1"/>
  <c r="Z7" i="46"/>
  <c r="J22" i="46"/>
  <c r="H22" i="46"/>
  <c r="N104" i="45"/>
  <c r="C101" i="46"/>
  <c r="C109" i="46" s="1"/>
  <c r="N101" i="46"/>
  <c r="N105" i="46" s="1"/>
  <c r="AI11" i="46"/>
  <c r="AI13" i="46" s="1"/>
  <c r="AG11" i="46"/>
  <c r="AG13" i="46" s="1"/>
  <c r="E101" i="46"/>
  <c r="E109" i="46" s="1"/>
  <c r="B113" i="46"/>
  <c r="B118" i="46" s="1"/>
  <c r="C118" i="46" s="1"/>
  <c r="AJ11" i="46"/>
  <c r="AJ13" i="46" s="1"/>
  <c r="M101" i="46"/>
  <c r="M102" i="46" s="1"/>
  <c r="L16" i="4"/>
  <c r="K17" i="4" s="1"/>
  <c r="A22" i="51" s="1"/>
  <c r="B16" i="63" s="1"/>
  <c r="N16" i="4"/>
  <c r="AP7" i="1"/>
  <c r="G9" i="1"/>
  <c r="G12" i="1"/>
  <c r="G8" i="1"/>
  <c r="A4" i="51"/>
  <c r="B6" i="63" s="1"/>
  <c r="A9" i="51"/>
  <c r="B9" i="63" s="1"/>
  <c r="I14" i="66"/>
  <c r="B8" i="66" s="1"/>
  <c r="K33" i="9"/>
  <c r="F20" i="59"/>
  <c r="F19" i="59" s="1"/>
  <c r="F18" i="59" s="1"/>
  <c r="F17" i="59" s="1"/>
  <c r="V21" i="59"/>
  <c r="B20" i="59"/>
  <c r="B19" i="59" s="1"/>
  <c r="B18" i="59" s="1"/>
  <c r="S21" i="59"/>
  <c r="K34" i="9"/>
  <c r="AZ13" i="3"/>
  <c r="W18" i="36"/>
  <c r="U11" i="34"/>
  <c r="W20" i="36"/>
  <c r="S23" i="39"/>
  <c r="U37" i="34"/>
  <c r="AC8" i="21"/>
  <c r="W8" i="21"/>
  <c r="W35" i="21"/>
  <c r="AC35" i="21"/>
  <c r="AA34" i="35"/>
  <c r="S34" i="35"/>
  <c r="J35" i="35"/>
  <c r="H35" i="35"/>
  <c r="J25" i="37"/>
  <c r="H25" i="37"/>
  <c r="F25" i="37"/>
  <c r="S23" i="33"/>
  <c r="U18" i="36"/>
  <c r="C22" i="59"/>
  <c r="K31" i="9"/>
  <c r="K32" i="9" s="1"/>
  <c r="A3" i="55"/>
  <c r="B56" i="63" s="1"/>
  <c r="A17" i="51"/>
  <c r="B13" i="63" s="1"/>
  <c r="AC25" i="33"/>
  <c r="U23" i="39"/>
  <c r="S14" i="39"/>
  <c r="S25" i="40"/>
  <c r="S35" i="40"/>
  <c r="U25" i="33"/>
  <c r="AC11" i="34"/>
  <c r="AA20" i="35"/>
  <c r="AA14" i="36"/>
  <c r="AB29" i="39"/>
  <c r="U30" i="40"/>
  <c r="AA41" i="33"/>
  <c r="AC16" i="40"/>
  <c r="W27" i="39"/>
  <c r="U16" i="39"/>
  <c r="AA23" i="37"/>
  <c r="S46" i="33"/>
  <c r="BA570" i="3"/>
  <c r="AZ570" i="3" s="1"/>
  <c r="J12" i="21"/>
  <c r="F12" i="21"/>
  <c r="J44" i="21"/>
  <c r="F44" i="21"/>
  <c r="AC8" i="34"/>
  <c r="W8" i="34"/>
  <c r="J9" i="34"/>
  <c r="F9" i="34"/>
  <c r="F13" i="35"/>
  <c r="H13" i="35"/>
  <c r="W31" i="36"/>
  <c r="AC31" i="36"/>
  <c r="AB43" i="33"/>
  <c r="W31" i="34"/>
  <c r="BL572" i="3"/>
  <c r="AZ572" i="3" s="1"/>
  <c r="H9" i="34"/>
  <c r="AB11" i="33"/>
  <c r="U47" i="39"/>
  <c r="AB44" i="21"/>
  <c r="AC40" i="21"/>
  <c r="W40" i="21"/>
  <c r="BF5" i="3"/>
  <c r="E15" i="6" s="1"/>
  <c r="AC41" i="21"/>
  <c r="W41" i="21"/>
  <c r="U9" i="21"/>
  <c r="BT5" i="3"/>
  <c r="G28" i="6" s="1"/>
  <c r="G30" i="6" s="1"/>
  <c r="G31" i="6" s="1"/>
  <c r="BI5" i="3"/>
  <c r="H12" i="35"/>
  <c r="F23" i="36"/>
  <c r="J9" i="36"/>
  <c r="F9" i="36"/>
  <c r="J36" i="35"/>
  <c r="G541" i="3"/>
  <c r="G524" i="3"/>
  <c r="G512" i="3"/>
  <c r="H5" i="3"/>
  <c r="G536" i="3"/>
  <c r="G533" i="3"/>
  <c r="AZ408" i="3"/>
  <c r="BL391" i="3"/>
  <c r="AZ391" i="3" s="1"/>
  <c r="BA395" i="3"/>
  <c r="AZ395" i="3" s="1"/>
  <c r="AZ234" i="3"/>
  <c r="A30" i="64"/>
  <c r="A30" i="51"/>
  <c r="B22" i="63" s="1"/>
  <c r="AZ421" i="3"/>
  <c r="G425" i="3"/>
  <c r="BL431" i="3"/>
  <c r="G432" i="3"/>
  <c r="BL436" i="3"/>
  <c r="G437" i="3"/>
  <c r="BL441" i="3"/>
  <c r="AZ441" i="3" s="1"/>
  <c r="AZ468" i="3"/>
  <c r="AZ230" i="3"/>
  <c r="AZ242" i="3"/>
  <c r="G393" i="3"/>
  <c r="BA398" i="3"/>
  <c r="AZ398" i="3" s="1"/>
  <c r="BA403" i="3"/>
  <c r="AZ403" i="3" s="1"/>
  <c r="BA413" i="3"/>
  <c r="AZ413" i="3" s="1"/>
  <c r="BA424" i="3"/>
  <c r="AZ424" i="3" s="1"/>
  <c r="AZ429" i="3"/>
  <c r="AZ218" i="3"/>
  <c r="BA392" i="3"/>
  <c r="AZ392" i="3" s="1"/>
  <c r="G396" i="3"/>
  <c r="BL400" i="3"/>
  <c r="AZ400" i="3" s="1"/>
  <c r="BL406" i="3"/>
  <c r="AZ406" i="3" s="1"/>
  <c r="BL412" i="3"/>
  <c r="AZ412" i="3" s="1"/>
  <c r="G416" i="3"/>
  <c r="BL417" i="3"/>
  <c r="AZ417" i="3" s="1"/>
  <c r="BL420" i="3"/>
  <c r="AZ420" i="3" s="1"/>
  <c r="BL421" i="3"/>
  <c r="G422" i="3"/>
  <c r="BL426" i="3"/>
  <c r="AZ426" i="3" s="1"/>
  <c r="G427" i="3"/>
  <c r="BA431" i="3"/>
  <c r="AZ431" i="3" s="1"/>
  <c r="BA432" i="3"/>
  <c r="AZ432" i="3" s="1"/>
  <c r="G435" i="3"/>
  <c r="BA436" i="3"/>
  <c r="AZ436" i="3" s="1"/>
  <c r="BA437" i="3"/>
  <c r="AZ437" i="3" s="1"/>
  <c r="G440" i="3"/>
  <c r="AZ443" i="3"/>
  <c r="AZ451" i="3"/>
  <c r="AZ464" i="3"/>
  <c r="AZ214" i="3"/>
  <c r="BL244" i="3"/>
  <c r="AZ244" i="3" s="1"/>
  <c r="BL257" i="3"/>
  <c r="AZ257" i="3" s="1"/>
  <c r="AZ271" i="3"/>
  <c r="AZ287" i="3"/>
  <c r="AZ202" i="3"/>
  <c r="AZ204" i="3"/>
  <c r="AZ26" i="3"/>
  <c r="AZ29" i="3"/>
  <c r="AZ42" i="3"/>
  <c r="G248" i="3"/>
  <c r="G251" i="3"/>
  <c r="AZ113" i="3"/>
  <c r="AZ116" i="3"/>
  <c r="AZ128" i="3"/>
  <c r="AZ149" i="3"/>
  <c r="AZ155" i="3"/>
  <c r="AZ159" i="3"/>
  <c r="AZ190" i="3"/>
  <c r="AZ22" i="3"/>
  <c r="AZ34" i="3"/>
  <c r="AZ37" i="3"/>
  <c r="AZ45" i="3"/>
  <c r="AZ57" i="3"/>
  <c r="BA247" i="3"/>
  <c r="AZ247" i="3" s="1"/>
  <c r="BA250" i="3"/>
  <c r="AZ250" i="3" s="1"/>
  <c r="G256" i="3"/>
  <c r="AZ293" i="3"/>
  <c r="AZ117" i="3"/>
  <c r="AZ136" i="3"/>
  <c r="AZ171" i="3"/>
  <c r="AZ175" i="3"/>
  <c r="AZ21" i="3"/>
  <c r="AZ25" i="3"/>
  <c r="AZ28" i="3"/>
  <c r="AZ30" i="3"/>
  <c r="AZ38" i="3"/>
  <c r="AZ49" i="3"/>
  <c r="AZ54" i="3"/>
  <c r="BL74" i="3"/>
  <c r="AZ74" i="3" s="1"/>
  <c r="BL45" i="3"/>
  <c r="BL52" i="3"/>
  <c r="AZ52" i="3" s="1"/>
  <c r="BL56" i="3"/>
  <c r="AZ56" i="3" s="1"/>
  <c r="AZ61" i="3"/>
  <c r="AZ64" i="3"/>
  <c r="AZ93" i="3"/>
  <c r="AZ96" i="3"/>
  <c r="AZ100" i="3"/>
  <c r="AZ105" i="3"/>
  <c r="AZ111" i="3"/>
  <c r="BA41" i="3"/>
  <c r="AZ41" i="3" s="1"/>
  <c r="BL42" i="3"/>
  <c r="BA44" i="3"/>
  <c r="AZ44" i="3" s="1"/>
  <c r="BA50" i="3"/>
  <c r="AZ50" i="3" s="1"/>
  <c r="BA51" i="3"/>
  <c r="AZ51" i="3" s="1"/>
  <c r="AZ62" i="3"/>
  <c r="AZ65" i="3"/>
  <c r="AZ68" i="3"/>
  <c r="AZ76" i="3"/>
  <c r="AZ109" i="3"/>
  <c r="BL40" i="3"/>
  <c r="AZ40" i="3" s="1"/>
  <c r="BL49" i="3"/>
  <c r="BL54" i="3"/>
  <c r="BL59" i="3"/>
  <c r="AZ59" i="3" s="1"/>
  <c r="BL69" i="3"/>
  <c r="AZ69" i="3" s="1"/>
  <c r="BL71" i="3"/>
  <c r="AZ71" i="3" s="1"/>
  <c r="B54" i="46"/>
  <c r="B74" i="46"/>
  <c r="B65" i="46"/>
  <c r="C31" i="39"/>
  <c r="C36" i="59"/>
  <c r="D35" i="59"/>
  <c r="C52" i="59"/>
  <c r="D51" i="59"/>
  <c r="B56" i="59"/>
  <c r="B57" i="59" s="1"/>
  <c r="S57" i="59" s="1"/>
  <c r="F76" i="59"/>
  <c r="F75" i="59" s="1"/>
  <c r="B29" i="59"/>
  <c r="X3" i="59"/>
  <c r="X29" i="59"/>
  <c r="X26" i="59"/>
  <c r="X28" i="59"/>
  <c r="C87" i="59"/>
  <c r="D87" i="59" s="1"/>
  <c r="D88" i="59"/>
  <c r="T65" i="59"/>
  <c r="D65" i="59"/>
  <c r="X27" i="59"/>
  <c r="C32" i="59"/>
  <c r="X32" i="59"/>
  <c r="X39" i="59"/>
  <c r="B40" i="59"/>
  <c r="B41" i="59" s="1"/>
  <c r="S41" i="59" s="1"/>
  <c r="AA5" i="59"/>
  <c r="AA8" i="59"/>
  <c r="AA6" i="59"/>
  <c r="AA7" i="59"/>
  <c r="AA10" i="59"/>
  <c r="AA11" i="59"/>
  <c r="AA24" i="59"/>
  <c r="X18" i="59"/>
  <c r="AA18" i="59"/>
  <c r="Y14" i="59"/>
  <c r="Z14" i="59" s="1"/>
  <c r="Y31" i="59"/>
  <c r="Z31" i="59" s="1"/>
  <c r="Y27" i="59"/>
  <c r="Z27" i="59" s="1"/>
  <c r="Y29" i="59"/>
  <c r="Z29" i="59" s="1"/>
  <c r="T73" i="59"/>
  <c r="D73" i="59"/>
  <c r="C72" i="59"/>
  <c r="AA39" i="59"/>
  <c r="B37" i="50"/>
  <c r="B2" i="63" s="1"/>
  <c r="AB9" i="59"/>
  <c r="X9" i="59"/>
  <c r="Y9" i="59"/>
  <c r="Z9" i="59" s="1"/>
  <c r="AA9" i="59"/>
  <c r="D56" i="59"/>
  <c r="Y26" i="59"/>
  <c r="Z26" i="59" s="1"/>
  <c r="AA30" i="59"/>
  <c r="AA28" i="59"/>
  <c r="AA3" i="59"/>
  <c r="AA29" i="59"/>
  <c r="AA27" i="59"/>
  <c r="AA33" i="59"/>
  <c r="E64" i="59"/>
  <c r="E65" i="59" s="1"/>
  <c r="U65" i="59" s="1"/>
  <c r="S69" i="59"/>
  <c r="N69" i="59"/>
  <c r="B68" i="59"/>
  <c r="D77" i="59"/>
  <c r="C76" i="59"/>
  <c r="T77" i="59"/>
  <c r="S21" i="34"/>
  <c r="AB3" i="59"/>
  <c r="Y30" i="59"/>
  <c r="Z30" i="59" s="1"/>
  <c r="X31" i="59"/>
  <c r="X33" i="59"/>
  <c r="B35" i="59"/>
  <c r="B36" i="59" s="1"/>
  <c r="B37" i="59" s="1"/>
  <c r="S37" i="59" s="1"/>
  <c r="X34" i="59"/>
  <c r="F39" i="59"/>
  <c r="F40" i="59" s="1"/>
  <c r="F41" i="59" s="1"/>
  <c r="V41" i="59" s="1"/>
  <c r="AB38" i="59"/>
  <c r="AB39" i="59"/>
  <c r="Y8" i="59"/>
  <c r="Z8" i="59" s="1"/>
  <c r="Y7" i="59"/>
  <c r="Z7" i="59" s="1"/>
  <c r="Y5" i="59"/>
  <c r="Z5" i="59" s="1"/>
  <c r="Y6" i="59"/>
  <c r="Z6" i="59" s="1"/>
  <c r="Y10" i="59"/>
  <c r="Z10" i="59" s="1"/>
  <c r="V29" i="59"/>
  <c r="F28" i="59"/>
  <c r="F27" i="59" s="1"/>
  <c r="X19" i="59"/>
  <c r="AA19" i="59"/>
  <c r="X13" i="59"/>
  <c r="S18" i="35"/>
  <c r="AB27" i="59"/>
  <c r="X30" i="59"/>
  <c r="AA31" i="59"/>
  <c r="AA32" i="59"/>
  <c r="Y34" i="59"/>
  <c r="Z34" i="59" s="1"/>
  <c r="AA34" i="59"/>
  <c r="Y36" i="59"/>
  <c r="Z36" i="59" s="1"/>
  <c r="Y37" i="59"/>
  <c r="Z37" i="59" s="1"/>
  <c r="C39" i="59"/>
  <c r="X5" i="59"/>
  <c r="X8" i="59"/>
  <c r="X6" i="59"/>
  <c r="X7" i="59"/>
  <c r="X10" i="59"/>
  <c r="X11" i="59"/>
  <c r="AB8" i="59"/>
  <c r="AB6" i="59"/>
  <c r="AB5" i="59"/>
  <c r="AB7" i="59"/>
  <c r="AB10" i="59"/>
  <c r="AB11" i="59"/>
  <c r="AB40" i="59"/>
  <c r="C29" i="59"/>
  <c r="Y25" i="59"/>
  <c r="Z25" i="59" s="1"/>
  <c r="A28" i="51"/>
  <c r="A28" i="64"/>
  <c r="Y35" i="59"/>
  <c r="Z35" i="59" s="1"/>
  <c r="Y19" i="59"/>
  <c r="Z19" i="59" s="1"/>
  <c r="AB19" i="59"/>
  <c r="AB25" i="59"/>
  <c r="AB30" i="59"/>
  <c r="AA35" i="59"/>
  <c r="AA36" i="59"/>
  <c r="AA38" i="59"/>
  <c r="E44" i="59"/>
  <c r="E45" i="59" s="1"/>
  <c r="U45" i="59" s="1"/>
  <c r="U29" i="59"/>
  <c r="E28" i="59"/>
  <c r="E27" i="59" s="1"/>
  <c r="X25" i="59"/>
  <c r="X24" i="59"/>
  <c r="Y24" i="59"/>
  <c r="Z24" i="59" s="1"/>
  <c r="AA22" i="59"/>
  <c r="Y18" i="59"/>
  <c r="Z18" i="59" s="1"/>
  <c r="AB18" i="59"/>
  <c r="AB12" i="59"/>
  <c r="U25" i="59"/>
  <c r="P62" i="15"/>
  <c r="X22" i="59"/>
  <c r="AB14" i="59"/>
  <c r="AB15" i="59"/>
  <c r="Y12" i="59"/>
  <c r="Z12" i="59" s="1"/>
  <c r="AA16" i="59"/>
  <c r="Y11" i="59"/>
  <c r="Z11" i="59" s="1"/>
  <c r="Y15" i="59"/>
  <c r="Z15" i="59" s="1"/>
  <c r="X14" i="59"/>
  <c r="AA14" i="59"/>
  <c r="AB16" i="59"/>
  <c r="AB13" i="59"/>
  <c r="Y13" i="59"/>
  <c r="Z13" i="59" s="1"/>
  <c r="X12" i="59"/>
  <c r="X15" i="59"/>
  <c r="AA13" i="59"/>
  <c r="X17" i="59"/>
  <c r="AA12" i="59"/>
  <c r="AA15" i="59"/>
  <c r="S17" i="40"/>
  <c r="AB17" i="40"/>
  <c r="AB32" i="40"/>
  <c r="W35" i="40"/>
  <c r="W36" i="40"/>
  <c r="S36" i="40"/>
  <c r="S11" i="40"/>
  <c r="S10" i="40"/>
  <c r="S27" i="40"/>
  <c r="AC31" i="39"/>
  <c r="AC47" i="39"/>
  <c r="U40" i="39"/>
  <c r="AA42" i="39"/>
  <c r="S42" i="39"/>
  <c r="G17" i="46"/>
  <c r="C16" i="46" s="1"/>
  <c r="D5" i="46" s="1"/>
  <c r="E10" i="46"/>
  <c r="E11" i="46"/>
  <c r="E9" i="46"/>
  <c r="E8" i="46"/>
  <c r="C20" i="46"/>
  <c r="G27" i="12"/>
  <c r="G13" i="3"/>
  <c r="F34" i="44"/>
  <c r="F24" i="43"/>
  <c r="C24" i="43" s="1"/>
  <c r="C25" i="43"/>
  <c r="C2" i="65"/>
  <c r="G20" i="43"/>
  <c r="G26" i="12"/>
  <c r="F70" i="9"/>
  <c r="F66" i="9"/>
  <c r="P72" i="9" s="1"/>
  <c r="F28" i="15"/>
  <c r="C28" i="15" s="1"/>
  <c r="F30" i="44"/>
  <c r="C30" i="44" s="1"/>
  <c r="D86" i="9"/>
  <c r="F29" i="12"/>
  <c r="F32" i="15"/>
  <c r="F59" i="15" s="1"/>
  <c r="F71" i="9"/>
  <c r="L27" i="6"/>
  <c r="K15" i="1"/>
  <c r="O11" i="1"/>
  <c r="P11" i="1" s="1"/>
  <c r="D21" i="12"/>
  <c r="C21" i="12" s="1"/>
  <c r="O6" i="1"/>
  <c r="P6" i="1" s="1"/>
  <c r="O12" i="1"/>
  <c r="P12" i="1" s="1"/>
  <c r="O10" i="1"/>
  <c r="P10" i="1" s="1"/>
  <c r="O9" i="1"/>
  <c r="P9" i="1" s="1"/>
  <c r="O13" i="1"/>
  <c r="P13" i="1" s="1"/>
  <c r="G6" i="1"/>
  <c r="A25" i="51"/>
  <c r="B18" i="63" s="1"/>
  <c r="G10" i="1"/>
  <c r="G13" i="1"/>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21"/>
  <c r="C18" i="11"/>
  <c r="K77" i="9"/>
  <c r="K79" i="9" s="1"/>
  <c r="K81" i="9" s="1"/>
  <c r="E12" i="52"/>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C29" i="44"/>
  <c r="C8" i="44"/>
  <c r="I1" i="65"/>
  <c r="M9" i="44"/>
  <c r="J8" i="44" s="1"/>
  <c r="L60" i="44"/>
  <c r="L59" i="44"/>
  <c r="I55" i="44"/>
  <c r="J54" i="44"/>
  <c r="L57" i="44"/>
  <c r="J58" i="44"/>
  <c r="J56" i="44" s="1"/>
  <c r="J59" i="44" s="1"/>
  <c r="Q52" i="44" s="1"/>
  <c r="J60" i="44"/>
  <c r="J61" i="44"/>
  <c r="Q50" i="44" s="1"/>
  <c r="C4" i="65"/>
  <c r="B39" i="1" s="1"/>
  <c r="F6" i="15"/>
  <c r="F43" i="15"/>
  <c r="C18" i="44"/>
  <c r="F38" i="15"/>
  <c r="M29" i="15"/>
  <c r="J3" i="65"/>
  <c r="F36" i="15"/>
  <c r="M8" i="15"/>
  <c r="E2" i="65"/>
  <c r="J6" i="65"/>
  <c r="M28" i="15"/>
  <c r="J15" i="15"/>
  <c r="F37" i="15"/>
  <c r="F40" i="15"/>
  <c r="F42" i="15"/>
  <c r="M24" i="15"/>
  <c r="L48" i="15"/>
  <c r="M26" i="15"/>
  <c r="F26" i="15"/>
  <c r="F7" i="15"/>
  <c r="M23" i="15"/>
  <c r="F8" i="15"/>
  <c r="F16" i="15"/>
  <c r="F13" i="15"/>
  <c r="F9" i="15"/>
  <c r="M9" i="15"/>
  <c r="M22" i="15"/>
  <c r="M6" i="15"/>
  <c r="J36" i="15"/>
  <c r="L47" i="15"/>
  <c r="M27" i="15"/>
  <c r="F7" i="73" l="1"/>
  <c r="H7" i="73"/>
  <c r="D58" i="73"/>
  <c r="E58" i="73" s="1"/>
  <c r="F58" i="73" s="1"/>
  <c r="G58" i="73" s="1"/>
  <c r="H58" i="73" s="1"/>
  <c r="I58" i="73" s="1"/>
  <c r="J58" i="73" s="1"/>
  <c r="K58" i="73" s="1"/>
  <c r="L58" i="73" s="1"/>
  <c r="M58" i="73" s="1"/>
  <c r="N58" i="73" s="1"/>
  <c r="O58" i="73" s="1"/>
  <c r="J7" i="73"/>
  <c r="M43" i="9"/>
  <c r="D18" i="9"/>
  <c r="M44" i="9" s="1"/>
  <c r="AB9" i="33"/>
  <c r="U9" i="33"/>
  <c r="S36" i="39"/>
  <c r="U36" i="39"/>
  <c r="AC36" i="39"/>
  <c r="W36" i="39"/>
  <c r="F72" i="9"/>
  <c r="M18" i="15"/>
  <c r="M20" i="44"/>
  <c r="H16" i="1"/>
  <c r="AP16" i="1"/>
  <c r="F22" i="11" s="1"/>
  <c r="Q16" i="1"/>
  <c r="C27" i="15"/>
  <c r="I54" i="15"/>
  <c r="L56" i="15"/>
  <c r="J53" i="15"/>
  <c r="F1" i="15" s="1"/>
  <c r="J57" i="15"/>
  <c r="J55" i="15" s="1"/>
  <c r="J58" i="15" s="1"/>
  <c r="Q51" i="15" s="1"/>
  <c r="F65" i="15"/>
  <c r="F70" i="15"/>
  <c r="F109" i="46"/>
  <c r="I103" i="46"/>
  <c r="D102" i="46"/>
  <c r="K105" i="46"/>
  <c r="F107" i="46"/>
  <c r="L106" i="46"/>
  <c r="E103" i="46"/>
  <c r="N102" i="46"/>
  <c r="B117" i="46"/>
  <c r="C117" i="46" s="1"/>
  <c r="F102" i="46"/>
  <c r="I106" i="46"/>
  <c r="F105" i="46"/>
  <c r="F104" i="46"/>
  <c r="I107" i="46"/>
  <c r="F103" i="46"/>
  <c r="I102" i="46"/>
  <c r="K102" i="46"/>
  <c r="K104" i="46"/>
  <c r="I104" i="46"/>
  <c r="K106" i="46"/>
  <c r="I109" i="46"/>
  <c r="H107" i="46"/>
  <c r="B115" i="46"/>
  <c r="C115" i="46" s="1"/>
  <c r="K107" i="46"/>
  <c r="K109" i="46"/>
  <c r="H105" i="46"/>
  <c r="H104" i="46"/>
  <c r="E58" i="39"/>
  <c r="H106" i="46"/>
  <c r="N106" i="46"/>
  <c r="N109" i="46"/>
  <c r="E102" i="46"/>
  <c r="H109" i="46"/>
  <c r="N104" i="46"/>
  <c r="H103" i="46"/>
  <c r="I117" i="46"/>
  <c r="J117" i="46" s="1"/>
  <c r="K117" i="46" s="1"/>
  <c r="L117" i="46" s="1"/>
  <c r="M117" i="46" s="1"/>
  <c r="N103" i="46"/>
  <c r="E104" i="46"/>
  <c r="G118" i="46"/>
  <c r="H118" i="46" s="1"/>
  <c r="F27" i="6"/>
  <c r="F31" i="6" s="1"/>
  <c r="L103" i="46"/>
  <c r="G105" i="46"/>
  <c r="J105" i="46"/>
  <c r="J103" i="46"/>
  <c r="B116" i="46"/>
  <c r="C116" i="46" s="1"/>
  <c r="J109" i="46"/>
  <c r="N107" i="46"/>
  <c r="E107" i="46"/>
  <c r="D103" i="46"/>
  <c r="D104" i="46"/>
  <c r="J102" i="46"/>
  <c r="J107" i="46"/>
  <c r="L104" i="46"/>
  <c r="D118" i="46"/>
  <c r="E118" i="46" s="1"/>
  <c r="F118" i="46" s="1"/>
  <c r="D22" i="46"/>
  <c r="C21" i="46" s="1"/>
  <c r="J104" i="46"/>
  <c r="D107" i="46"/>
  <c r="D109" i="46"/>
  <c r="D106" i="46"/>
  <c r="L102" i="46"/>
  <c r="I116" i="46"/>
  <c r="J116" i="46" s="1"/>
  <c r="K116" i="46" s="1"/>
  <c r="L116" i="46" s="1"/>
  <c r="M116" i="46" s="1"/>
  <c r="E13" i="6"/>
  <c r="E64" i="39" s="1"/>
  <c r="C107" i="46"/>
  <c r="E14" i="6"/>
  <c r="E65" i="39" s="1"/>
  <c r="M109" i="46"/>
  <c r="I118" i="46"/>
  <c r="J118" i="46" s="1"/>
  <c r="K118" i="46" s="1"/>
  <c r="L118" i="46" s="1"/>
  <c r="M118" i="46" s="1"/>
  <c r="E10" i="6"/>
  <c r="E12" i="6"/>
  <c r="E58" i="40" s="1"/>
  <c r="E28" i="6"/>
  <c r="K14" i="1" s="1"/>
  <c r="M107" i="46"/>
  <c r="D115" i="46"/>
  <c r="E115" i="46" s="1"/>
  <c r="F115" i="46" s="1"/>
  <c r="G115" i="46" s="1"/>
  <c r="H115" i="46" s="1"/>
  <c r="E11" i="6"/>
  <c r="C103" i="46"/>
  <c r="G107" i="46"/>
  <c r="M103" i="46"/>
  <c r="M105" i="46"/>
  <c r="C106" i="46"/>
  <c r="M106" i="46"/>
  <c r="G102" i="46"/>
  <c r="D117" i="46"/>
  <c r="E117" i="46" s="1"/>
  <c r="F117" i="46" s="1"/>
  <c r="G117" i="46" s="1"/>
  <c r="H117" i="46" s="1"/>
  <c r="E106" i="46"/>
  <c r="E105" i="46"/>
  <c r="G103" i="46"/>
  <c r="G106" i="46"/>
  <c r="C102" i="46"/>
  <c r="M104" i="46"/>
  <c r="G109" i="46"/>
  <c r="L105" i="46"/>
  <c r="L107" i="46"/>
  <c r="C105" i="46"/>
  <c r="C104" i="46"/>
  <c r="I115" i="46"/>
  <c r="J115" i="46" s="1"/>
  <c r="K115" i="46" s="1"/>
  <c r="L115" i="46" s="1"/>
  <c r="M115" i="46" s="1"/>
  <c r="D116" i="46"/>
  <c r="E116" i="46" s="1"/>
  <c r="F116" i="46" s="1"/>
  <c r="G116" i="46" s="1"/>
  <c r="H116" i="46" s="1"/>
  <c r="L59" i="15"/>
  <c r="Q75" i="15" s="1"/>
  <c r="L58" i="15"/>
  <c r="Q61" i="15" s="1"/>
  <c r="F64" i="15"/>
  <c r="F49" i="15"/>
  <c r="F58" i="15" s="1"/>
  <c r="M7" i="15"/>
  <c r="M17" i="15" s="1"/>
  <c r="F63" i="15"/>
  <c r="J1" i="65"/>
  <c r="Q72" i="15"/>
  <c r="F67" i="15"/>
  <c r="F50" i="15"/>
  <c r="F31" i="15"/>
  <c r="C6" i="15"/>
  <c r="C32" i="15" s="1"/>
  <c r="B16" i="59"/>
  <c r="B15" i="59" s="1"/>
  <c r="B14" i="59" s="1"/>
  <c r="B13" i="59" s="1"/>
  <c r="S17" i="59"/>
  <c r="N4" i="63"/>
  <c r="B21" i="63"/>
  <c r="C40" i="59"/>
  <c r="D39" i="59"/>
  <c r="S29" i="59"/>
  <c r="B28" i="59"/>
  <c r="B27" i="59" s="1"/>
  <c r="D52" i="59"/>
  <c r="C53" i="59"/>
  <c r="W9" i="36"/>
  <c r="AC9" i="36"/>
  <c r="AA9" i="34"/>
  <c r="S9" i="34"/>
  <c r="AA44" i="21"/>
  <c r="S44" i="21"/>
  <c r="C21" i="59"/>
  <c r="D22" i="59"/>
  <c r="U25" i="37"/>
  <c r="AB25" i="37"/>
  <c r="AZ5" i="3"/>
  <c r="E3" i="6" s="1"/>
  <c r="B67" i="59"/>
  <c r="N68" i="59"/>
  <c r="AC36" i="35"/>
  <c r="W36" i="35"/>
  <c r="AA23" i="36"/>
  <c r="S23" i="36"/>
  <c r="AC9" i="34"/>
  <c r="W9" i="34"/>
  <c r="AC44" i="21"/>
  <c r="W44" i="21"/>
  <c r="AC25" i="37"/>
  <c r="W25" i="37"/>
  <c r="BL5" i="3"/>
  <c r="E16" i="59"/>
  <c r="E15" i="59" s="1"/>
  <c r="E14" i="59" s="1"/>
  <c r="E13" i="59" s="1"/>
  <c r="U17" i="59"/>
  <c r="J7" i="33"/>
  <c r="AC7" i="33" s="1"/>
  <c r="V48" i="33" s="1"/>
  <c r="I48" i="33" s="1"/>
  <c r="C5" i="46"/>
  <c r="T29" i="59"/>
  <c r="D29" i="59"/>
  <c r="C28" i="59"/>
  <c r="C33" i="59"/>
  <c r="D32" i="59"/>
  <c r="D36" i="59"/>
  <c r="C37" i="59"/>
  <c r="U12" i="35"/>
  <c r="AB12" i="35"/>
  <c r="AB13" i="35"/>
  <c r="U13" i="35"/>
  <c r="AA12" i="21"/>
  <c r="S12" i="21"/>
  <c r="U35" i="35"/>
  <c r="AB35" i="35"/>
  <c r="BA5" i="3"/>
  <c r="E27" i="6" s="1"/>
  <c r="C75" i="59"/>
  <c r="D75" i="59" s="1"/>
  <c r="D76" i="59"/>
  <c r="D72" i="59"/>
  <c r="C71" i="59"/>
  <c r="D71" i="59" s="1"/>
  <c r="AA9" i="36"/>
  <c r="S9" i="36"/>
  <c r="AB9" i="34"/>
  <c r="U9" i="34"/>
  <c r="S13" i="35"/>
  <c r="AA13" i="35"/>
  <c r="AC12" i="21"/>
  <c r="W12" i="21"/>
  <c r="AA25" i="37"/>
  <c r="S25" i="37"/>
  <c r="W35" i="35"/>
  <c r="AC35" i="35"/>
  <c r="F16" i="59"/>
  <c r="F15" i="59" s="1"/>
  <c r="F14" i="59" s="1"/>
  <c r="F13" i="59" s="1"/>
  <c r="V17" i="59"/>
  <c r="C7" i="46"/>
  <c r="G5" i="3"/>
  <c r="B3" i="3" s="1"/>
  <c r="F21" i="43"/>
  <c r="F33" i="12"/>
  <c r="C34" i="12" s="1"/>
  <c r="D33" i="12" s="1"/>
  <c r="E66" i="39"/>
  <c r="E61" i="40"/>
  <c r="E30" i="6"/>
  <c r="H7" i="34"/>
  <c r="F7" i="34"/>
  <c r="AA7" i="34" s="1"/>
  <c r="R49" i="34" s="1"/>
  <c r="J7" i="34"/>
  <c r="W7" i="34" s="1"/>
  <c r="G16" i="1"/>
  <c r="J12" i="40" s="1"/>
  <c r="F7" i="21"/>
  <c r="AA7" i="21" s="1"/>
  <c r="R48" i="21" s="1"/>
  <c r="H7" i="21"/>
  <c r="AB7" i="21" s="1"/>
  <c r="T48" i="21" s="1"/>
  <c r="G48" i="21" s="1"/>
  <c r="B12" i="59"/>
  <c r="S13" i="59"/>
  <c r="E12" i="59"/>
  <c r="U13" i="59"/>
  <c r="H7" i="35"/>
  <c r="U7" i="35" s="1"/>
  <c r="B40" i="1"/>
  <c r="E64" i="40"/>
  <c r="D66" i="40"/>
  <c r="S7" i="34"/>
  <c r="J7" i="37"/>
  <c r="W7" i="21"/>
  <c r="AC7" i="21"/>
  <c r="V48" i="21" s="1"/>
  <c r="I48" i="21" s="1"/>
  <c r="D71" i="39"/>
  <c r="E69" i="39"/>
  <c r="AB7" i="34"/>
  <c r="T49" i="34" s="1"/>
  <c r="G49" i="34" s="1"/>
  <c r="U7" i="34"/>
  <c r="H7" i="33"/>
  <c r="F7" i="33"/>
  <c r="J46" i="36"/>
  <c r="J7" i="35"/>
  <c r="F7" i="35"/>
  <c r="H7" i="37"/>
  <c r="F7" i="37"/>
  <c r="M19" i="44"/>
  <c r="C19" i="46"/>
  <c r="C34" i="46" s="1"/>
  <c r="L47" i="44"/>
  <c r="M13" i="44"/>
  <c r="J12" i="44" s="1"/>
  <c r="J7" i="44" s="1"/>
  <c r="F11" i="15"/>
  <c r="M11" i="15"/>
  <c r="J10" i="15" s="1"/>
  <c r="F13" i="44"/>
  <c r="C12" i="44" s="1"/>
  <c r="C7" i="44" s="1"/>
  <c r="Q75" i="44"/>
  <c r="Q62" i="44"/>
  <c r="M28" i="46"/>
  <c r="P28" i="46"/>
  <c r="O28" i="46"/>
  <c r="N28" i="46"/>
  <c r="F1" i="44"/>
  <c r="Q54" i="44"/>
  <c r="J20" i="44"/>
  <c r="Q63" i="44"/>
  <c r="Q76" i="44"/>
  <c r="C34" i="44"/>
  <c r="AE8" i="1"/>
  <c r="E3" i="65"/>
  <c r="C16" i="15"/>
  <c r="AE9" i="1"/>
  <c r="AC7" i="73" l="1"/>
  <c r="V48" i="73" s="1"/>
  <c r="I48" i="73" s="1"/>
  <c r="W7" i="73"/>
  <c r="AC7" i="34"/>
  <c r="V49" i="34" s="1"/>
  <c r="I49" i="34" s="1"/>
  <c r="U7" i="73"/>
  <c r="AB7" i="73"/>
  <c r="T48" i="73" s="1"/>
  <c r="G48" i="73" s="1"/>
  <c r="S7" i="73"/>
  <c r="AA7" i="73"/>
  <c r="R48" i="73" s="1"/>
  <c r="W7" i="33"/>
  <c r="S4" i="46"/>
  <c r="S6" i="46"/>
  <c r="S2" i="46"/>
  <c r="S7" i="46"/>
  <c r="T7" i="46" s="1"/>
  <c r="V7" i="46" s="1"/>
  <c r="S3" i="46"/>
  <c r="S5" i="46"/>
  <c r="Q53" i="15"/>
  <c r="E63" i="39"/>
  <c r="E31" i="6"/>
  <c r="E59" i="40"/>
  <c r="E60" i="40"/>
  <c r="E16" i="6"/>
  <c r="E62" i="39"/>
  <c r="K22" i="6"/>
  <c r="E57" i="40"/>
  <c r="D113" i="46"/>
  <c r="J6" i="15"/>
  <c r="J18" i="15" s="1"/>
  <c r="Q62" i="15"/>
  <c r="Q74" i="15"/>
  <c r="C48" i="15"/>
  <c r="F17" i="11"/>
  <c r="C17" i="11" s="1"/>
  <c r="C19" i="11" s="1"/>
  <c r="C20" i="11" s="1"/>
  <c r="C21" i="11" s="1"/>
  <c r="C22" i="11" s="1"/>
  <c r="C23" i="11" s="1"/>
  <c r="B2" i="11" s="1"/>
  <c r="D16" i="43"/>
  <c r="C16" i="43" s="1"/>
  <c r="D45" i="9"/>
  <c r="L38" i="9"/>
  <c r="B14" i="66" s="1"/>
  <c r="B1" i="66" s="1"/>
  <c r="D46" i="9"/>
  <c r="C21" i="4"/>
  <c r="O5" i="54" s="1"/>
  <c r="B45" i="63" s="1"/>
  <c r="E6" i="6"/>
  <c r="D16" i="12"/>
  <c r="C20" i="59"/>
  <c r="D21" i="59"/>
  <c r="T21" i="59"/>
  <c r="D40" i="59"/>
  <c r="C41" i="59"/>
  <c r="D33" i="59"/>
  <c r="T33" i="59"/>
  <c r="K24" i="6"/>
  <c r="M24" i="6" s="1"/>
  <c r="I24" i="6" s="1"/>
  <c r="S24" i="6" s="1"/>
  <c r="F12" i="59"/>
  <c r="F11" i="59" s="1"/>
  <c r="V13" i="59"/>
  <c r="D37" i="59"/>
  <c r="T37" i="59"/>
  <c r="D28" i="59"/>
  <c r="C27" i="59"/>
  <c r="D27" i="59" s="1"/>
  <c r="N66" i="59"/>
  <c r="N67" i="59"/>
  <c r="K26" i="6"/>
  <c r="M26" i="6" s="1"/>
  <c r="I26" i="6" s="1"/>
  <c r="S26" i="6" s="1"/>
  <c r="K20" i="6"/>
  <c r="K23" i="6"/>
  <c r="M23" i="6" s="1"/>
  <c r="I23" i="6" s="1"/>
  <c r="S23" i="6" s="1"/>
  <c r="K25" i="6"/>
  <c r="M25" i="6" s="1"/>
  <c r="I25" i="6" s="1"/>
  <c r="S25" i="6" s="1"/>
  <c r="K19" i="6"/>
  <c r="K21" i="6"/>
  <c r="T53" i="59"/>
  <c r="D53"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3" i="35" s="1"/>
  <c r="H43"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R49" i="21"/>
  <c r="E48" i="21"/>
  <c r="AA7" i="33"/>
  <c r="R48" i="33" s="1"/>
  <c r="S7" i="33"/>
  <c r="F69" i="39"/>
  <c r="E71" i="39"/>
  <c r="G52" i="21"/>
  <c r="H52" i="21" s="1"/>
  <c r="G53" i="21"/>
  <c r="H53" i="21" s="1"/>
  <c r="I53" i="34"/>
  <c r="J53" i="34" s="1"/>
  <c r="R50" i="34"/>
  <c r="E49" i="34"/>
  <c r="I52" i="33"/>
  <c r="J52" i="33" s="1"/>
  <c r="E66" i="40"/>
  <c r="F64" i="40"/>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40" i="44"/>
  <c r="J28" i="44"/>
  <c r="J31" i="44" s="1"/>
  <c r="J26" i="44"/>
  <c r="C52" i="15"/>
  <c r="C10" i="15"/>
  <c r="C5" i="15" s="1"/>
  <c r="F41" i="15"/>
  <c r="E48" i="73" l="1"/>
  <c r="R49" i="73"/>
  <c r="G52" i="73"/>
  <c r="H52" i="73" s="1"/>
  <c r="G53" i="73"/>
  <c r="H53" i="73" s="1"/>
  <c r="I52" i="73"/>
  <c r="J52" i="73" s="1"/>
  <c r="I53" i="73"/>
  <c r="J53" i="73" s="1"/>
  <c r="F68" i="15"/>
  <c r="M21" i="6"/>
  <c r="I21" i="6" s="1"/>
  <c r="S21" i="6" s="1"/>
  <c r="S8" i="1"/>
  <c r="M20" i="6"/>
  <c r="I20" i="6" s="1"/>
  <c r="S20" i="6" s="1"/>
  <c r="S7" i="1"/>
  <c r="M22" i="6"/>
  <c r="I22" i="6" s="1"/>
  <c r="S22" i="6" s="1"/>
  <c r="S9" i="1"/>
  <c r="J5" i="15"/>
  <c r="J26" i="15" s="1"/>
  <c r="J29" i="15" s="1"/>
  <c r="C47" i="15"/>
  <c r="C59" i="15" s="1"/>
  <c r="D13" i="11"/>
  <c r="C13" i="11" s="1"/>
  <c r="D22" i="12"/>
  <c r="C22" i="12" s="1"/>
  <c r="C20" i="12" s="1"/>
  <c r="C7" i="66"/>
  <c r="C8" i="66"/>
  <c r="S6" i="1"/>
  <c r="M19" i="6"/>
  <c r="K27" i="6"/>
  <c r="T41" i="59"/>
  <c r="D41" i="59"/>
  <c r="C19" i="59"/>
  <c r="D20" i="59"/>
  <c r="D19" i="12"/>
  <c r="C19" i="12" s="1"/>
  <c r="C16" i="12"/>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E29" i="46"/>
  <c r="B3" i="11"/>
  <c r="C38" i="15"/>
  <c r="Q58" i="44"/>
  <c r="Q67" i="44"/>
  <c r="Q49" i="44"/>
  <c r="Q55" i="44" s="1"/>
  <c r="C17" i="15"/>
  <c r="C19" i="44"/>
  <c r="F7" i="67"/>
  <c r="B2" i="21" l="1"/>
  <c r="C10" i="12" s="1"/>
  <c r="C8" i="12"/>
  <c r="C49" i="73"/>
  <c r="B3" i="73" s="1"/>
  <c r="C48" i="73"/>
  <c r="E53" i="73"/>
  <c r="F53" i="73" s="1"/>
  <c r="E52" i="73"/>
  <c r="F52" i="73" s="1"/>
  <c r="B4" i="11"/>
  <c r="E6" i="3"/>
  <c r="C65" i="15"/>
  <c r="J24" i="15"/>
  <c r="C18" i="59"/>
  <c r="D19" i="59"/>
  <c r="M27" i="6"/>
  <c r="I19" i="6"/>
  <c r="S16" i="1"/>
  <c r="F8" i="59"/>
  <c r="E9" i="59"/>
  <c r="U9" i="59" s="1"/>
  <c r="B9" i="59"/>
  <c r="S9" i="59" s="1"/>
  <c r="D22" i="6"/>
  <c r="D8" i="6"/>
  <c r="E62" i="40"/>
  <c r="D15" i="6"/>
  <c r="D11" i="6"/>
  <c r="K38" i="9"/>
  <c r="C14" i="66" s="1"/>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C48" i="33"/>
  <c r="H69" i="39"/>
  <c r="G71" i="39"/>
  <c r="H64" i="40"/>
  <c r="G66" i="40"/>
  <c r="E4" i="67"/>
  <c r="C26" i="46"/>
  <c r="B2" i="46" s="1"/>
  <c r="D77" i="9"/>
  <c r="N75" i="9" s="1"/>
  <c r="B7" i="67"/>
  <c r="E7" i="67"/>
  <c r="B2" i="73" l="1"/>
  <c r="E10" i="12" s="1"/>
  <c r="E8" i="12"/>
  <c r="B2" i="33"/>
  <c r="R24" i="31"/>
  <c r="R24" i="6"/>
  <c r="R26" i="6"/>
  <c r="I27" i="6"/>
  <c r="S19" i="6"/>
  <c r="S27" i="6" s="1"/>
  <c r="H19" i="6"/>
  <c r="R19" i="6" s="1"/>
  <c r="T9" i="1"/>
  <c r="T13" i="1"/>
  <c r="T6" i="1"/>
  <c r="T12" i="1"/>
  <c r="T10" i="1"/>
  <c r="T11" i="1"/>
  <c r="T8" i="1"/>
  <c r="T7" i="1"/>
  <c r="C17" i="59"/>
  <c r="D18" i="59"/>
  <c r="F7" i="59"/>
  <c r="B8" i="59"/>
  <c r="E8" i="59"/>
  <c r="R25" i="6"/>
  <c r="R21" i="6"/>
  <c r="R8" i="1" s="1"/>
  <c r="D27" i="6"/>
  <c r="D31" i="6" s="1"/>
  <c r="A20" i="64"/>
  <c r="A6" i="64"/>
  <c r="A20" i="51"/>
  <c r="B15" i="63" s="1"/>
  <c r="N5" i="54"/>
  <c r="B43" i="63" s="1"/>
  <c r="A6" i="51"/>
  <c r="B7" i="63" s="1"/>
  <c r="D8" i="66"/>
  <c r="D7" i="66"/>
  <c r="D16" i="6"/>
  <c r="R23" i="6"/>
  <c r="R20" i="6"/>
  <c r="R7" i="1" s="1"/>
  <c r="C17" i="43"/>
  <c r="C14" i="43"/>
  <c r="C14" i="12"/>
  <c r="C17" i="12"/>
  <c r="I64" i="40"/>
  <c r="H66" i="40"/>
  <c r="H71" i="39"/>
  <c r="I69" i="39"/>
  <c r="N46" i="36"/>
  <c r="E3" i="67"/>
  <c r="B2" i="67"/>
  <c r="D4" i="46"/>
  <c r="B3" i="46"/>
  <c r="B4" i="46"/>
  <c r="F35" i="15"/>
  <c r="C14" i="15"/>
  <c r="C16" i="44"/>
  <c r="F37" i="44"/>
  <c r="M23" i="44"/>
  <c r="M21" i="15"/>
  <c r="S24" i="31" l="1"/>
  <c r="R25" i="31"/>
  <c r="S25" i="31" s="1"/>
  <c r="R27" i="6"/>
  <c r="R6" i="1"/>
  <c r="C15" i="15"/>
  <c r="C18" i="15"/>
  <c r="C20" i="44"/>
  <c r="C17" i="44"/>
  <c r="T16" i="1"/>
  <c r="C16" i="59"/>
  <c r="T17" i="59"/>
  <c r="D17" i="59"/>
  <c r="H27" i="6"/>
  <c r="E7" i="59"/>
  <c r="B7" i="59"/>
  <c r="F6" i="59"/>
  <c r="I6" i="6"/>
  <c r="I5" i="6"/>
  <c r="J22" i="44"/>
  <c r="J20" i="15"/>
  <c r="F62" i="15"/>
  <c r="C61" i="15" s="1"/>
  <c r="C34" i="15"/>
  <c r="C36" i="44"/>
  <c r="R16" i="1"/>
  <c r="C18" i="43"/>
  <c r="C18" i="12"/>
  <c r="C23" i="12" s="1"/>
  <c r="O46" i="36"/>
  <c r="J7" i="36" s="1"/>
  <c r="F7" i="36"/>
  <c r="H7" i="36"/>
  <c r="J64" i="40"/>
  <c r="I66" i="40"/>
  <c r="J69" i="39"/>
  <c r="I71" i="39"/>
  <c r="B3" i="67"/>
  <c r="B4" i="67"/>
  <c r="S22" i="31" l="1"/>
  <c r="D10" i="12" s="1"/>
  <c r="C19" i="15"/>
  <c r="C20" i="15" s="1"/>
  <c r="C26" i="15" s="1"/>
  <c r="C21" i="44"/>
  <c r="C22" i="44" s="1"/>
  <c r="C28" i="44" s="1"/>
  <c r="D16" i="59"/>
  <c r="C15" i="59"/>
  <c r="F5" i="59"/>
  <c r="V5" i="59" s="1"/>
  <c r="B6" i="59"/>
  <c r="E6" i="59"/>
  <c r="C19" i="43"/>
  <c r="K69" i="39"/>
  <c r="J71" i="39"/>
  <c r="U7" i="36"/>
  <c r="AB7" i="36"/>
  <c r="T36" i="36" s="1"/>
  <c r="G36" i="36" s="1"/>
  <c r="AC7" i="36"/>
  <c r="V36" i="36" s="1"/>
  <c r="I36" i="36" s="1"/>
  <c r="W7" i="36"/>
  <c r="J66" i="40"/>
  <c r="K64" i="40"/>
  <c r="S7" i="36"/>
  <c r="AA7" i="36"/>
  <c r="R36" i="36" s="1"/>
  <c r="B20" i="31" l="1"/>
  <c r="R22" i="31"/>
  <c r="D8" i="12" s="1"/>
  <c r="B21" i="31"/>
  <c r="D15" i="59"/>
  <c r="C14" i="59"/>
  <c r="E5" i="59"/>
  <c r="U5" i="59" s="1"/>
  <c r="B5" i="59"/>
  <c r="C21" i="43"/>
  <c r="R37" i="36"/>
  <c r="E36" i="36"/>
  <c r="I41" i="36" s="1"/>
  <c r="J41" i="36" s="1"/>
  <c r="K66" i="40"/>
  <c r="L64" i="40"/>
  <c r="G41" i="36"/>
  <c r="H41" i="36" s="1"/>
  <c r="G40" i="36"/>
  <c r="H40" i="36" s="1"/>
  <c r="I40" i="36"/>
  <c r="J40" i="36" s="1"/>
  <c r="L69" i="39"/>
  <c r="K71" i="39"/>
  <c r="D14" i="59" l="1"/>
  <c r="C13" i="59"/>
  <c r="S5" i="59"/>
  <c r="L71" i="39"/>
  <c r="M69" i="39"/>
  <c r="M64" i="40"/>
  <c r="L66" i="40"/>
  <c r="E40" i="36"/>
  <c r="F40" i="36" s="1"/>
  <c r="E41" i="36"/>
  <c r="F41" i="36" s="1"/>
  <c r="C37" i="36"/>
  <c r="B3" i="36" s="1"/>
  <c r="B2" i="36" s="1"/>
  <c r="C36" i="36"/>
  <c r="C12" i="59" l="1"/>
  <c r="T13" i="59"/>
  <c r="D13" i="59"/>
  <c r="N64" i="40"/>
  <c r="N66" i="40" s="1"/>
  <c r="M66" i="40"/>
  <c r="N69" i="39"/>
  <c r="N71" i="39" s="1"/>
  <c r="M71" i="39"/>
  <c r="C11" i="59" l="1"/>
  <c r="D12" i="59"/>
  <c r="J9" i="40"/>
  <c r="H9" i="40"/>
  <c r="F9" i="40"/>
  <c r="J9" i="39"/>
  <c r="H9" i="39"/>
  <c r="F9" i="3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C7" i="59" l="1"/>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s="1"/>
  <c r="B2" i="39" s="1"/>
  <c r="C19" i="9"/>
  <c r="L43" i="9" l="1"/>
  <c r="D7" i="59"/>
  <c r="C6" i="59"/>
  <c r="B5" i="39"/>
  <c r="B4" i="39"/>
  <c r="B3" i="39"/>
  <c r="B5" i="40"/>
  <c r="B4" i="40"/>
  <c r="B3" i="40"/>
  <c r="C20" i="9"/>
  <c r="C21" i="9"/>
  <c r="D6" i="59" l="1"/>
  <c r="C5" i="59"/>
  <c r="F20" i="43"/>
  <c r="D20" i="43" s="1"/>
  <c r="F26" i="12"/>
  <c r="F26" i="44"/>
  <c r="F24" i="15"/>
  <c r="D5" i="59" l="1"/>
  <c r="T5" i="59"/>
  <c r="M20" i="46"/>
  <c r="C20" i="43"/>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B3" i="43"/>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Q67" i="15" l="1"/>
  <c r="L46" i="15"/>
  <c r="B2" i="15" s="1"/>
  <c r="C46" i="15"/>
  <c r="Q66" i="15"/>
  <c r="J42" i="15"/>
  <c r="J43" i="15" s="1"/>
  <c r="C43" i="15"/>
  <c r="Q48" i="15"/>
  <c r="Q54" i="15" s="1"/>
  <c r="Q58" i="15"/>
  <c r="Q63" i="15" s="1"/>
  <c r="L52" i="44"/>
  <c r="L58" i="44" s="1"/>
  <c r="L61" i="44" s="1"/>
  <c r="B3" i="44"/>
  <c r="B5" i="44"/>
  <c r="B4" i="44"/>
  <c r="B3" i="15" l="1"/>
  <c r="M34" i="15" s="1"/>
  <c r="F10" i="12"/>
  <c r="C6" i="12" s="1"/>
  <c r="Q76" i="15"/>
  <c r="Q69" i="44"/>
  <c r="Q59" i="44"/>
  <c r="Q64" i="44" s="1"/>
  <c r="Q68" i="44"/>
  <c r="Q77" i="44" s="1"/>
  <c r="F8" i="12" l="1"/>
  <c r="C24" i="12"/>
  <c r="C29" i="12"/>
  <c r="C35" i="12" l="1"/>
  <c r="C33" i="12" s="1"/>
  <c r="C28" i="12"/>
  <c r="C26" i="12" s="1"/>
  <c r="C31" i="12" s="1"/>
  <c r="C30" i="12" s="1"/>
  <c r="C36" i="12" l="1"/>
  <c r="B2" i="12" s="1"/>
  <c r="D19" i="9"/>
  <c r="L44" i="9" l="1"/>
  <c r="G19" i="9"/>
  <c r="D22" i="9"/>
  <c r="B3" i="12"/>
  <c r="B5" i="12"/>
  <c r="B4" i="12"/>
  <c r="D21" i="9"/>
  <c r="D20" i="9"/>
  <c r="G21" i="9" l="1"/>
  <c r="G20" i="9"/>
  <c r="C32" i="9"/>
  <c r="N43" i="9"/>
  <c r="G22" i="9"/>
  <c r="C33" i="9" l="1"/>
  <c r="O38" i="9"/>
  <c r="O43" i="9"/>
  <c r="C42" i="9"/>
  <c r="C34" i="9"/>
  <c r="C35" i="9"/>
  <c r="F42" i="9" s="1"/>
  <c r="C44" i="9" l="1"/>
  <c r="D63" i="9"/>
  <c r="D14" i="66"/>
  <c r="N68" i="9"/>
  <c r="R5" i="54"/>
  <c r="B48" i="63" s="1"/>
  <c r="K25" i="9"/>
  <c r="K26" i="9"/>
  <c r="E42" i="9"/>
  <c r="P5" i="54" s="1"/>
  <c r="B46" i="63" s="1"/>
  <c r="M38" i="9"/>
  <c r="K27" i="9" s="1"/>
  <c r="N38" i="9"/>
  <c r="K28" i="9" s="1"/>
  <c r="D42" i="9"/>
  <c r="Q5" i="54" s="1"/>
  <c r="B47" i="63" s="1"/>
  <c r="C82" i="9" l="1"/>
  <c r="C81" i="9" s="1"/>
  <c r="C85" i="9" s="1"/>
  <c r="C86" i="9" s="1"/>
  <c r="D72" i="9" s="1"/>
  <c r="D71" i="9"/>
  <c r="D66" i="9" s="1"/>
  <c r="N72" i="9" s="1"/>
  <c r="D73" i="9"/>
  <c r="N73" i="9" s="1"/>
  <c r="C103" i="9"/>
  <c r="C96" i="9"/>
  <c r="C91" i="9" s="1"/>
  <c r="C90" i="9"/>
  <c r="C111" i="9"/>
  <c r="C104" i="9" s="1"/>
  <c r="D70" i="9"/>
  <c r="B5" i="66"/>
  <c r="E14" i="66"/>
  <c r="F14" i="66"/>
  <c r="G14" i="66"/>
  <c r="B6" i="66" s="1"/>
  <c r="N69" i="9"/>
  <c r="O39" i="9"/>
  <c r="D44" i="9"/>
  <c r="F44" i="9"/>
  <c r="E44" i="9"/>
  <c r="C97" i="9" l="1"/>
  <c r="R6" i="54"/>
  <c r="B50" i="63" s="1"/>
  <c r="K29" i="9"/>
  <c r="K30" i="9" s="1"/>
  <c r="C6" i="66"/>
  <c r="D6" i="66"/>
  <c r="C113" i="9"/>
  <c r="C98" i="9"/>
  <c r="E98" i="9" s="1"/>
  <c r="E99" i="9" s="1"/>
  <c r="M88" i="9"/>
  <c r="N88" i="9" s="1"/>
  <c r="M87" i="9"/>
  <c r="N87" i="9" s="1"/>
  <c r="M86" i="9"/>
  <c r="N86" i="9" s="1"/>
  <c r="M85" i="9"/>
  <c r="N85" i="9" s="1"/>
  <c r="M84" i="9"/>
  <c r="N84" i="9" s="1"/>
  <c r="M83" i="9"/>
  <c r="N83" i="9" s="1"/>
  <c r="C5" i="66"/>
  <c r="D5" i="66"/>
  <c r="N89" i="9" l="1"/>
  <c r="O89" i="9" s="1"/>
  <c r="C99" i="9"/>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<sst xmlns="http://schemas.openxmlformats.org/spreadsheetml/2006/main" count="8176" uniqueCount="3471">
  <si>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</si>
  <si>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</si>
  <si>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</si>
  <si>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</si>
  <si>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</si>
  <si>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</si>
  <si>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</si>
  <si>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</si>
  <si>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</si>
  <si>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</si>
  <si>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</si>
  <si>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</si>
  <si>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</si>
  <si>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</si>
  <si>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</si>
  <si>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</si>
  <si>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</si>
  <si>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</si>
  <si>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</si>
  <si>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</si>
  <si>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</si>
  <si>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</si>
  <si>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</si>
  <si>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</si>
  <si>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</si>
  <si>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</si>
  <si>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</si>
  <si>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</si>
  <si>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</si>
  <si>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</si>
  <si>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</si>
  <si>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</si>
  <si>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</si>
  <si>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</si>
  <si>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</si>
  <si>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</si>
  <si>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</si>
  <si>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</si>
  <si>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</si>
  <si>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</si>
  <si>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</si>
  <si>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</si>
  <si>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</si>
  <si>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</si>
  <si>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</si>
  <si>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</si>
  <si>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</si>
  <si>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</si>
  <si>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</si>
  <si>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</si>
  <si>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</si>
  <si>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</si>
  <si>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</si>
  <si>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</si>
  <si>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</si>
  <si>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</si>
  <si>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</si>
  <si>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</si>
  <si>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</si>
  <si>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</si>
  <si>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</si>
  <si>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</si>
  <si>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</si>
  <si>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</si>
  <si>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</si>
  <si>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</si>
  <si>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</si>
  <si>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</si>
  <si>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</si>
  <si>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</si>
  <si>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</si>
  <si>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</si>
  <si>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</si>
  <si>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</si>
  <si>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</si>
  <si>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</si>
  <si>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</si>
  <si>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</si>
  <si>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</si>
  <si>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</si>
  <si>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</si>
  <si>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</si>
  <si>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</si>
  <si>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</si>
  <si>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</si>
  <si>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</si>
  <si>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</si>
  <si>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</si>
  <si>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</si>
  <si>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</si>
  <si>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</si>
  <si>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</si>
  <si>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</si>
  <si>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</si>
  <si>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</si>
  <si>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</si>
  <si>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</si>
  <si>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</si>
  <si>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</si>
  <si>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</si>
  <si>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</si>
  <si>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</si>
  <si>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</si>
  <si>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</si>
  <si>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</si>
  <si>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</si>
  <si>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</si>
  <si>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</si>
  <si>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</si>
  <si>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</si>
  <si>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</si>
  <si>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</si>
  <si>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</si>
  <si>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</si>
  <si>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</si>
  <si>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</si>
  <si>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</si>
  <si>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</si>
  <si>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</si>
  <si>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</si>
  <si>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</si>
  <si>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</si>
  <si>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</si>
  <si>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</si>
  <si>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</si>
  <si>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</si>
  <si>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</si>
  <si>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</si>
  <si>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</si>
  <si>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</si>
  <si>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</si>
  <si>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</si>
  <si>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</si>
  <si>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</si>
  <si>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</si>
  <si>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</si>
  <si>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</si>
  <si>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</si>
  <si>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</si>
  <si>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</si>
  <si>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</si>
  <si>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</si>
  <si>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</si>
  <si>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</si>
  <si>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</si>
  <si>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</si>
  <si>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</si>
  <si>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</si>
  <si>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</si>
  <si>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</si>
  <si>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</si>
  <si>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</si>
  <si>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</si>
  <si>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</si>
  <si>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</si>
  <si>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</si>
  <si>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</si>
  <si>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</si>
  <si>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</si>
  <si>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</si>
  <si>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</si>
  <si>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</si>
  <si>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</si>
  <si>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</si>
  <si>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</si>
  <si>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</si>
  <si>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</si>
  <si>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</si>
  <si>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</si>
  <si>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</si>
  <si>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</si>
  <si>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</si>
  <si>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</si>
  <si>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</si>
  <si>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</si>
  <si>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</si>
  <si>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</si>
  <si>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</si>
  <si>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</si>
  <si>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</si>
  <si>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</si>
  <si>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</si>
  <si>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</si>
  <si>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</si>
  <si>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</si>
  <si>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</si>
  <si>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</si>
  <si>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</si>
  <si>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</si>
  <si>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</si>
  <si>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</si>
  <si>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</si>
  <si>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</si>
  <si>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</si>
  <si>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</si>
  <si>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</si>
  <si>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</si>
  <si>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</si>
  <si>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</si>
  <si>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</si>
  <si>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</si>
  <si>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</si>
  <si>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</si>
  <si>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</si>
  <si>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</si>
  <si>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</si>
  <si>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</si>
  <si>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</si>
  <si>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</si>
  <si>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</si>
  <si>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</si>
  <si>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</si>
  <si>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</si>
  <si>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</si>
  <si>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</si>
  <si>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</si>
  <si>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</si>
  <si>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</si>
  <si>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</si>
  <si>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</si>
  <si>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</si>
  <si>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</si>
  <si>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</si>
  <si>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</si>
  <si>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</si>
  <si>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</si>
  <si>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</si>
  <si>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</si>
  <si>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</si>
  <si>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</si>
  <si>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</si>
  <si>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</si>
  <si>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</si>
  <si>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</si>
  <si>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</si>
  <si>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</si>
  <si>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</si>
  <si>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</si>
  <si>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</si>
  <si>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</si>
  <si>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</si>
  <si>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</si>
  <si>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</si>
  <si>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</si>
  <si>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</si>
  <si>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</si>
  <si>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</si>
  <si>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</si>
  <si>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</si>
  <si>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</si>
  <si>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</si>
  <si>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</si>
  <si>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</si>
  <si>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</si>
  <si>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</si>
  <si>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</si>
  <si>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</si>
  <si>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</si>
  <si>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</si>
  <si>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</si>
  <si>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</si>
  <si>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</si>
  <si>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</si>
  <si>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</si>
  <si>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</si>
  <si>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</si>
  <si>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</si>
  <si>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</si>
  <si>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</si>
  <si>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</si>
  <si>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</si>
  <si>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</si>
  <si>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</si>
  <si>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</si>
  <si>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</si>
  <si>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</si>
  <si>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</si>
  <si>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</si>
  <si>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</si>
  <si>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</si>
  <si>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</si>
  <si>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</si>
  <si>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</si>
  <si>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</si>
  <si>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</si>
  <si>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</si>
  <si>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</si>
  <si>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</si>
  <si>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</si>
  <si>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</si>
  <si>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</si>
  <si>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</si>
  <si>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</si>
  <si>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</si>
  <si>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</si>
  <si>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</si>
  <si>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</si>
  <si>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</si>
  <si>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</si>
  <si>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</si>
  <si>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</si>
  <si>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</si>
  <si>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</si>
  <si>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</si>
  <si>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</si>
  <si>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</si>
  <si>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</si>
  <si>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</si>
  <si>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</si>
  <si>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</si>
  <si>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</si>
  <si>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</si>
  <si>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</si>
  <si>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</si>
  <si>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</si>
  <si>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</si>
  <si>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</si>
  <si>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</si>
  <si>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</si>
  <si>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</si>
  <si>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</si>
  <si>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</si>
  <si>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</si>
  <si>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</si>
  <si>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</si>
  <si>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</si>
  <si>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</si>
  <si>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</si>
  <si>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</si>
  <si>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</si>
  <si>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</si>
  <si>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</si>
  <si>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</si>
  <si>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</si>
  <si>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</si>
  <si>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</si>
  <si>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</si>
  <si>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</si>
  <si>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</si>
  <si>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</si>
  <si>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</si>
  <si>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</si>
  <si>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</si>
  <si>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</si>
  <si>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</si>
  <si>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</si>
  <si>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</si>
  <si>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</si>
  <si>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</si>
  <si>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</si>
  <si>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</si>
  <si>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</si>
  <si>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</si>
  <si>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</si>
  <si>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</si>
  <si>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</si>
  <si>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</si>
  <si>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</si>
  <si>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</si>
  <si>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</si>
  <si>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</si>
  <si>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</si>
  <si>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</si>
  <si>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</si>
  <si>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</si>
  <si>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</si>
  <si>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</si>
  <si>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</si>
  <si>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</si>
  <si>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</si>
  <si>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</si>
  <si>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</si>
  <si>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</si>
  <si>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</si>
  <si>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</si>
  <si>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</si>
  <si>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</si>
  <si>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</si>
  <si>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</si>
  <si>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</si>
  <si>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</si>
  <si>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</si>
  <si>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</si>
  <si>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</si>
  <si>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</si>
  <si>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</si>
  <si>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</si>
  <si>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</si>
  <si>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</si>
  <si>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</si>
  <si>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</si>
  <si>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</si>
  <si>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</si>
  <si>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</si>
  <si>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</si>
  <si>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</si>
  <si>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</si>
  <si>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</si>
  <si>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</si>
  <si>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</si>
  <si>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</si>
  <si>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</si>
  <si>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</si>
  <si>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</si>
  <si>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</si>
  <si>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</si>
  <si>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</si>
  <si>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</si>
  <si>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</si>
  <si>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</si>
  <si>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</si>
  <si>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</si>
  <si>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</si>
  <si>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</si>
  <si>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</si>
  <si>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</si>
  <si>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</si>
  <si>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</si>
  <si>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</si>
  <si>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</si>
  <si>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</si>
  <si>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</si>
  <si>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</si>
  <si>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</si>
  <si>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</si>
  <si>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</si>
  <si>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</si>
  <si>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</si>
  <si>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</si>
  <si>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</si>
  <si>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</si>
  <si>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</si>
  <si>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</si>
  <si>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</si>
  <si>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</si>
  <si>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</si>
  <si>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</si>
  <si>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</si>
  <si>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</si>
  <si>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</si>
  <si>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</si>
  <si>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</si>
  <si>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</si>
  <si>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</si>
  <si>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</si>
  <si>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</si>
  <si>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</si>
  <si>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</si>
  <si>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</si>
  <si>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</si>
  <si>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</si>
  <si>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</si>
  <si>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</si>
  <si>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</si>
  <si>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</si>
  <si>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</si>
  <si>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</si>
  <si>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</si>
  <si>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</si>
  <si>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</si>
  <si>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</si>
  <si>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</si>
  <si>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</si>
  <si>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</si>
  <si>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</si>
  <si>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</si>
  <si>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</si>
  <si>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</si>
  <si>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</si>
  <si>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</si>
  <si>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</si>
  <si>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</si>
  <si>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</si>
  <si>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</si>
  <si>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</si>
  <si>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</si>
  <si>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</si>
  <si>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</si>
  <si>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</si>
  <si>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</si>
  <si>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</si>
  <si>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</si>
  <si>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</si>
  <si>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</si>
  <si>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</si>
  <si>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</si>
  <si>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</si>
  <si>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</si>
  <si>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</si>
  <si>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</si>
  <si>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</si>
  <si>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</si>
  <si>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</si>
  <si>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</si>
  <si>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</si>
  <si>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</si>
  <si>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</si>
  <si>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</si>
  <si>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</si>
  <si>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</si>
  <si>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</si>
  <si>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</si>
  <si>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</si>
  <si>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</si>
  <si>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</si>
  <si>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</si>
  <si>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</si>
  <si>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</si>
  <si>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</si>
  <si>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</si>
  <si>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</si>
  <si>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</si>
  <si>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</si>
  <si>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</si>
  <si>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</si>
  <si>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</si>
  <si>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</si>
  <si>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</si>
  <si>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</si>
  <si>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</si>
  <si>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</si>
  <si>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</si>
  <si>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</si>
  <si>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</si>
  <si>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</si>
  <si>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</si>
  <si>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</si>
  <si>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</si>
  <si>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</si>
  <si>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</si>
  <si>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</si>
  <si>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</si>
  <si>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</si>
  <si>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</si>
  <si>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</si>
  <si>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</si>
  <si>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</si>
  <si>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</si>
  <si>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</si>
  <si>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</si>
  <si>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</si>
  <si>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</si>
  <si>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</si>
  <si>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</si>
  <si>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</si>
  <si>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</si>
  <si>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</si>
  <si>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</si>
  <si>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</si>
  <si>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</si>
  <si>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</si>
  <si>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</si>
  <si>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</si>
  <si>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</si>
  <si>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</si>
  <si>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</si>
  <si>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</si>
  <si>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</si>
  <si>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</si>
  <si>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</si>
  <si>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</si>
  <si>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</si>
  <si>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</si>
  <si>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</si>
  <si>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</si>
  <si>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</si>
  <si>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</si>
  <si>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</si>
  <si>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</si>
  <si>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</si>
  <si>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</si>
  <si>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</si>
  <si>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</si>
  <si>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</si>
  <si>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</si>
  <si>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</si>
  <si>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</si>
  <si>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</si>
  <si>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</si>
  <si>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</si>
  <si>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</si>
  <si>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</si>
  <si>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</si>
  <si>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</si>
  <si>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</si>
  <si>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</si>
  <si>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</si>
  <si>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</si>
  <si>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</si>
  <si>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</si>
  <si>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</si>
  <si>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</si>
  <si>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</si>
  <si>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</si>
  <si>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</si>
  <si>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</si>
  <si>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</si>
  <si>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</si>
  <si>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</si>
  <si>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</si>
  <si>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</si>
  <si>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</si>
  <si>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</si>
  <si>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</si>
  <si>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</si>
  <si>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</si>
  <si>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</si>
  <si>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</si>
  <si>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</si>
  <si>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</si>
  <si>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</si>
  <si>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</si>
  <si>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</si>
  <si>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</si>
  <si>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</si>
  <si>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</si>
  <si>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</si>
  <si>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</si>
  <si>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</si>
  <si>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</si>
  <si>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</si>
  <si>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</si>
  <si>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</si>
  <si>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</si>
  <si>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</si>
  <si>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</si>
  <si>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</si>
  <si>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</si>
  <si>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</si>
  <si>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</si>
  <si>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</si>
  <si>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</si>
  <si>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</si>
  <si>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</si>
  <si>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</si>
  <si>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</si>
  <si>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</si>
  <si>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</si>
  <si>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</si>
  <si>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</si>
  <si>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</si>
  <si>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</si>
  <si>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</si>
  <si>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</si>
  <si>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</si>
  <si>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</si>
  <si>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</si>
  <si>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</si>
  <si>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</si>
  <si>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</si>
  <si>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</si>
  <si>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</si>
  <si>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</si>
  <si>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</si>
  <si>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</si>
  <si>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</si>
  <si>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</si>
  <si>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</si>
  <si>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</si>
  <si>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</si>
  <si>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</si>
  <si>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</si>
  <si>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</si>
  <si>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</si>
  <si>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</si>
  <si>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</si>
  <si>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</si>
  <si>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</si>
  <si>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</si>
  <si>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</si>
  <si>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</si>
  <si>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</si>
  <si>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</si>
  <si>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</si>
  <si>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</si>
  <si>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</si>
  <si>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</si>
  <si>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</si>
  <si>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</si>
  <si>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</si>
  <si>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</si>
  <si>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</si>
  <si>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</si>
  <si>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</si>
  <si>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</si>
  <si>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</si>
  <si>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</si>
  <si>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</si>
  <si>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</si>
  <si>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</si>
  <si>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</si>
  <si>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</si>
  <si>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</si>
  <si>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</si>
  <si>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</si>
  <si>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</si>
  <si>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</si>
  <si>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</si>
  <si>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</si>
  <si>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</si>
  <si>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</si>
  <si>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</si>
  <si>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</si>
  <si>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</si>
  <si>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</si>
  <si>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</si>
  <si>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</si>
  <si>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</si>
  <si>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</si>
  <si>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</si>
  <si>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</si>
  <si>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</si>
  <si>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</si>
  <si>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</si>
  <si>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</si>
  <si>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</si>
  <si>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</si>
  <si>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</si>
  <si>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</si>
  <si>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</si>
  <si>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</si>
  <si>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</si>
  <si>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</si>
  <si>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</si>
  <si>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</si>
  <si>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</si>
  <si>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</si>
  <si>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</si>
  <si>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</si>
  <si>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</si>
  <si>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</si>
  <si>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</si>
  <si>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</si>
  <si>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</si>
  <si>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</si>
  <si>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</si>
  <si>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</si>
  <si>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</si>
  <si>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</si>
  <si>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</si>
  <si>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</si>
  <si>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</si>
  <si>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</si>
  <si>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</si>
  <si>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</si>
  <si>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</si>
  <si>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</si>
  <si>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</si>
  <si>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</si>
  <si>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</si>
  <si>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</si>
  <si>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</si>
  <si>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</si>
  <si>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</si>
  <si>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</si>
  <si>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</si>
  <si>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</si>
  <si>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</si>
  <si>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</si>
  <si>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</si>
  <si>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</si>
  <si>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</si>
  <si>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</si>
  <si>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</si>
  <si>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</si>
  <si>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</si>
  <si>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</si>
  <si>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</si>
  <si>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</si>
  <si>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</si>
  <si>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</si>
  <si>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</si>
  <si>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</si>
  <si>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</si>
  <si>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</si>
  <si>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</si>
  <si>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</si>
  <si>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</si>
  <si>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</si>
  <si>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</si>
  <si>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</si>
  <si>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</si>
  <si>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</si>
  <si>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</si>
  <si>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</si>
  <si>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</si>
  <si>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</si>
  <si>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</si>
  <si>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</si>
  <si>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</si>
  <si>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</si>
  <si>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</si>
  <si>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</si>
  <si>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</si>
  <si>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</si>
  <si>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</si>
  <si>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</si>
  <si>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</si>
  <si>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</si>
  <si>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</si>
  <si>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</si>
  <si>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</si>
  <si>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</si>
  <si>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</si>
  <si>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</si>
  <si>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</si>
  <si>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</si>
  <si>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</si>
  <si>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</si>
  <si>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</si>
  <si>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</si>
  <si>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</si>
  <si>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</si>
  <si>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</si>
  <si>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</si>
  <si>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</si>
  <si>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</si>
  <si>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</si>
  <si>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</si>
  <si>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</si>
  <si>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</si>
  <si>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</si>
  <si>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</si>
  <si>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</si>
  <si>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</si>
  <si>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</si>
  <si>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</si>
  <si>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</si>
  <si>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</si>
  <si>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</si>
  <si>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</si>
  <si>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</si>
  <si>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</si>
  <si>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</si>
  <si>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</si>
  <si>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</si>
  <si>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</si>
  <si>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</si>
  <si>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</si>
  <si>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</si>
  <si>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</si>
  <si>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</si>
  <si>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</si>
  <si>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</si>
  <si>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</si>
  <si>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</si>
  <si>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</si>
  <si>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</si>
  <si>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</si>
  <si>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</si>
  <si>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</si>
  <si>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</si>
  <si>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</si>
  <si>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</si>
  <si>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</si>
  <si>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</si>
  <si>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</si>
  <si>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</si>
  <si>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</si>
  <si>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</si>
  <si>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</si>
  <si>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</si>
  <si>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</si>
  <si>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</si>
  <si>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</si>
  <si>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</si>
  <si>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</si>
  <si>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</si>
  <si>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</si>
  <si>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</si>
  <si>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</si>
  <si>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</si>
  <si>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</si>
  <si>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</si>
  <si>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</si>
  <si>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</si>
  <si>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</si>
  <si>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</si>
  <si>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</si>
  <si>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</si>
  <si>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</si>
  <si>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</si>
  <si>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</si>
  <si>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</si>
  <si>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</si>
  <si>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</si>
  <si>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</si>
  <si>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</si>
  <si>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</si>
  <si>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</si>
  <si>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</si>
  <si>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</si>
  <si>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</si>
  <si>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</si>
  <si>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</si>
  <si>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</si>
  <si>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</si>
  <si>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</si>
  <si>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</si>
  <si>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</si>
  <si>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</si>
  <si>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</si>
  <si>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</si>
  <si>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</si>
  <si>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</si>
  <si>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</si>
  <si>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</si>
  <si>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</si>
  <si>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</si>
  <si>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</si>
  <si>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</si>
  <si>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</si>
  <si>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</si>
  <si>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</si>
  <si>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</si>
  <si>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</si>
  <si>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</si>
  <si>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</si>
  <si>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</si>
  <si>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</si>
  <si>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</si>
  <si>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</si>
  <si>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</si>
  <si>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</si>
  <si>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</si>
  <si>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</si>
  <si>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</si>
  <si>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</si>
  <si>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</si>
  <si>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</si>
  <si>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</si>
  <si>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</si>
  <si>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</si>
  <si>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</si>
  <si>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</si>
  <si>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</si>
  <si>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</si>
  <si>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</si>
  <si>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</si>
  <si>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</si>
  <si>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</si>
  <si>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</si>
  <si>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</si>
  <si>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</si>
  <si>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</si>
  <si>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</si>
  <si>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</si>
  <si>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</si>
  <si>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</si>
  <si>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</si>
  <si>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</si>
  <si>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</si>
  <si>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</si>
  <si>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</si>
  <si>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</si>
  <si>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</si>
  <si>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</si>
  <si>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</si>
  <si>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</si>
  <si>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</si>
  <si>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</si>
  <si>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</si>
  <si>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</si>
  <si>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</si>
  <si>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</si>
  <si>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</si>
  <si>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</si>
  <si>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</si>
  <si>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</si>
  <si>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</si>
  <si>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</si>
  <si>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</si>
  <si>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</si>
  <si>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</si>
  <si>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</si>
  <si>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</si>
  <si>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</si>
  <si>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</si>
  <si>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</si>
  <si>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</si>
  <si>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</si>
  <si>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</si>
  <si>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</si>
  <si>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</si>
  <si>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</si>
  <si>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</si>
  <si>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</si>
  <si>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</si>
  <si>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</si>
  <si>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</si>
  <si>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</si>
  <si>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</si>
  <si>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</si>
  <si>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</si>
  <si>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</si>
  <si>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</si>
  <si>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</si>
  <si>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</si>
  <si>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</si>
  <si>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</si>
  <si>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</si>
  <si>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</si>
  <si>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</si>
  <si>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</si>
  <si>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</si>
  <si>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</si>
  <si>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</si>
  <si>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</si>
  <si>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</si>
  <si>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</si>
  <si>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</si>
  <si>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</si>
  <si>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</si>
  <si>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</si>
  <si>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</si>
  <si>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</si>
  <si>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</si>
  <si>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</si>
  <si>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</si>
  <si>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</si>
  <si>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</si>
  <si>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</si>
  <si>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</si>
  <si>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</si>
  <si>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</si>
  <si>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</si>
  <si>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</si>
  <si>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</si>
  <si>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</si>
  <si>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</si>
  <si>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</si>
  <si>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</si>
  <si>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</si>
  <si>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</si>
  <si>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</si>
  <si>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</si>
  <si>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</si>
  <si>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</si>
  <si>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</si>
  <si>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</si>
  <si>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</si>
  <si>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</si>
  <si>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</si>
  <si>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</si>
  <si>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</si>
  <si>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</si>
  <si>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</si>
  <si>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</si>
  <si>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</si>
  <si>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</si>
  <si>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</si>
  <si>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</si>
  <si>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</si>
  <si>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</si>
  <si>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</si>
  <si>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</si>
  <si>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</si>
  <si>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</si>
  <si>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</si>
  <si>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</si>
  <si>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</si>
  <si>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</si>
  <si>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</si>
  <si>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</si>
  <si>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</si>
  <si>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</si>
  <si>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</si>
  <si>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</si>
  <si>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</si>
  <si>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</si>
  <si>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</si>
  <si>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</si>
  <si>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</si>
  <si>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</si>
  <si>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</si>
  <si>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</si>
  <si>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</si>
  <si>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</si>
  <si>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</si>
  <si>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</si>
  <si>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</si>
  <si>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</si>
  <si>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</si>
  <si>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</si>
  <si>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</si>
  <si>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</si>
  <si>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</si>
  <si>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</si>
  <si>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</si>
  <si>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</si>
  <si>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</si>
  <si>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</si>
  <si>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</si>
  <si>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</si>
  <si>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</si>
  <si>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</si>
  <si>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</si>
  <si>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</si>
  <si>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</si>
  <si>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</si>
  <si>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</si>
  <si>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</si>
  <si>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</si>
  <si>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</si>
  <si>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</si>
  <si>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</si>
  <si>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</si>
  <si>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</si>
  <si>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</si>
  <si>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</si>
  <si>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</si>
  <si>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</si>
  <si>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</si>
  <si>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</si>
  <si>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</si>
  <si>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</si>
  <si>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</si>
  <si>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</si>
  <si>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</si>
  <si>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</si>
  <si>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</si>
  <si>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</si>
  <si>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</si>
  <si>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</si>
  <si>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</si>
  <si>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</si>
  <si>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</si>
  <si>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</si>
  <si>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</si>
  <si>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</si>
  <si>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</si>
  <si>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</si>
  <si>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</si>
  <si>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</si>
  <si>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</si>
  <si>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</si>
  <si>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</si>
  <si>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</si>
  <si>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</si>
  <si>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</si>
  <si>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</si>
  <si>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</si>
  <si>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</si>
  <si>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</si>
  <si>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</si>
  <si>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</si>
  <si>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</si>
  <si>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</si>
  <si>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</si>
  <si>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</si>
  <si>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</si>
  <si>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</si>
  <si>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</si>
  <si>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</si>
  <si>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</si>
  <si>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</si>
  <si>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</si>
  <si>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</si>
  <si>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</si>
  <si>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</si>
  <si>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</si>
  <si>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</si>
  <si>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</si>
  <si>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</si>
  <si>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</si>
  <si>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</si>
  <si>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</si>
  <si>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</si>
  <si>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</si>
  <si>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</si>
  <si>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</si>
  <si>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</si>
  <si>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</si>
  <si>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</si>
  <si>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</si>
  <si>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</si>
  <si>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</si>
  <si>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</si>
  <si>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</si>
  <si>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</si>
  <si>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</si>
  <si>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</si>
  <si>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</si>
  <si>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</si>
  <si>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</si>
  <si>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</si>
  <si>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</si>
  <si>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</si>
  <si>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</si>
  <si>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</si>
  <si>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</si>
  <si>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</si>
  <si>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</si>
  <si>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</si>
  <si>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</si>
  <si>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</si>
  <si>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</si>
  <si>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</si>
  <si>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</si>
  <si>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</si>
  <si>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</si>
  <si>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</si>
  <si>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</si>
  <si>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</si>
  <si>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</si>
  <si>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</si>
  <si>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</si>
  <si>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</si>
  <si>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</si>
  <si>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</si>
  <si>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</si>
  <si>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</si>
  <si>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</si>
  <si>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</si>
  <si>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</si>
  <si>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</si>
  <si>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</si>
  <si>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</si>
  <si>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</si>
  <si>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</si>
  <si>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</si>
  <si>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</si>
  <si>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</si>
  <si>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</si>
  <si>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</si>
  <si>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</si>
  <si>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</si>
  <si>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</si>
  <si>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</si>
  <si>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</si>
  <si>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</si>
  <si>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</si>
  <si>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</si>
  <si>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</si>
  <si>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</si>
  <si>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</si>
  <si>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</si>
  <si>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</si>
  <si>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</si>
  <si>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</si>
  <si>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</si>
  <si>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</si>
  <si>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</si>
  <si>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</si>
  <si>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</si>
  <si>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</si>
  <si>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</si>
  <si>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</si>
  <si>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</si>
  <si>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</si>
  <si>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</si>
  <si>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</si>
  <si>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</si>
  <si>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</si>
  <si>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</si>
  <si>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</si>
  <si>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</si>
  <si>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</si>
  <si>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</si>
  <si>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</si>
  <si>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</si>
  <si>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</si>
  <si>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</si>
  <si>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</si>
  <si>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</si>
  <si>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</si>
  <si>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</si>
  <si>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</si>
  <si>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</si>
  <si>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</si>
  <si>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</si>
  <si>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</si>
  <si>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</si>
  <si>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</si>
  <si>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</si>
  <si>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</si>
  <si>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</si>
  <si>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</si>
  <si>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</si>
  <si>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</si>
  <si>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</si>
  <si>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</si>
  <si>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</si>
  <si>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</si>
  <si>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</si>
  <si>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</si>
  <si>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</si>
  <si>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</si>
  <si>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</si>
  <si>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</si>
  <si>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</si>
  <si>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</si>
  <si>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</si>
  <si>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</si>
  <si>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</si>
  <si>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</si>
  <si>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</si>
  <si>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</si>
  <si>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</si>
  <si>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</si>
  <si>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</si>
  <si>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</si>
  <si>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</si>
  <si>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</si>
  <si>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</si>
  <si>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</si>
  <si>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</si>
  <si>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</si>
  <si>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</si>
  <si>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</si>
  <si>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</si>
  <si>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</si>
  <si>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</si>
  <si>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</si>
  <si>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</si>
  <si>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</si>
  <si>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</si>
  <si>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</si>
  <si>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</si>
  <si>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</si>
  <si>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</si>
  <si>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</si>
  <si>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</si>
  <si>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</si>
  <si>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</si>
  <si>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</si>
  <si>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</si>
  <si>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</si>
  <si>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</si>
  <si>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</si>
  <si>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</si>
  <si>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</si>
  <si>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</si>
  <si>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</si>
  <si>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</si>
  <si>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</si>
  <si>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</si>
  <si>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</si>
  <si>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</si>
  <si>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</si>
  <si>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</si>
  <si>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</si>
  <si>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</si>
  <si>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</si>
  <si>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</si>
  <si>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</si>
  <si>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</si>
  <si>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</si>
  <si>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</si>
  <si>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</si>
  <si>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</si>
  <si>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</si>
  <si>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</si>
  <si>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</si>
  <si>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</si>
  <si>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</si>
  <si>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</si>
  <si>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</si>
  <si>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</si>
  <si>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</si>
  <si>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</si>
  <si>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</si>
  <si>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</si>
  <si>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</si>
  <si>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</si>
  <si>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</si>
  <si>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</si>
  <si>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</si>
  <si>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</si>
  <si>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</si>
  <si>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</si>
  <si>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</si>
  <si>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</si>
  <si>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</si>
  <si>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</si>
  <si>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</si>
  <si>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</si>
  <si>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</si>
  <si>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</si>
  <si>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</si>
  <si>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</si>
  <si>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</si>
  <si>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</si>
  <si>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</si>
  <si>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</si>
  <si>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</si>
  <si>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</si>
  <si>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</si>
  <si>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</si>
  <si>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</si>
  <si>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</si>
  <si>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</si>
  <si>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</si>
  <si>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</si>
  <si>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</si>
  <si>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</si>
  <si>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</si>
  <si>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</si>
  <si>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</si>
  <si>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</si>
  <si>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</si>
  <si>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</si>
  <si>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</si>
  <si>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</si>
  <si>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</si>
  <si>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</si>
  <si>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</si>
  <si>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</si>
  <si>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</si>
  <si>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</si>
  <si>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</si>
  <si>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</si>
  <si>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</si>
  <si>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</si>
  <si>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</si>
  <si>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</si>
  <si>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</si>
  <si>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</si>
  <si>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</si>
  <si>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</si>
  <si>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</si>
  <si>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</si>
  <si>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</si>
  <si>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</si>
  <si>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</si>
  <si>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</si>
  <si>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</si>
  <si>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</si>
  <si>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</si>
  <si>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</si>
  <si>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</si>
  <si>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</si>
  <si>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</si>
  <si>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</si>
  <si>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</si>
  <si>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</si>
  <si>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</si>
  <si>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</si>
  <si>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</si>
  <si>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</si>
  <si>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</si>
  <si>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</si>
  <si>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</si>
  <si>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</si>
  <si>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</si>
  <si>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</si>
  <si>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</si>
  <si>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</si>
  <si>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</si>
  <si>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</si>
  <si>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</si>
  <si>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</si>
  <si>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</si>
  <si>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</si>
  <si>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</si>
  <si>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</si>
  <si>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</si>
  <si>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</si>
  <si>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</si>
  <si>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</si>
  <si>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</si>
  <si>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</si>
  <si>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</si>
  <si>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</si>
  <si>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</si>
  <si>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</si>
  <si>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</si>
  <si>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</si>
  <si>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</si>
  <si>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</si>
  <si>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</si>
  <si>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</si>
  <si>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</si>
  <si>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</si>
  <si>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</si>
  <si>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</si>
  <si>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</si>
  <si>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</si>
  <si>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</si>
  <si>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</si>
  <si>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</si>
  <si>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</si>
  <si>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</si>
  <si>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</si>
  <si>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</si>
  <si>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</si>
  <si>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</si>
  <si>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</si>
  <si>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</si>
  <si>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</si>
  <si>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</si>
  <si>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</si>
  <si>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</si>
  <si>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</si>
  <si>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</si>
  <si>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</si>
  <si>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</si>
  <si>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</si>
  <si>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</si>
  <si>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</si>
  <si>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</si>
  <si>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</si>
  <si>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</si>
  <si>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</si>
  <si>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</si>
  <si>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</si>
  <si>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</si>
  <si>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</si>
  <si>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</si>
  <si>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</si>
  <si>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</si>
  <si>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</si>
  <si>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</si>
  <si>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</si>
  <si>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</si>
  <si>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</si>
  <si>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</si>
  <si>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</si>
  <si>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</si>
  <si>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</si>
  <si>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</si>
  <si>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</si>
  <si>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</si>
  <si>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</si>
  <si>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</si>
  <si>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</si>
  <si>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</si>
  <si>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</si>
  <si>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</si>
  <si>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</si>
  <si>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</si>
  <si>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</si>
  <si>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</si>
  <si>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</si>
  <si>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</si>
  <si>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</si>
  <si>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</si>
  <si>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</si>
  <si>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</si>
  <si>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</si>
  <si>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</si>
  <si>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</si>
  <si>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</si>
  <si>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</si>
  <si>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</si>
  <si>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</si>
  <si>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</si>
  <si>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</si>
  <si>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</si>
  <si>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</si>
  <si>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</si>
  <si>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</si>
  <si>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</si>
  <si>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</si>
  <si>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</si>
  <si>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</si>
  <si>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</si>
  <si>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</si>
  <si>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</si>
  <si>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</si>
  <si>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</si>
  <si>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</si>
  <si>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</si>
  <si>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</si>
  <si>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</si>
  <si>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</si>
  <si>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</si>
  <si>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</si>
  <si>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</si>
  <si>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</si>
  <si>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</si>
  <si>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</si>
  <si>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</si>
  <si>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</si>
  <si>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</si>
  <si>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</si>
  <si>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</si>
  <si>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</si>
  <si>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</si>
  <si>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</si>
  <si>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</si>
  <si>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</si>
  <si>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</si>
  <si>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</si>
  <si>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</si>
  <si>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</si>
  <si>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</si>
  <si>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</si>
  <si>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</si>
  <si>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</si>
  <si>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</si>
  <si>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</si>
  <si>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</si>
  <si>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</si>
  <si>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</si>
  <si>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</si>
  <si>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</si>
  <si>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</si>
  <si>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</si>
  <si>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</si>
  <si>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</si>
  <si>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</si>
  <si>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</si>
  <si>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</si>
  <si>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</si>
  <si>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</si>
  <si>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</si>
  <si>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</si>
  <si>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</si>
  <si>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</si>
  <si>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</si>
  <si>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</si>
  <si>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</si>
  <si>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</si>
  <si>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</si>
  <si>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</si>
  <si>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</si>
  <si>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</si>
  <si>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</si>
  <si>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</si>
  <si>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</si>
  <si>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</si>
  <si>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</si>
  <si>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</si>
  <si>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</si>
  <si>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</si>
  <si>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</si>
  <si>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</si>
  <si>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</si>
  <si>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</si>
  <si>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</si>
  <si>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</si>
  <si>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</si>
  <si>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</si>
  <si>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</si>
  <si>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</si>
  <si>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</si>
  <si>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</si>
  <si>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</si>
  <si>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</si>
  <si>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</si>
  <si>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</si>
  <si>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</si>
  <si>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</si>
  <si>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</si>
  <si>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</si>
  <si>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</si>
  <si>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</si>
  <si>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</si>
  <si>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</si>
  <si>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</si>
  <si>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</si>
  <si>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</si>
  <si>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</si>
  <si>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</si>
  <si>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</si>
  <si>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</si>
  <si>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</si>
  <si>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</si>
  <si>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</si>
  <si>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</si>
  <si>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</si>
  <si>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</si>
  <si>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</si>
  <si>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</si>
  <si>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</si>
  <si>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</si>
  <si>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</si>
  <si>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</si>
  <si>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</si>
  <si>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</si>
  <si>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</si>
  <si>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</si>
  <si>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</si>
  <si>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</si>
  <si>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</si>
  <si>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</si>
  <si>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</si>
  <si>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</si>
  <si>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</si>
  <si>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</si>
  <si>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</si>
  <si>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</si>
  <si>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</si>
  <si>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</si>
  <si>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</si>
  <si>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</si>
  <si>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</si>
  <si>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</si>
  <si>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</si>
  <si>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</si>
  <si>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</si>
  <si>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</si>
  <si>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</si>
  <si>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</si>
  <si>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</si>
  <si>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</si>
  <si>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</si>
  <si>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</si>
  <si>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</si>
  <si>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</si>
  <si>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</si>
  <si>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</si>
  <si>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</si>
  <si>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</si>
  <si>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</si>
  <si>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</si>
  <si>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</si>
  <si>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</si>
  <si>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</si>
  <si>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</si>
  <si>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</si>
  <si>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</si>
  <si>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</si>
  <si>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</si>
  <si>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</si>
  <si>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</si>
  <si>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</si>
  <si>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</si>
  <si>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</si>
  <si>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</si>
  <si>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</si>
  <si>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</si>
  <si>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</si>
  <si>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</si>
  <si>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</si>
  <si>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</si>
  <si>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</si>
  <si>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</si>
  <si>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</si>
  <si>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</si>
  <si>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</si>
  <si>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</si>
  <si>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</si>
  <si>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</si>
  <si>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</si>
  <si>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</si>
  <si>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</si>
  <si>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</si>
  <si>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</si>
  <si>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</si>
  <si>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</si>
  <si>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</si>
  <si>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</si>
  <si>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</si>
  <si>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</si>
  <si>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</si>
  <si>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</si>
  <si>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</si>
  <si>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</si>
  <si>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</si>
  <si>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</si>
  <si>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</si>
  <si>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</si>
  <si>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</si>
  <si>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</si>
  <si>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</si>
  <si>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</si>
  <si>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</si>
  <si>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</si>
  <si>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</si>
  <si>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</si>
  <si>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</si>
  <si>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</si>
  <si>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</si>
  <si>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</si>
  <si>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</si>
  <si>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</si>
  <si>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</si>
  <si>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</si>
  <si>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</si>
  <si>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</si>
  <si>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</si>
  <si>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</si>
  <si>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</si>
  <si>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</si>
  <si>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</si>
  <si>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</si>
  <si>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</si>
  <si>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</si>
  <si>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</si>
  <si>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</si>
  <si>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</si>
  <si>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</si>
  <si>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</si>
  <si>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</si>
  <si>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</si>
  <si>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</si>
  <si>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</si>
  <si>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</si>
  <si>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</si>
  <si>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</si>
  <si>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</si>
  <si>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</si>
  <si>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</si>
  <si>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</si>
  <si>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</si>
  <si>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</si>
  <si>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</si>
  <si>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</si>
  <si>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</si>
  <si>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</si>
  <si>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</si>
  <si>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</si>
  <si>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</si>
  <si>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</si>
  <si>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</si>
  <si>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</si>
  <si>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</si>
  <si>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</si>
  <si>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</si>
  <si>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</si>
  <si>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</si>
  <si>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</si>
  <si>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</si>
  <si>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</si>
  <si>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</si>
  <si>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</si>
  <si>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</si>
  <si>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</si>
  <si>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</si>
  <si>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</si>
  <si>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</si>
  <si>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</si>
  <si>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</si>
  <si>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</si>
  <si>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</si>
  <si>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</si>
  <si>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</si>
  <si>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</si>
  <si>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</si>
  <si>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</si>
  <si>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</si>
  <si>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</si>
  <si>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</si>
  <si>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</si>
  <si>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</si>
  <si>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</si>
  <si>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</si>
  <si>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</si>
  <si>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</si>
  <si>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</si>
  <si>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</si>
  <si>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</si>
  <si>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</si>
  <si>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</si>
  <si>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</si>
  <si>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</si>
  <si>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</si>
  <si>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</si>
  <si>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</si>
  <si>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</si>
  <si>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</si>
  <si>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</si>
  <si>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</si>
  <si>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</si>
  <si>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</si>
  <si>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</si>
  <si>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</si>
  <si>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</si>
  <si>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</si>
  <si>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</si>
  <si>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</si>
  <si>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</si>
  <si>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</si>
  <si>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</si>
  <si>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</si>
  <si>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</si>
  <si>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</si>
  <si>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</si>
  <si>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</si>
  <si>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</si>
  <si>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</si>
  <si>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</si>
  <si>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</si>
  <si>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</si>
  <si>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</si>
  <si>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</si>
  <si>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</si>
  <si>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</si>
  <si>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</si>
  <si>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</si>
  <si>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</si>
  <si>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</si>
  <si>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</si>
  <si>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</si>
  <si>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</si>
  <si>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</si>
  <si>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</si>
  <si>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</si>
  <si>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</si>
  <si>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</si>
  <si>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</si>
  <si>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</si>
  <si>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</si>
  <si>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</si>
  <si>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</si>
  <si>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</si>
  <si>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</si>
  <si>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</si>
  <si>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</si>
  <si>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</si>
  <si>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</si>
  <si>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</si>
  <si>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</si>
  <si>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</si>
  <si>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</si>
  <si>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</si>
  <si>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</si>
  <si>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</si>
  <si>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</si>
  <si>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</si>
  <si>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</si>
  <si>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</si>
  <si>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</si>
  <si>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</si>
  <si>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</si>
  <si>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</si>
  <si>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</si>
  <si>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</si>
  <si>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</si>
  <si>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</si>
  <si>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</si>
  <si>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</si>
  <si>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</si>
  <si>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</si>
  <si>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</si>
  <si>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</si>
  <si>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</si>
  <si>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</si>
  <si>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</si>
  <si>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</si>
  <si>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</si>
  <si>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</si>
  <si>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</si>
  <si>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</si>
  <si>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</si>
  <si>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</si>
  <si>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</si>
  <si>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</si>
  <si>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</si>
  <si>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</si>
  <si>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</si>
  <si>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</si>
  <si>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</si>
  <si>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</si>
  <si>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</si>
  <si>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</si>
  <si>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</si>
  <si>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</si>
  <si>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</si>
  <si>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</si>
  <si>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</si>
  <si>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</si>
  <si>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</si>
  <si>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</si>
  <si>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</si>
  <si>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</si>
  <si>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</si>
  <si>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</si>
  <si>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</si>
  <si>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</si>
  <si>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</si>
  <si>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</si>
  <si>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</si>
  <si>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</si>
  <si>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</si>
  <si>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</si>
  <si>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</si>
  <si>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</si>
  <si>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</si>
  <si>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</si>
  <si>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</si>
  <si>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</si>
  <si>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</si>
  <si>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</si>
  <si>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</si>
  <si>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</si>
  <si>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</si>
  <si>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</si>
  <si>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</si>
  <si>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</si>
  <si>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</si>
  <si>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</si>
  <si>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</si>
  <si>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</si>
  <si>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</si>
  <si>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</si>
  <si>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</si>
  <si>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</si>
  <si>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</si>
  <si>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</si>
  <si>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</si>
  <si>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</si>
  <si>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</si>
  <si>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</si>
  <si>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</si>
  <si>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</si>
  <si>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</si>
  <si>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</si>
  <si>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</si>
  <si>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</si>
  <si>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</si>
  <si>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</si>
  <si>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</si>
  <si>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</si>
  <si>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</si>
  <si>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</si>
  <si>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</si>
  <si>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</si>
  <si>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</si>
  <si>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</si>
  <si>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</si>
  <si>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</si>
  <si>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</si>
  <si>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</si>
  <si>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</si>
  <si>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</si>
  <si>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</si>
  <si>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</si>
  <si>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</si>
  <si>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</si>
  <si>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</si>
  <si>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</si>
  <si>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</si>
  <si>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</si>
  <si>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</si>
  <si>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</si>
  <si>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</si>
  <si>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</si>
  <si>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</si>
  <si>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</si>
  <si>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</si>
  <si>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</si>
  <si>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</si>
  <si>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</si>
  <si>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</si>
  <si>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</si>
  <si>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</si>
  <si>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</si>
  <si>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</si>
  <si>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</si>
  <si>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</si>
  <si>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</si>
  <si>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</si>
  <si>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</si>
  <si>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</si>
  <si>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</si>
  <si>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</si>
  <si>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</si>
  <si>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</si>
  <si>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</si>
  <si>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</si>
  <si>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</si>
  <si>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</si>
  <si>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</si>
  <si>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</si>
  <si>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</si>
  <si>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</si>
  <si>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</si>
  <si>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</si>
  <si>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</si>
  <si>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</si>
  <si>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</si>
  <si>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</si>
  <si>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</si>
  <si>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</si>
  <si>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</si>
  <si>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</si>
  <si>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</si>
  <si>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</si>
  <si>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</si>
  <si>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</si>
  <si>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</si>
  <si>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</si>
  <si>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</si>
  <si>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</si>
  <si>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</si>
  <si>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</si>
  <si>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</si>
  <si>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</si>
  <si>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</si>
  <si>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</si>
  <si>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</si>
  <si>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</si>
  <si>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</si>
  <si>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</si>
  <si>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</si>
  <si>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</si>
  <si>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</si>
  <si>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</si>
  <si>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</si>
  <si>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</si>
  <si>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</si>
  <si>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</si>
  <si>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</si>
  <si>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</si>
  <si>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</si>
  <si>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</si>
  <si>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</si>
  <si>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</si>
  <si>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</si>
  <si>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</si>
  <si>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</si>
  <si>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</si>
  <si>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</si>
  <si>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</si>
  <si>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</si>
  <si>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</si>
  <si>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</si>
  <si>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</si>
  <si>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</si>
  <si>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</si>
  <si>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</si>
  <si>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</si>
  <si>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</si>
  <si>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</si>
  <si>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</si>
  <si>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</si>
  <si>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</si>
  <si>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</si>
  <si>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</si>
  <si>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</si>
  <si>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</si>
  <si>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</si>
  <si>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</si>
  <si>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</si>
  <si>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</si>
  <si>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</si>
  <si>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</si>
  <si>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</si>
  <si>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</si>
  <si>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</si>
  <si>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</si>
  <si>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</si>
  <si>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</si>
  <si>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</si>
  <si>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</si>
  <si>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</si>
  <si>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</si>
  <si>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</si>
  <si>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</si>
  <si>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</si>
  <si>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</si>
  <si>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</si>
  <si>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</si>
  <si>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</si>
  <si>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</si>
  <si>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</si>
  <si>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</si>
  <si>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</si>
  <si>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</si>
  <si>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</si>
  <si>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</si>
  <si>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</si>
  <si>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</si>
  <si>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</si>
  <si>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</si>
  <si>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</si>
  <si>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</si>
  <si>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</si>
  <si>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</si>
  <si>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</si>
  <si>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</si>
  <si>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</si>
  <si>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</si>
  <si>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</si>
  <si>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</si>
  <si>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</si>
  <si>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</si>
  <si>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</si>
  <si>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</si>
  <si>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</si>
  <si>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</si>
  <si>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</si>
  <si>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</si>
  <si>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</si>
  <si>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</si>
  <si>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</si>
  <si>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</si>
  <si>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</si>
  <si>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</si>
  <si>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</si>
  <si>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</si>
  <si>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</si>
  <si>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</si>
  <si>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</si>
  <si>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</si>
  <si>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</si>
  <si>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</si>
  <si>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</si>
  <si>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</si>
  <si>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</si>
  <si>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</si>
  <si>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</si>
  <si>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</si>
  <si>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</si>
  <si>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</si>
  <si>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</si>
  <si>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</si>
  <si>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</si>
  <si>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</si>
  <si>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</si>
  <si>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</si>
  <si>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</si>
  <si>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</si>
  <si>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</si>
  <si>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</si>
  <si>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</si>
  <si>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</si>
  <si>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</si>
  <si>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</si>
  <si>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</si>
  <si>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</si>
  <si>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</si>
  <si>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</si>
  <si>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</si>
  <si>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</si>
  <si>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</si>
  <si>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</si>
  <si>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</si>
  <si>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</si>
  <si>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</si>
  <si>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</si>
  <si>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</si>
  <si>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</si>
  <si>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</si>
  <si>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</si>
  <si>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</si>
  <si>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</si>
  <si>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</si>
  <si>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</si>
  <si>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</si>
  <si>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</si>
  <si>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</si>
  <si>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</si>
  <si>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</si>
  <si>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</si>
  <si>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</si>
  <si>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</si>
  <si>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</si>
  <si>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</si>
  <si>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</si>
  <si>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</si>
  <si>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</si>
  <si>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</si>
  <si>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</si>
  <si>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</si>
  <si>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</si>
  <si>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</si>
  <si>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</si>
  <si>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</si>
  <si>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</si>
  <si>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</si>
  <si>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</si>
  <si>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</si>
  <si>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</si>
  <si>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</si>
  <si>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</si>
  <si>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</si>
  <si>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</si>
  <si>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</si>
  <si>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</si>
  <si>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</si>
  <si>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</si>
  <si>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</si>
  <si>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</si>
  <si>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</si>
  <si>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</si>
  <si>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</si>
  <si>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</si>
  <si>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</si>
  <si>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</si>
  <si>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</si>
  <si>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</si>
  <si>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</si>
  <si>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</si>
  <si>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</si>
  <si>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</si>
  <si>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</si>
  <si>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</si>
  <si>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</si>
  <si>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</si>
  <si>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</si>
  <si>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</si>
  <si>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</si>
  <si>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</si>
  <si>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</si>
  <si>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</si>
  <si>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</si>
  <si>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</si>
  <si>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</si>
  <si>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</si>
  <si>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</si>
  <si>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</si>
  <si>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</si>
  <si>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</si>
  <si>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</si>
  <si>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</si>
  <si>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</si>
  <si>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</si>
  <si>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</si>
  <si>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</si>
  <si>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</si>
  <si>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</si>
  <si>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</si>
  <si>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</si>
  <si>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</si>
  <si>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</si>
  <si>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</si>
  <si>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</si>
  <si>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</si>
  <si>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</si>
  <si>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</si>
  <si>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</si>
  <si>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</si>
  <si>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</si>
  <si>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</si>
  <si>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</si>
  <si>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</si>
  <si>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</si>
  <si>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</si>
  <si>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</si>
  <si>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</si>
  <si>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</si>
  <si>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</si>
  <si>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</si>
  <si>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</si>
  <si>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</si>
  <si>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</si>
  <si>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</si>
  <si>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</si>
  <si>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</si>
  <si>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</si>
  <si>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</si>
  <si>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</si>
  <si>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</si>
  <si>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</si>
  <si>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</si>
  <si>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</si>
  <si>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</si>
  <si>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</si>
  <si>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</si>
  <si>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</si>
  <si>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</si>
  <si>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</si>
  <si>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</si>
  <si>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</si>
  <si>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</si>
  <si>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</si>
  <si>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</si>
  <si>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</si>
  <si>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</si>
  <si>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</si>
  <si>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</si>
  <si>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</si>
  <si>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</si>
  <si>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</si>
  <si>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</si>
  <si>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</si>
  <si>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</si>
  <si>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</si>
  <si>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</si>
  <si>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</si>
  <si>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</si>
  <si>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</si>
  <si>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</si>
  <si>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</si>
  <si>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</si>
  <si>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</si>
  <si>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</si>
  <si>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</si>
  <si>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</si>
  <si>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</si>
  <si>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</si>
  <si>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</si>
  <si>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</si>
  <si>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</si>
  <si>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</si>
  <si>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</si>
  <si>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</si>
  <si>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</si>
  <si>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</si>
  <si>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</si>
  <si>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</si>
  <si>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</si>
  <si>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</si>
  <si>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</si>
  <si>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</si>
  <si>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</si>
  <si>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</si>
  <si>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</si>
  <si>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</si>
  <si>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</si>
  <si>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</si>
  <si>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</si>
  <si>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</si>
  <si>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</si>
  <si>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</si>
  <si>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</si>
  <si>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</si>
  <si>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</si>
  <si>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</si>
  <si>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</si>
  <si>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</si>
  <si>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</si>
  <si>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</si>
  <si>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</si>
  <si>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</si>
  <si>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</si>
  <si>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</si>
  <si>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</si>
  <si>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</si>
  <si>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</si>
  <si>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</si>
  <si>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</si>
  <si>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</si>
  <si>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</si>
  <si>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</si>
  <si>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</si>
  <si>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</si>
  <si>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</si>
  <si>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</si>
  <si>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</si>
  <si>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</si>
  <si>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</si>
  <si>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</si>
  <si>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</si>
  <si>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</si>
  <si>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</si>
  <si>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</si>
  <si>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</si>
  <si>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</si>
  <si>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</si>
  <si>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</si>
  <si>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</si>
  <si>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</si>
  <si>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</si>
  <si>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</si>
  <si>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</si>
  <si>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</si>
  <si>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</si>
  <si>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</si>
  <si>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</si>
  <si>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</si>
  <si>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</si>
  <si>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</si>
  <si>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</si>
  <si>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</si>
  <si>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</si>
  <si>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</si>
  <si>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</si>
  <si>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</si>
  <si>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</si>
  <si>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</si>
  <si>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</si>
  <si>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</si>
  <si>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</si>
  <si>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</si>
  <si>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</si>
  <si>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</si>
  <si>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</si>
  <si>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</si>
  <si>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</si>
  <si>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</si>
  <si>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</si>
  <si>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</si>
  <si>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</si>
  <si>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</si>
  <si>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</si>
  <si>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</si>
  <si>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</si>
  <si>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</si>
  <si>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</si>
  <si>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</si>
  <si>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</si>
  <si>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</si>
  <si>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</si>
  <si>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</si>
  <si>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</si>
  <si>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</si>
  <si>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</si>
  <si>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</si>
  <si>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</si>
  <si>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</si>
  <si>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</si>
  <si>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</si>
  <si>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</si>
  <si>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</si>
  <si>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</si>
  <si>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</si>
  <si>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</si>
  <si>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</si>
  <si>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</si>
  <si>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</si>
  <si>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</si>
  <si>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</si>
  <si>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</si>
  <si>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</si>
  <si>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</si>
  <si>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</si>
  <si>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</si>
  <si>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</si>
  <si>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</si>
  <si>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</si>
  <si>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</si>
  <si>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</si>
  <si>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</si>
  <si>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</si>
  <si>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</si>
  <si>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</si>
  <si>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</si>
  <si>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</si>
  <si>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</si>
  <si>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</si>
  <si>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</si>
  <si>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</si>
  <si>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</si>
  <si>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</si>
  <si>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</si>
  <si>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</si>
  <si>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</si>
  <si>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</si>
  <si>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</si>
  <si>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</si>
  <si>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</si>
  <si>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</si>
  <si>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</si>
  <si>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</si>
  <si>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</si>
  <si>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</si>
  <si>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</si>
  <si>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</si>
  <si>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</si>
  <si>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</si>
  <si>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</si>
  <si>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</si>
  <si>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</si>
  <si>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</si>
  <si>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</si>
  <si>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</si>
  <si>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</si>
  <si>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</si>
  <si>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</si>
  <si>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</si>
  <si>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</si>
  <si>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</si>
  <si>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</si>
  <si>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</si>
  <si>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</si>
  <si>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</si>
  <si>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</si>
  <si>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</si>
  <si>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</si>
  <si>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</si>
  <si>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</si>
  <si>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</si>
  <si>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</si>
  <si>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</si>
  <si>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</si>
  <si>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</si>
  <si>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</si>
  <si>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</si>
  <si>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</si>
  <si>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</si>
  <si>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</si>
  <si>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</si>
  <si>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</si>
  <si>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</si>
  <si>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</si>
  <si>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</si>
  <si>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</si>
  <si>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</si>
  <si>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</si>
  <si>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</si>
  <si>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</si>
  <si>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</si>
  <si>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</si>
  <si>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</si>
  <si>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</si>
  <si>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</si>
  <si>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</si>
  <si>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</si>
  <si>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</si>
  <si>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</si>
  <si>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</si>
  <si>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</si>
  <si>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</si>
  <si>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</si>
  <si>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</si>
  <si>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</si>
  <si>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</si>
  <si>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</si>
  <si>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</si>
  <si>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</si>
  <si>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</si>
  <si>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</si>
  <si>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</si>
  <si>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</si>
  <si>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</si>
  <si>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</si>
  <si>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</si>
  <si>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</si>
  <si>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</si>
  <si>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</si>
  <si>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</si>
  <si>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</si>
  <si>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</si>
  <si>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</si>
  <si>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</si>
  <si>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</si>
  <si>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</si>
  <si>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</si>
  <si>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</si>
  <si>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</si>
  <si>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</si>
  <si>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</si>
  <si>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</si>
  <si>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</si>
  <si>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</si>
  <si>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</si>
  <si>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</si>
  <si>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</si>
  <si>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</si>
  <si>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</si>
  <si>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</si>
  <si>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</si>
  <si>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</si>
  <si>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</si>
  <si>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</si>
  <si>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</si>
  <si>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</si>
  <si>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</si>
  <si>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</si>
  <si>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</si>
  <si>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</si>
  <si>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</si>
  <si>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</si>
  <si>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</si>
  <si>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</si>
  <si>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</si>
  <si>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</si>
  <si>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</si>
  <si>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</si>
  <si>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</si>
  <si>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</si>
  <si>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</si>
  <si>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</si>
  <si>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</si>
  <si>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</si>
  <si>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</si>
  <si>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</si>
  <si>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</si>
  <si>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</si>
  <si>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</si>
  <si>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</si>
  <si>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</si>
  <si>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</si>
  <si>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</si>
  <si>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</si>
  <si>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</si>
  <si>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</si>
  <si>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</si>
  <si>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</si>
  <si>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</si>
  <si>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</si>
  <si>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</si>
  <si>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</si>
  <si>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</si>
  <si>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</si>
  <si>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</si>
  <si>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</si>
  <si>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</si>
  <si>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</si>
  <si>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</si>
  <si>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</si>
  <si>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</si>
  <si>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</si>
  <si>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</si>
  <si>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</si>
  <si>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</si>
  <si>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</si>
  <si>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</si>
  <si>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</si>
  <si>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</si>
  <si>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</si>
  <si>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</si>
  <si>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</si>
  <si>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</si>
  <si>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</si>
  <si>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</si>
  <si>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</si>
  <si>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</si>
  <si>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</si>
  <si>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</si>
  <si>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</si>
  <si>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</si>
  <si>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</si>
  <si>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</si>
  <si>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</si>
  <si>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</si>
  <si>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</si>
  <si>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</si>
  <si>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</si>
  <si>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</si>
  <si>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</si>
  <si>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</si>
  <si>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</si>
  <si>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</si>
  <si>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</si>
  <si>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</si>
  <si>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</si>
  <si>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</si>
  <si>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</si>
  <si>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</si>
  <si>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</si>
  <si>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</si>
  <si>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</si>
  <si>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</si>
  <si>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</si>
  <si>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</si>
  <si>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</si>
  <si>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</si>
  <si>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</si>
  <si>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</si>
  <si>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</si>
  <si>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</si>
  <si>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</si>
  <si>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</si>
  <si>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</si>
  <si>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</si>
  <si>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</si>
  <si>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</si>
  <si>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</si>
  <si>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</si>
  <si>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</si>
  <si>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</si>
  <si>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</si>
  <si>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</si>
  <si>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</si>
  <si>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</si>
  <si>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</si>
  <si>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</si>
  <si>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</si>
  <si>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</si>
  <si>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</si>
  <si>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</si>
  <si>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</si>
  <si>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</si>
  <si>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</si>
  <si>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</si>
  <si>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</si>
  <si>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</si>
  <si>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</si>
  <si>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</si>
  <si>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</si>
  <si>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</si>
  <si>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</si>
  <si>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</si>
  <si>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</si>
  <si>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</si>
  <si>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</si>
  <si>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</si>
  <si>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</si>
  <si>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</si>
  <si>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</si>
  <si>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</si>
  <si>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</si>
  <si>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</si>
  <si>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</si>
  <si>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</si>
  <si>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</si>
  <si>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</si>
  <si>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</si>
  <si>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</si>
  <si>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</si>
  <si>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</si>
  <si>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</si>
  <si>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</si>
  <si>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</si>
  <si>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</si>
  <si>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</si>
  <si>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</si>
  <si>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</si>
  <si>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</si>
  <si>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</si>
  <si>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</si>
  <si>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</si>
  <si>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</si>
  <si>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</si>
  <si>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</si>
  <si>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</si>
  <si>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</si>
  <si>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</si>
  <si>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</si>
  <si>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</si>
  <si>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</si>
  <si>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</si>
  <si>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</si>
  <si>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</si>
  <si>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</si>
  <si>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</si>
  <si>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</si>
  <si>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</si>
  <si>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</si>
  <si>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</si>
  <si>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</si>
  <si>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</si>
  <si>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</si>
  <si>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</si>
  <si>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</si>
  <si>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</si>
  <si>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</si>
  <si>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</si>
  <si>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</si>
  <si>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</si>
  <si>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</si>
  <si>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</si>
  <si>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</si>
  <si>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</si>
  <si>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</si>
  <si>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</si>
  <si>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</si>
  <si>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</si>
  <si>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</si>
  <si>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</si>
  <si>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</si>
  <si>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</si>
  <si>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</si>
  <si>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</si>
  <si>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</si>
  <si>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</si>
  <si>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</si>
  <si>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</si>
  <si>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</si>
  <si>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</si>
  <si>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</si>
  <si>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</si>
  <si>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</si>
  <si>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</si>
  <si>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</si>
  <si>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</si>
  <si>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</si>
  <si>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</si>
  <si>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</si>
  <si>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</si>
  <si>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</si>
  <si>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</si>
  <si>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</si>
  <si>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</si>
  <si>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</si>
  <si>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</si>
  <si>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</si>
  <si>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</si>
  <si>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</si>
  <si>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</si>
  <si>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</si>
  <si>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</si>
  <si>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</si>
  <si>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</si>
  <si>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</si>
  <si>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</si>
  <si>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</si>
  <si>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</si>
  <si>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</si>
  <si>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</si>
  <si>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</si>
  <si>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</si>
  <si>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</si>
  <si>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</si>
  <si>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</si>
  <si>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</si>
  <si>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</si>
  <si>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</si>
  <si>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</si>
  <si>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</si>
  <si>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</si>
  <si>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</si>
  <si>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</si>
  <si>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</si>
  <si>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</si>
  <si>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</si>
  <si>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</si>
  <si>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</si>
  <si>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</si>
  <si>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</si>
  <si>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</si>
  <si>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</si>
  <si>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</si>
  <si>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</si>
  <si>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</si>
  <si>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</si>
  <si>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</si>
  <si>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</si>
  <si>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</si>
  <si>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</si>
  <si>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</si>
  <si>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</si>
  <si>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</si>
  <si>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</si>
  <si>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</si>
  <si>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</si>
  <si>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</si>
  <si>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</si>
  <si>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</si>
  <si>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</si>
  <si>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</si>
  <si>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</si>
  <si>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</si>
  <si>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</si>
  <si>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</si>
  <si>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</si>
  <si>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</si>
  <si>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</si>
  <si>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</si>
  <si>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</si>
  <si>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</si>
  <si>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</si>
  <si>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</si>
  <si>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</si>
  <si>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</si>
  <si>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</si>
  <si>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</si>
  <si>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</si>
  <si>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</si>
  <si>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</si>
  <si>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</si>
  <si>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</si>
  <si>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</si>
  <si>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</si>
  <si>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</si>
  <si>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</si>
  <si>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</si>
  <si>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</si>
  <si>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</si>
  <si>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</si>
  <si>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</si>
  <si>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</si>
  <si>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</si>
  <si>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</si>
  <si>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</si>
  <si>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</si>
  <si>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</si>
  <si>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</si>
  <si>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</si>
  <si>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</si>
  <si>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</si>
  <si>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</si>
  <si>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</si>
  <si>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</si>
  <si>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</si>
  <si>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</si>
  <si>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</si>
  <si>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</si>
  <si>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</si>
  <si>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</si>
  <si>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</si>
  <si>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</si>
  <si>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</si>
  <si>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</si>
  <si>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</si>
  <si>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</si>
  <si>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</si>
  <si>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</si>
  <si>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</si>
  <si>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</si>
  <si>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</si>
  <si>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</si>
  <si>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</si>
  <si>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</si>
  <si>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</si>
  <si>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</si>
  <si>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</si>
  <si>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</si>
  <si>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</si>
  <si>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</si>
  <si>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</si>
  <si>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</si>
  <si>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</si>
  <si>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</si>
  <si>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</si>
  <si>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</si>
  <si>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</si>
  <si>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</si>
  <si>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</si>
  <si>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</si>
  <si>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</si>
  <si>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</si>
  <si>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</si>
  <si>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</si>
  <si>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</si>
  <si>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</si>
  <si>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</si>
  <si>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</si>
  <si>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</si>
  <si>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</si>
  <si>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</si>
  <si>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</si>
  <si>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</si>
  <si>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</si>
  <si>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</si>
  <si>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</si>
  <si>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</si>
  <si>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</si>
  <si>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</si>
  <si>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</si>
  <si>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</si>
  <si>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</si>
  <si>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</si>
  <si>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</si>
  <si>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</si>
  <si>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</si>
  <si>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</si>
  <si>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</si>
  <si>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</si>
  <si>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</si>
  <si>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</si>
  <si>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</si>
  <si>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</si>
  <si>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</si>
  <si>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</si>
  <si>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</si>
  <si>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</si>
  <si>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</si>
  <si>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</si>
  <si>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</si>
  <si>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</si>
  <si>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</si>
  <si>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</si>
  <si>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</si>
  <si>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</si>
  <si>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</si>
  <si>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</si>
  <si>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</si>
  <si>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</si>
  <si>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</si>
  <si>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</si>
  <si>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</si>
  <si>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</si>
  <si>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</si>
  <si>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</si>
  <si>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</si>
  <si>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</si>
  <si>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</si>
  <si>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</si>
  <si>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</si>
  <si>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</si>
  <si>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</si>
  <si>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</si>
  <si>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</si>
  <si>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</si>
  <si>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</si>
  <si>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</si>
  <si>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</si>
  <si>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</si>
  <si>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</si>
  <si>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</si>
  <si>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</si>
  <si>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</si>
  <si>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</si>
  <si>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</si>
  <si>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</si>
  <si>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</si>
  <si>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</si>
  <si>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</si>
  <si>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</si>
  <si>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</si>
  <si>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</si>
  <si>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</si>
  <si>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</si>
  <si>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</si>
  <si>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</si>
  <si>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</si>
  <si>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</si>
  <si>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</si>
  <si>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</si>
  <si>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</si>
  <si>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</si>
  <si>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</si>
  <si>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</si>
  <si>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</si>
  <si>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</si>
  <si>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</si>
  <si>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</si>
  <si>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</si>
  <si>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</si>
  <si>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</si>
  <si>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</si>
  <si>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</si>
  <si>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</si>
  <si>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</si>
  <si>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</si>
  <si>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</si>
  <si>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</si>
  <si>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</si>
  <si>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</si>
  <si>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</si>
  <si>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</si>
  <si>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</si>
  <si>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</si>
  <si>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</si>
  <si>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</si>
  <si>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</si>
  <si>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</si>
  <si>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</si>
  <si>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</si>
  <si>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</si>
  <si>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</si>
  <si>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</si>
  <si>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</si>
  <si>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</si>
  <si>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</si>
  <si>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</si>
  <si>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</si>
  <si>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</si>
  <si>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</si>
  <si>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</si>
  <si>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</si>
  <si>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其他：</t>
  </si>
  <si>
    <t>企业</t>
  </si>
  <si>
    <t>一致</t>
  </si>
  <si>
    <t>符合</t>
  </si>
  <si>
    <t>出让</t>
  </si>
  <si>
    <t>商业</t>
  </si>
  <si>
    <t>总用地面积</t>
    <phoneticPr fontId="225" type="noConversion"/>
  </si>
  <si>
    <t>总建筑面积</t>
    <phoneticPr fontId="225" type="noConversion"/>
  </si>
  <si>
    <t>地上建筑面积</t>
    <phoneticPr fontId="225" type="noConversion"/>
  </si>
  <si>
    <t>住宅</t>
    <phoneticPr fontId="225" type="noConversion"/>
  </si>
  <si>
    <t>商业</t>
    <phoneticPr fontId="225" type="noConversion"/>
  </si>
  <si>
    <t>办公</t>
    <phoneticPr fontId="225" type="noConversion"/>
  </si>
  <si>
    <t>社区综合服务</t>
    <phoneticPr fontId="225" type="noConversion"/>
  </si>
  <si>
    <t>便民店</t>
    <phoneticPr fontId="225" type="noConversion"/>
  </si>
  <si>
    <t>物业用房</t>
    <phoneticPr fontId="225" type="noConversion"/>
  </si>
  <si>
    <t>卫生站</t>
    <phoneticPr fontId="225" type="noConversion"/>
  </si>
  <si>
    <t>治安联防站</t>
    <phoneticPr fontId="225" type="noConversion"/>
  </si>
  <si>
    <t>居委会</t>
    <phoneticPr fontId="225" type="noConversion"/>
  </si>
  <si>
    <t>菜市场</t>
    <phoneticPr fontId="225" type="noConversion"/>
  </si>
  <si>
    <t>早餐店</t>
    <phoneticPr fontId="225" type="noConversion"/>
  </si>
  <si>
    <t>设备间</t>
    <phoneticPr fontId="225" type="noConversion"/>
  </si>
  <si>
    <t>党组织</t>
    <phoneticPr fontId="225" type="noConversion"/>
  </si>
  <si>
    <t>公厕</t>
    <phoneticPr fontId="225" type="noConversion"/>
  </si>
  <si>
    <t>地下车库出入口</t>
    <phoneticPr fontId="225" type="noConversion"/>
  </si>
  <si>
    <t>大门</t>
    <phoneticPr fontId="225" type="noConversion"/>
  </si>
  <si>
    <t>地下建筑面积</t>
    <phoneticPr fontId="225" type="noConversion"/>
  </si>
  <si>
    <t>地下车库</t>
    <phoneticPr fontId="225" type="noConversion"/>
  </si>
  <si>
    <t>热交换站</t>
    <phoneticPr fontId="225" type="noConversion"/>
  </si>
  <si>
    <t>变电室</t>
    <phoneticPr fontId="225" type="noConversion"/>
  </si>
  <si>
    <t>其中</t>
    <phoneticPr fontId="225" type="noConversion"/>
  </si>
  <si>
    <t>其中</t>
    <phoneticPr fontId="225" type="noConversion"/>
  </si>
  <si>
    <t>计容面积</t>
    <phoneticPr fontId="225" type="noConversion"/>
  </si>
  <si>
    <t>容积率</t>
    <phoneticPr fontId="225" type="noConversion"/>
  </si>
  <si>
    <t>地上</t>
  </si>
  <si>
    <t>公寓</t>
  </si>
  <si>
    <t>底商</t>
  </si>
  <si>
    <t>地下</t>
  </si>
  <si>
    <t>车库</t>
  </si>
  <si>
    <t>住宅</t>
    <phoneticPr fontId="7" type="noConversion"/>
  </si>
  <si>
    <t>商业</t>
    <phoneticPr fontId="7" type="noConversion"/>
  </si>
  <si>
    <t>公寓</t>
    <phoneticPr fontId="7" type="noConversion"/>
  </si>
  <si>
    <t>地下车库</t>
    <phoneticPr fontId="7" type="noConversion"/>
  </si>
  <si>
    <t>工程进度</t>
  </si>
  <si>
    <t>利息：取LPR加浮动点数</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</si>
  <si>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</si>
  <si>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</si>
  <si>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</si>
  <si>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</si>
  <si>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</si>
  <si>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</si>
  <si>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</si>
  <si>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</si>
  <si>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</si>
  <si>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</si>
  <si>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</si>
  <si>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</si>
  <si>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</si>
  <si>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</si>
  <si>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</si>
  <si>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</si>
  <si>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高铁北路南、汇文路西</t>
  </si>
  <si>
    <t>郑州市</t>
  </si>
  <si>
    <t>综合用地(含住宅)</t>
  </si>
  <si>
    <t>大于1.1并且小于3</t>
  </si>
  <si>
    <t>挂牌</t>
  </si>
  <si>
    <t>城镇住宅(地下交通服务场站用地)</t>
  </si>
  <si>
    <t>第三批</t>
  </si>
  <si>
    <t>2022-11-25</t>
  </si>
  <si>
    <t>郑州郑椿置业有限公司</t>
  </si>
  <si>
    <t>0星</t>
  </si>
  <si>
    <t>凯达路南、汇龙路西</t>
  </si>
  <si>
    <t>大于1.1并且小于3.5</t>
  </si>
  <si>
    <t>郑州航达置业有限公司</t>
  </si>
  <si>
    <t>梧桐街北、红杉路东</t>
  </si>
  <si>
    <t>大于1并且小于2.9</t>
  </si>
  <si>
    <t>郑州郑高锦鑫置业有限公司</t>
  </si>
  <si>
    <t>郑峪路北、庄文路西</t>
  </si>
  <si>
    <t>大于1并且小于2.8</t>
  </si>
  <si>
    <t>郑州汇文置业有限公司</t>
  </si>
  <si>
    <t>枣园路东、明达路南</t>
  </si>
  <si>
    <t>大于1.1并且小于3.6</t>
  </si>
  <si>
    <t>郑州郑高高揽置业有限公司、</t>
  </si>
  <si>
    <t>长椿路西、郑峪路北</t>
  </si>
  <si>
    <t>大于1并且小于2.7</t>
  </si>
  <si>
    <t>郑州庄文置业有限公司</t>
  </si>
  <si>
    <t>金鳞路南、玉祥路东</t>
  </si>
  <si>
    <t>＞1,＜3</t>
  </si>
  <si>
    <t>郑州庄王置业有限公司</t>
  </si>
  <si>
    <t>宋固街(民富路)西、顺昌路(北岗路)北</t>
  </si>
  <si>
    <t>住宅用地</t>
  </si>
  <si>
    <t>＞1.1,＜3.65</t>
  </si>
  <si>
    <t>城镇住宅(地下交通服务场站用地);</t>
  </si>
  <si>
    <t>第二批</t>
  </si>
  <si>
    <t>2022-09-21</t>
  </si>
  <si>
    <t>郑州德恒山海置业有限公司</t>
  </si>
  <si>
    <t>4星</t>
  </si>
  <si>
    <t>东风路南、冉屯西路东</t>
  </si>
  <si>
    <t>＞1.1,＜3.0</t>
  </si>
  <si>
    <t>第一批</t>
  </si>
  <si>
    <t>2022-06-22</t>
  </si>
  <si>
    <t>郑州西汇房地产开发有限公司</t>
  </si>
  <si>
    <t>弯月西路南、欢河路东</t>
  </si>
  <si>
    <t>＞1.1,＜3.6</t>
  </si>
  <si>
    <t>郑州高新碧桂园房地产开发有限公司</t>
  </si>
  <si>
    <t>3星</t>
  </si>
  <si>
    <t>百泉路北、扬州路西</t>
  </si>
  <si>
    <t>郑州中豫安开城市建设有限公司</t>
  </si>
  <si>
    <t>政和路南、二砂中路东</t>
  </si>
  <si>
    <t>＞1.1,＜5</t>
  </si>
  <si>
    <t>河南国信乐达房地产有限公司</t>
  </si>
  <si>
    <t>5星</t>
  </si>
  <si>
    <t>爱民路(文化街)南、西四环路西</t>
  </si>
  <si>
    <t>＞1.1,＜3.9</t>
  </si>
  <si>
    <t>意杨路西、红梅街南</t>
  </si>
  <si>
    <t>＞1.1,＜2.5</t>
  </si>
  <si>
    <t>2021-12-27</t>
  </si>
  <si>
    <t>郑州高新建设集团有限公司</t>
  </si>
  <si>
    <t>科学大道北、银屏路西</t>
  </si>
  <si>
    <t>＞1.0,＜4.5</t>
  </si>
  <si>
    <t>商务金融兼容城镇住宅(地下交通服务场站用地)</t>
  </si>
  <si>
    <t>郑州保利永和房地产开发有限公司</t>
  </si>
  <si>
    <t>意杨路西、莲花街南</t>
  </si>
  <si>
    <t>关庙街(风茂街)南、民和北街(许庄路)西</t>
  </si>
  <si>
    <t>＞1.1,＜4.2</t>
  </si>
  <si>
    <t>城镇住宅(地下交通运输设施)</t>
  </si>
  <si>
    <t>郑州名兴置业有限公司</t>
  </si>
  <si>
    <t>雪松路西、梧桐街北</t>
  </si>
  <si>
    <t>河南朗泰置业有限公司</t>
  </si>
  <si>
    <t>雪松路东、落樱街(现银桂街)北</t>
  </si>
  <si>
    <t>＞1.1＜2.5</t>
  </si>
  <si>
    <t>城镇住宅用地(地下交通服务场站用地)</t>
  </si>
  <si>
    <t>2021-06-03</t>
  </si>
  <si>
    <t>郑州康图置业有限公司</t>
  </si>
  <si>
    <t>红松路西、金盏街北、雀梅街南、川杨路东</t>
  </si>
  <si>
    <t>＞1.1＜3.6</t>
  </si>
  <si>
    <t>城镇住宅兼容零售商业、批发市场、餐饮、旅馆、商务金融用地(地下交通服务场站用地)</t>
  </si>
  <si>
    <t>北岗路北、站前大道东</t>
  </si>
  <si>
    <t>郑州德宸祥苑置业有限公司</t>
  </si>
  <si>
    <t>绿梅街南、金柏路东、雪梅街北、红杉路西</t>
  </si>
  <si>
    <t>＞1.1＜3.1</t>
  </si>
  <si>
    <t>城镇住宅兼容零售商业、批发市场、餐饮、旅馆用地(地下交通服务场站用地)</t>
  </si>
  <si>
    <t>郁香路西、欢河路南</t>
  </si>
  <si>
    <t>＞1.1＜3.5</t>
  </si>
  <si>
    <t>河南晟和祥实业有限公司</t>
  </si>
  <si>
    <t>齐达路(樊楼路)南、大庄街(支五路)西</t>
  </si>
  <si>
    <t>雪松路东、金桂街南</t>
  </si>
  <si>
    <t>郑州康云置业有限公司</t>
  </si>
  <si>
    <t>淮河西路南、汇龙路西</t>
  </si>
  <si>
    <t>＞1.1,＜3.5</t>
  </si>
  <si>
    <t>河南国丰园置业有限公司</t>
  </si>
  <si>
    <t>齐达路(樊楼路)南、民祥北街(云梦路)西</t>
  </si>
  <si>
    <t>2021-03-17</t>
  </si>
  <si>
    <t>顺昌路(北岗路)南、民祥北街(云梦路)西</t>
  </si>
  <si>
    <t>顺昌路(北岗路)南、广文北街(西湖路)西</t>
  </si>
  <si>
    <t>槐荫街南、弯月路西</t>
  </si>
  <si>
    <t>2021-03-12</t>
  </si>
  <si>
    <t>长城路南、杏湾路西</t>
  </si>
  <si>
    <t>＞1.1,＜5.5</t>
  </si>
  <si>
    <t>城镇住宅兼容商务金融(地下交通服务场站用地)</t>
  </si>
  <si>
    <t>2021-03-10</t>
  </si>
  <si>
    <t>郑州盛泉置业有限公司</t>
  </si>
  <si>
    <t>市场西街北、秦岭路西</t>
  </si>
  <si>
    <t>＞1.0,＜8.4</t>
  </si>
  <si>
    <t>城镇住宅兼容零售商业、餐饮、旅馆</t>
  </si>
  <si>
    <t>河南孟章置业有限公司</t>
  </si>
  <si>
    <t>梅林路东、杜英街北</t>
  </si>
  <si>
    <t>2021-03-03</t>
  </si>
  <si>
    <t>郑州融信朗悦置业有限公司</t>
  </si>
  <si>
    <t>樊楼路北、图强路东</t>
  </si>
  <si>
    <t>绿梅街南、创新大道西</t>
  </si>
  <si>
    <t>＞1.1,＜2.0</t>
  </si>
  <si>
    <t>2021-02-22</t>
  </si>
  <si>
    <t>杭州保亿策优建设开发有限公司</t>
  </si>
  <si>
    <t>西三环北延东、三全路西延南</t>
  </si>
  <si>
    <t>＞1.0＜4.0</t>
  </si>
  <si>
    <t>2021-02-04</t>
  </si>
  <si>
    <t>河南荣田房地产开发有限公司</t>
  </si>
  <si>
    <t>杜兰街南、紫楠路西</t>
  </si>
  <si>
    <t>2021-01-08</t>
  </si>
  <si>
    <t>河南省美景之州地产开发有限公司</t>
  </si>
  <si>
    <t>蒲桃路西、滨河路北</t>
  </si>
  <si>
    <t>河南美景新瑞房地产开发有限责任公司</t>
  </si>
  <si>
    <t>滨河路北、庄王路西</t>
  </si>
  <si>
    <t>＞1.1＜3.0</t>
  </si>
  <si>
    <t>郑州康永置业有限公司</t>
  </si>
  <si>
    <t>金柏路东、雪梅街南</t>
  </si>
  <si>
    <t>＞1.1＜3.2</t>
  </si>
  <si>
    <t>2020-12-21</t>
  </si>
  <si>
    <t>外方路东、汾河路南</t>
  </si>
  <si>
    <t>＞1.1＜4.0</t>
  </si>
  <si>
    <t>翠柏路东、青梅街北</t>
  </si>
  <si>
    <t>＞1.1＜2.0</t>
  </si>
  <si>
    <t>郑州保利亨业房地产开发有限公司</t>
  </si>
  <si>
    <t>玉祥路东、金龙路北</t>
  </si>
  <si>
    <t>＞1.0,＜3.5</t>
  </si>
  <si>
    <t>2020-09-18</t>
  </si>
  <si>
    <t>河南荣威置业有限公司</t>
  </si>
  <si>
    <t>滨河路北、双桥东路西</t>
  </si>
  <si>
    <t>＞1.1＜1.7</t>
  </si>
  <si>
    <t>2020-08-28</t>
  </si>
  <si>
    <t>郑州玖智房地产开发有限公司</t>
  </si>
  <si>
    <t>梧桐街南、创新大道东</t>
  </si>
  <si>
    <t>郑州恒启置业有限公司</t>
  </si>
  <si>
    <t>冬青西街南,须水河西路西</t>
  </si>
  <si>
    <t>郑州瑞信房地产开发有限公司</t>
  </si>
  <si>
    <t>郁香路东,水厂路北</t>
  </si>
  <si>
    <t>皓月路南、创文路东</t>
  </si>
  <si>
    <t>2020-08-20</t>
  </si>
  <si>
    <t>河南世茂海润置业有限公司</t>
  </si>
  <si>
    <t>淮河西路南、万杰路西</t>
  </si>
  <si>
    <t>2020-08-14</t>
  </si>
  <si>
    <t>凯达路南、汇龙路东</t>
  </si>
  <si>
    <t>2020-08-13</t>
  </si>
  <si>
    <t>雪松路东、高铁北路北</t>
  </si>
  <si>
    <t>2020-07-29</t>
  </si>
  <si>
    <t>郑州恒泓置业有限公司</t>
  </si>
  <si>
    <t>冬青街南、碧桃路东</t>
  </si>
  <si>
    <t>＞1.1,＜4.0</t>
  </si>
  <si>
    <t>木荷路西、青梅街北</t>
  </si>
  <si>
    <t>大于1.1,小于2.0</t>
  </si>
  <si>
    <t>2020-06-19</t>
  </si>
  <si>
    <t>郑州煜盛房地产开发有限公司</t>
  </si>
  <si>
    <t>创新大道西、金盏街南</t>
  </si>
  <si>
    <t>城镇住宅用地兼容零售商业、批发市场、餐饮、旅馆用地(地下交通服务场站用地)</t>
  </si>
  <si>
    <t>2020-06-01</t>
  </si>
  <si>
    <t>济南泰瑞房地产开发有限公司</t>
  </si>
  <si>
    <t>长椿路东、科学大道北</t>
  </si>
  <si>
    <t>城镇住宅用地兼容零售商业、批发市场、餐饮、旅馆、商务金融用地(地下交通服务场站用地)</t>
  </si>
  <si>
    <t>郑州金威实业有限公司</t>
  </si>
  <si>
    <t>池北路北、郁香路东</t>
  </si>
  <si>
    <t>＜3.0</t>
  </si>
  <si>
    <t>商务金融兼容城镇住宅零售商业、批发市场、餐饮、旅馆用地(地下交通服务场站用地)</t>
  </si>
  <si>
    <t>2020-05-20</t>
  </si>
  <si>
    <t>站北路北、新荣路东</t>
  </si>
  <si>
    <t>城镇住宅,地下交通服务场站</t>
  </si>
  <si>
    <t>2020-04-13</t>
  </si>
  <si>
    <t>站北路南、凯旋路东</t>
  </si>
  <si>
    <t>百泉路北、杭州路西</t>
  </si>
  <si>
    <t>＞1.0,＜3.0</t>
  </si>
  <si>
    <t>2020-04-03</t>
  </si>
  <si>
    <t>武汉金地伟盛房地产开发有限公司</t>
  </si>
  <si>
    <t>湖西路西、北岗路南</t>
  </si>
  <si>
    <t>2020-02-17</t>
  </si>
  <si>
    <t>北岗路南、支八路西</t>
  </si>
  <si>
    <t>西岗路南、湖西路西</t>
  </si>
  <si>
    <t>科学大道北、雪松路东</t>
  </si>
  <si>
    <t>＜4.5</t>
  </si>
  <si>
    <t>商务金融兼容城镇住宅用地(地下交通服务场站用地)</t>
  </si>
  <si>
    <t>2020-02-07</t>
  </si>
  <si>
    <t>秦岭路西、汝河路南</t>
  </si>
  <si>
    <t>城镇住宅用地兼容零售商业、餐饮、旅馆、商务金融用地(地下交通服务场站用地)</t>
  </si>
  <si>
    <t>2020-01-16</t>
  </si>
  <si>
    <t>郑州康平置业有限公司</t>
  </si>
  <si>
    <t>雪松路东、高铁北路南</t>
  </si>
  <si>
    <t>＞1.1,＜2</t>
  </si>
  <si>
    <t>2020-01-15</t>
  </si>
  <si>
    <t>豫十路北、潮河东路东</t>
  </si>
  <si>
    <t>＞1.1、＜2.5</t>
  </si>
  <si>
    <t>城镇住宅、地下空间用途交通服务场站</t>
  </si>
  <si>
    <t>2019-12-19</t>
  </si>
  <si>
    <t>郑州开元盛世置业有限公司</t>
  </si>
  <si>
    <t>站北路北、雄鹰东路西</t>
  </si>
  <si>
    <t>2019-12-18</t>
  </si>
  <si>
    <t>槐荫街南、弯月路西高新老城板块</t>
  </si>
  <si>
    <t>外方路东、汾河路南冉屯路板块</t>
    <phoneticPr fontId="225" type="noConversion"/>
  </si>
  <si>
    <t>政和路南、二砂中路东碧沙岗板块</t>
    <phoneticPr fontId="225" type="noConversion"/>
  </si>
  <si>
    <t>西岗路南、湖西路西常西湖板块</t>
    <phoneticPr fontId="225" type="noConversion"/>
  </si>
  <si>
    <t>正常</t>
  </si>
  <si>
    <t>较好</t>
  </si>
  <si>
    <t>较好</t>
    <phoneticPr fontId="26" type="noConversion"/>
  </si>
  <si>
    <t>七通</t>
    <phoneticPr fontId="26" type="noConversion"/>
  </si>
  <si>
    <t>四级</t>
    <phoneticPr fontId="26" type="noConversion"/>
  </si>
  <si>
    <t>正常</t>
    <phoneticPr fontId="26" type="noConversion"/>
  </si>
  <si>
    <t>六级</t>
    <phoneticPr fontId="26" type="noConversion"/>
  </si>
  <si>
    <t>五通</t>
    <phoneticPr fontId="26" type="noConversion"/>
  </si>
  <si>
    <t>三通</t>
    <phoneticPr fontId="26" type="noConversion"/>
  </si>
  <si>
    <t>五通</t>
    <phoneticPr fontId="26" type="noConversion"/>
  </si>
  <si>
    <t>正常</t>
    <phoneticPr fontId="26" type="noConversion"/>
  </si>
  <si>
    <t>较好</t>
    <phoneticPr fontId="26" type="noConversion"/>
  </si>
  <si>
    <t>七通</t>
    <phoneticPr fontId="26" type="noConversion"/>
  </si>
  <si>
    <t>五级</t>
    <phoneticPr fontId="26" type="noConversion"/>
  </si>
  <si>
    <t>六通</t>
    <phoneticPr fontId="26" type="noConversion"/>
  </si>
  <si>
    <t>四通</t>
    <phoneticPr fontId="26" type="noConversion"/>
  </si>
  <si>
    <t>三通</t>
    <phoneticPr fontId="26" type="noConversion"/>
  </si>
  <si>
    <t>三级</t>
    <phoneticPr fontId="26" type="noConversion"/>
  </si>
  <si>
    <t>七级</t>
    <phoneticPr fontId="26" type="noConversion"/>
  </si>
  <si>
    <t>住宅、综合</t>
  </si>
  <si>
    <t>住宅、综合</t>
    <phoneticPr fontId="26" type="noConversion"/>
  </si>
  <si>
    <t>住宅</t>
    <phoneticPr fontId="26" type="noConversion"/>
  </si>
  <si>
    <t>住宅、综合</t>
    <phoneticPr fontId="26" type="noConversion"/>
  </si>
  <si>
    <t>住宅、综合</t>
    <phoneticPr fontId="26" type="noConversion"/>
  </si>
  <si>
    <t>住宅、综合</t>
    <phoneticPr fontId="26" type="noConversion"/>
  </si>
  <si>
    <t>售价</t>
  </si>
  <si>
    <t>风和朗园</t>
    <phoneticPr fontId="225" type="noConversion"/>
  </si>
  <si>
    <t>容积率</t>
    <phoneticPr fontId="225" type="noConversion"/>
  </si>
  <si>
    <t>建筑面积</t>
    <phoneticPr fontId="225" type="noConversion"/>
  </si>
  <si>
    <t>单价</t>
    <phoneticPr fontId="225" type="noConversion"/>
  </si>
  <si>
    <t>碧桂园凤凰城</t>
    <phoneticPr fontId="225" type="noConversion"/>
  </si>
  <si>
    <t>保利心语</t>
    <phoneticPr fontId="225" type="noConversion"/>
  </si>
  <si>
    <t>装修</t>
    <phoneticPr fontId="225" type="noConversion"/>
  </si>
  <si>
    <t>毛坯</t>
    <phoneticPr fontId="225" type="noConversion"/>
  </si>
  <si>
    <t>精装</t>
    <phoneticPr fontId="225" type="noConversion"/>
  </si>
  <si>
    <t>较好</t>
    <phoneticPr fontId="21" type="noConversion"/>
  </si>
  <si>
    <t>较好</t>
    <phoneticPr fontId="21" type="noConversion"/>
  </si>
  <si>
    <t>正常</t>
    <phoneticPr fontId="21" type="noConversion"/>
  </si>
  <si>
    <t>正常</t>
    <phoneticPr fontId="21" type="noConversion"/>
  </si>
  <si>
    <t>七通</t>
    <phoneticPr fontId="21" type="noConversion"/>
  </si>
  <si>
    <t>七通</t>
    <phoneticPr fontId="21" type="noConversion"/>
  </si>
  <si>
    <t>七通</t>
    <phoneticPr fontId="21" type="noConversion"/>
  </si>
  <si>
    <t>住宅</t>
    <phoneticPr fontId="21" type="noConversion"/>
  </si>
  <si>
    <t>钢混</t>
  </si>
  <si>
    <t>钢混</t>
    <phoneticPr fontId="21" type="noConversion"/>
  </si>
  <si>
    <t>毛坯</t>
    <phoneticPr fontId="21" type="noConversion"/>
  </si>
  <si>
    <t>精装</t>
    <phoneticPr fontId="21" type="noConversion"/>
  </si>
  <si>
    <t>普装</t>
    <phoneticPr fontId="21" type="noConversion"/>
  </si>
  <si>
    <t>简装</t>
    <phoneticPr fontId="21" type="noConversion"/>
  </si>
  <si>
    <t>宏江中央广场</t>
    <phoneticPr fontId="225" type="noConversion"/>
  </si>
  <si>
    <t>面积</t>
    <phoneticPr fontId="225" type="noConversion"/>
  </si>
  <si>
    <t>盛润锦绣城</t>
    <phoneticPr fontId="225" type="noConversion"/>
  </si>
  <si>
    <t>方圆经纬花园</t>
    <phoneticPr fontId="225" type="noConversion"/>
  </si>
  <si>
    <t>正常</t>
    <phoneticPr fontId="26" type="noConversion"/>
  </si>
  <si>
    <t>正常</t>
    <phoneticPr fontId="26" type="noConversion"/>
  </si>
  <si>
    <t>商业</t>
    <phoneticPr fontId="26" type="noConversion"/>
  </si>
  <si>
    <t>较好</t>
    <phoneticPr fontId="26" type="noConversion"/>
  </si>
  <si>
    <t>较好</t>
    <phoneticPr fontId="26" type="noConversion"/>
  </si>
  <si>
    <t>七通</t>
    <phoneticPr fontId="26" type="noConversion"/>
  </si>
  <si>
    <t>七通</t>
    <phoneticPr fontId="26" type="noConversion"/>
  </si>
  <si>
    <t>底商</t>
    <phoneticPr fontId="26" type="noConversion"/>
  </si>
  <si>
    <t>底商</t>
    <phoneticPr fontId="26" type="noConversion"/>
  </si>
  <si>
    <r>
      <t>1</t>
    </r>
    <r>
      <rPr>
        <b/>
        <sz val="10"/>
        <color indexed="10"/>
        <rFont val="宋体"/>
        <family val="3"/>
        <charset val="134"/>
      </rPr>
      <t>层</t>
    </r>
    <phoneticPr fontId="21" type="noConversion"/>
  </si>
  <si>
    <r>
      <t>2</t>
    </r>
    <r>
      <rPr>
        <sz val="10"/>
        <color indexed="8"/>
        <rFont val="宋体"/>
        <family val="3"/>
        <charset val="134"/>
      </rPr>
      <t>层</t>
    </r>
    <phoneticPr fontId="21" type="noConversion"/>
  </si>
  <si>
    <t>土地（套用方法）</t>
  </si>
  <si>
    <t>自定义</t>
  </si>
  <si>
    <t>按租金收入计税</t>
  </si>
  <si>
    <t>不动产收益法</t>
  </si>
  <si>
    <t>升龙天汇8号院</t>
    <phoneticPr fontId="225" type="noConversion"/>
  </si>
  <si>
    <t>升龙天汇6号院</t>
    <phoneticPr fontId="225" type="noConversion"/>
  </si>
  <si>
    <t>乐丁广场</t>
    <phoneticPr fontId="225" type="noConversion"/>
  </si>
  <si>
    <t>平层</t>
    <phoneticPr fontId="225" type="noConversion"/>
  </si>
  <si>
    <t>loft</t>
    <phoneticPr fontId="225" type="noConversion"/>
  </si>
  <si>
    <t>loft</t>
    <phoneticPr fontId="225" type="noConversion"/>
  </si>
  <si>
    <t>平层</t>
    <phoneticPr fontId="21" type="noConversion"/>
  </si>
  <si>
    <t>平层</t>
    <phoneticPr fontId="21" type="noConversion"/>
  </si>
  <si>
    <t>loft</t>
    <phoneticPr fontId="21" type="noConversion"/>
  </si>
  <si>
    <t>loft</t>
    <phoneticPr fontId="225" type="noConversion"/>
  </si>
  <si>
    <t>平层</t>
    <phoneticPr fontId="225" type="noConversion"/>
  </si>
  <si>
    <t>普装</t>
    <phoneticPr fontId="21" type="noConversion"/>
  </si>
  <si>
    <t>期房</t>
    <phoneticPr fontId="225" type="noConversion"/>
  </si>
  <si>
    <t>二手房</t>
    <phoneticPr fontId="225" type="noConversion"/>
  </si>
  <si>
    <t>二手房</t>
    <phoneticPr fontId="225" type="noConversion"/>
  </si>
  <si>
    <t>比较法-住宅、综合</t>
  </si>
  <si>
    <t>剩余法-待开发</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</si>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</sst>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2"/>
      <color rgb="FF303133"/>
      <name val="Verdana"/>
      <family val="2"/>
    </font>
    <font>
      <b/>
      <sz val="12"/>
      <color rgb="FF303133"/>
      <name val="宋体"/>
      <family val="3"/>
      <charset val="134"/>
    </font>
    <font>
      <b/>
      <sz val="10"/>
      <color indexed="1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8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0" xfId="0" applyFont="1">
      <alignment vertical="center"/>
    </xf>
    <xf numFmtId="0" fontId="161" fillId="0" borderId="2" xfId="0" applyFont="1" applyBorder="1">
      <alignment vertical="center"/>
    </xf>
    <xf numFmtId="0" fontId="161" fillId="9" borderId="2" xfId="0" applyFont="1" applyFill="1" applyBorder="1">
      <alignment vertical="center"/>
    </xf>
    <xf numFmtId="0" fontId="161" fillId="0" borderId="2" xfId="0" applyFont="1" applyFill="1" applyBorder="1">
      <alignment vertical="center"/>
    </xf>
    <xf numFmtId="0" fontId="161" fillId="6" borderId="2" xfId="0" applyFont="1" applyFill="1" applyBorder="1">
      <alignment vertical="center"/>
    </xf>
    <xf numFmtId="178" fontId="78" fillId="0" borderId="2" xfId="2" applyNumberFormat="1" applyFont="1" applyFill="1" applyBorder="1" applyAlignment="1" applyProtection="1">
      <alignment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3" fillId="0" borderId="0" xfId="16"/>
    <xf numFmtId="0" fontId="280" fillId="0" borderId="0" xfId="0" applyFont="1" applyAlignment="1">
      <alignment vertical="center" wrapText="1"/>
    </xf>
    <xf numFmtId="0" fontId="83" fillId="0" borderId="0" xfId="16"/>
    <xf numFmtId="0" fontId="281" fillId="0" borderId="0" xfId="0" applyFont="1" applyAlignment="1">
      <alignment vertical="center" wrapText="1"/>
    </xf>
    <xf numFmtId="0" fontId="83" fillId="9" borderId="0" xfId="16" applyFill="1"/>
    <xf numFmtId="0" fontId="0" fillId="9" borderId="0" xfId="0" applyFill="1">
      <alignment vertical="center"/>
    </xf>
    <xf numFmtId="0" fontId="83" fillId="0" borderId="0" xfId="16" applyFill="1"/>
    <xf numFmtId="0" fontId="0" fillId="0" borderId="0" xfId="0" applyFill="1">
      <alignment vertical="center"/>
    </xf>
    <xf numFmtId="49" fontId="141" fillId="2" borderId="50"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0" fontId="141" fillId="2" borderId="64" xfId="0" applyNumberFormat="1" applyFont="1" applyFill="1" applyBorder="1" applyAlignment="1" applyProtection="1">
      <alignment horizontal="center" vertical="center" wrapText="1"/>
      <protection locked="0"/>
    </xf>
    <xf numFmtId="0" fontId="141" fillId="2" borderId="8"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0" fontId="141" fillId="2" borderId="18"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49" fontId="78" fillId="2" borderId="33"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9" fontId="78" fillId="2" borderId="6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2" borderId="30" xfId="0" applyNumberFormat="1" applyFont="1" applyFill="1" applyBorder="1" applyAlignment="1" applyProtection="1">
      <alignment horizontal="center" vertical="center" wrapText="1"/>
      <protection locked="0"/>
    </xf>
    <xf numFmtId="0" fontId="78" fillId="2" borderId="59"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0" fontId="141" fillId="2" borderId="1" xfId="0" applyFont="1" applyFill="1" applyBorder="1" applyAlignment="1" applyProtection="1">
      <alignment horizontal="center" vertical="center" wrapText="1"/>
      <protection locked="0"/>
    </xf>
    <xf numFmtId="0" fontId="141" fillId="2" borderId="42" xfId="0" applyFont="1" applyFill="1" applyBorder="1" applyAlignment="1" applyProtection="1">
      <alignment horizontal="center" vertical="center" wrapText="1"/>
      <protection locked="0"/>
    </xf>
    <xf numFmtId="0" fontId="141" fillId="2" borderId="11" xfId="0" applyFont="1" applyFill="1" applyBorder="1" applyAlignment="1" applyProtection="1">
      <alignment horizontal="center" vertical="center" wrapText="1"/>
      <protection locked="0"/>
    </xf>
    <xf numFmtId="0" fontId="141" fillId="2" borderId="9" xfId="0"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49" fontId="141" fillId="2" borderId="9"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49" fontId="78" fillId="2" borderId="1" xfId="0" applyNumberFormat="1" applyFont="1" applyFill="1" applyBorder="1" applyAlignment="1" applyProtection="1">
      <alignment horizontal="center" vertical="center" wrapText="1"/>
      <protection locked="0"/>
    </xf>
    <xf numFmtId="49" fontId="78" fillId="2" borderId="42"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61" fillId="0" borderId="2" xfId="0" applyFont="1" applyBorder="1" applyAlignment="1">
      <alignment horizontal="center" vertical="center"/>
    </xf>
    <xf numFmtId="0" fontId="161" fillId="0" borderId="14" xfId="0" applyFont="1" applyBorder="1" applyAlignment="1">
      <alignment horizontal="center" vertical="center"/>
    </xf>
    <xf numFmtId="0" fontId="161" fillId="0" borderId="0" xfId="0" applyFont="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57" fillId="21" borderId="11" xfId="0" applyFont="1" applyFill="1" applyBorder="1" applyAlignment="1" applyProtection="1">
      <alignment horizontal="center" vertical="center" wrapText="1"/>
      <protection locked="0"/>
    </xf>
    <xf numFmtId="0" fontId="257" fillId="21" borderId="12" xfId="0"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75</xdr:row>
      <xdr:rowOff>0</xdr:rowOff>
    </xdr:from>
    <xdr:to>
      <xdr:col>15</xdr:col>
      <xdr:colOff>103321</xdr:colOff>
      <xdr:row>117</xdr:row>
      <xdr:rowOff>8624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068300"/>
          <a:ext cx="11638096" cy="7209524"/>
        </a:xfrm>
        <a:prstGeom prst="rect">
          <a:avLst/>
        </a:prstGeom>
      </xdr:spPr>
    </xdr:pic>
    <xdr:clientData/>
  </xdr:twoCellAnchor>
  <xdr:twoCellAnchor editAs="oneCell">
    <xdr:from>
      <xdr:col>0</xdr:col>
      <xdr:colOff>0</xdr:colOff>
      <xdr:row>117</xdr:row>
      <xdr:rowOff>0</xdr:rowOff>
    </xdr:from>
    <xdr:to>
      <xdr:col>21</xdr:col>
      <xdr:colOff>569474</xdr:colOff>
      <xdr:row>137</xdr:row>
      <xdr:rowOff>56715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269200"/>
          <a:ext cx="16219049" cy="3485715"/>
        </a:xfrm>
        <a:prstGeom prst="rect">
          <a:avLst/>
        </a:prstGeom>
      </xdr:spPr>
    </xdr:pic>
    <xdr:clientData/>
  </xdr:twoCellAnchor>
  <xdr:twoCellAnchor editAs="oneCell">
    <xdr:from>
      <xdr:col>0</xdr:col>
      <xdr:colOff>0</xdr:colOff>
      <xdr:row>140</xdr:row>
      <xdr:rowOff>0</xdr:rowOff>
    </xdr:from>
    <xdr:to>
      <xdr:col>15</xdr:col>
      <xdr:colOff>150940</xdr:colOff>
      <xdr:row>182</xdr:row>
      <xdr:rowOff>65767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4422100"/>
          <a:ext cx="11685715" cy="7266667"/>
        </a:xfrm>
        <a:prstGeom prst="rect">
          <a:avLst/>
        </a:prstGeom>
      </xdr:spPr>
    </xdr:pic>
    <xdr:clientData/>
  </xdr:twoCellAnchor>
  <xdr:twoCellAnchor editAs="oneCell">
    <xdr:from>
      <xdr:col>0</xdr:col>
      <xdr:colOff>0</xdr:colOff>
      <xdr:row>182</xdr:row>
      <xdr:rowOff>0</xdr:rowOff>
    </xdr:from>
    <xdr:to>
      <xdr:col>22</xdr:col>
      <xdr:colOff>83674</xdr:colOff>
      <xdr:row>193</xdr:row>
      <xdr:rowOff>133098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1623000"/>
          <a:ext cx="16419049" cy="2019048"/>
        </a:xfrm>
        <a:prstGeom prst="rect">
          <a:avLst/>
        </a:prstGeom>
      </xdr:spPr>
    </xdr:pic>
    <xdr:clientData/>
  </xdr:twoCellAnchor>
  <xdr:twoCellAnchor editAs="oneCell">
    <xdr:from>
      <xdr:col>0</xdr:col>
      <xdr:colOff>0</xdr:colOff>
      <xdr:row>196</xdr:row>
      <xdr:rowOff>0</xdr:rowOff>
    </xdr:from>
    <xdr:to>
      <xdr:col>14</xdr:col>
      <xdr:colOff>541502</xdr:colOff>
      <xdr:row>239</xdr:row>
      <xdr:rowOff>46698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4232850"/>
          <a:ext cx="11390477" cy="7419048"/>
        </a:xfrm>
        <a:prstGeom prst="rect">
          <a:avLst/>
        </a:prstGeom>
      </xdr:spPr>
    </xdr:pic>
    <xdr:clientData/>
  </xdr:twoCellAnchor>
  <xdr:twoCellAnchor editAs="oneCell">
    <xdr:from>
      <xdr:col>0</xdr:col>
      <xdr:colOff>0</xdr:colOff>
      <xdr:row>239</xdr:row>
      <xdr:rowOff>0</xdr:rowOff>
    </xdr:from>
    <xdr:to>
      <xdr:col>21</xdr:col>
      <xdr:colOff>578998</xdr:colOff>
      <xdr:row>247</xdr:row>
      <xdr:rowOff>85543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41605200"/>
          <a:ext cx="16228573" cy="1457143"/>
        </a:xfrm>
        <a:prstGeom prst="rect">
          <a:avLst/>
        </a:prstGeom>
      </xdr:spPr>
    </xdr:pic>
    <xdr:clientData/>
  </xdr:twoCellAnchor>
  <xdr:twoCellAnchor editAs="oneCell">
    <xdr:from>
      <xdr:col>0</xdr:col>
      <xdr:colOff>0</xdr:colOff>
      <xdr:row>250</xdr:row>
      <xdr:rowOff>0</xdr:rowOff>
    </xdr:from>
    <xdr:to>
      <xdr:col>15</xdr:col>
      <xdr:colOff>103321</xdr:colOff>
      <xdr:row>292</xdr:row>
      <xdr:rowOff>122910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3700700"/>
          <a:ext cx="11638096" cy="7323810"/>
        </a:xfrm>
        <a:prstGeom prst="rect">
          <a:avLst/>
        </a:prstGeom>
      </xdr:spPr>
    </xdr:pic>
    <xdr:clientData/>
  </xdr:twoCellAnchor>
  <xdr:twoCellAnchor editAs="oneCell">
    <xdr:from>
      <xdr:col>0</xdr:col>
      <xdr:colOff>0</xdr:colOff>
      <xdr:row>293</xdr:row>
      <xdr:rowOff>0</xdr:rowOff>
    </xdr:from>
    <xdr:to>
      <xdr:col>16</xdr:col>
      <xdr:colOff>217521</xdr:colOff>
      <xdr:row>302</xdr:row>
      <xdr:rowOff>37902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51073050"/>
          <a:ext cx="12438096" cy="1580952"/>
        </a:xfrm>
        <a:prstGeom prst="rect">
          <a:avLst/>
        </a:prstGeom>
      </xdr:spPr>
    </xdr:pic>
    <xdr:clientData/>
  </xdr:twoCellAnchor>
  <xdr:twoCellAnchor editAs="oneCell">
    <xdr:from>
      <xdr:col>14</xdr:col>
      <xdr:colOff>9525</xdr:colOff>
      <xdr:row>36</xdr:row>
      <xdr:rowOff>66675</xdr:rowOff>
    </xdr:from>
    <xdr:to>
      <xdr:col>25</xdr:col>
      <xdr:colOff>56202</xdr:colOff>
      <xdr:row>64</xdr:row>
      <xdr:rowOff>132742</xdr:rowOff>
    </xdr:to>
    <xdr:pic>
      <xdr:nvPicPr>
        <xdr:cNvPr id="10" name="图片 9"/>
        <xdr:cNvPicPr>
          <a:picLocks noChangeAspect="1"/>
        </xdr:cNvPicPr>
      </xdr:nvPicPr>
      <xdr:blipFill>
        <a:blip xmlns:r="http://schemas.openxmlformats.org/officeDocument/2006/relationships" r:embed="rId9"/>
        <a:stretch>
          <a:fillRect/>
        </a:stretch>
      </xdr:blipFill>
      <xdr:spPr>
        <a:xfrm>
          <a:off x="10858500" y="6238875"/>
          <a:ext cx="7590477" cy="48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626601</xdr:colOff>
      <xdr:row>41</xdr:row>
      <xdr:rowOff>75312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6400001" cy="7104762"/>
        </a:xfrm>
        <a:prstGeom prst="rect">
          <a:avLst/>
        </a:prstGeom>
      </xdr:spPr>
    </xdr:pic>
    <xdr:clientData/>
  </xdr:twoCellAnchor>
  <xdr:twoCellAnchor editAs="oneCell">
    <xdr:from>
      <xdr:col>0</xdr:col>
      <xdr:colOff>0</xdr:colOff>
      <xdr:row>42</xdr:row>
      <xdr:rowOff>0</xdr:rowOff>
    </xdr:from>
    <xdr:to>
      <xdr:col>24</xdr:col>
      <xdr:colOff>112230</xdr:colOff>
      <xdr:row>84</xdr:row>
      <xdr:rowOff>113386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16571430" cy="7314286"/>
        </a:xfrm>
        <a:prstGeom prst="rect">
          <a:avLst/>
        </a:prstGeom>
      </xdr:spPr>
    </xdr:pic>
    <xdr:clientData/>
  </xdr:twoCellAnchor>
  <xdr:twoCellAnchor editAs="oneCell">
    <xdr:from>
      <xdr:col>0</xdr:col>
      <xdr:colOff>0</xdr:colOff>
      <xdr:row>85</xdr:row>
      <xdr:rowOff>0</xdr:rowOff>
    </xdr:from>
    <xdr:to>
      <xdr:col>23</xdr:col>
      <xdr:colOff>617077</xdr:colOff>
      <xdr:row>133</xdr:row>
      <xdr:rowOff>37067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573250"/>
          <a:ext cx="16390477" cy="8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84943</xdr:colOff>
      <xdr:row>42</xdr:row>
      <xdr:rowOff>84815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257143" cy="7285715"/>
        </a:xfrm>
        <a:prstGeom prst="rect">
          <a:avLst/>
        </a:prstGeom>
      </xdr:spPr>
    </xdr:pic>
    <xdr:clientData/>
  </xdr:twoCellAnchor>
  <xdr:twoCellAnchor editAs="oneCell">
    <xdr:from>
      <xdr:col>9</xdr:col>
      <xdr:colOff>0</xdr:colOff>
      <xdr:row>0</xdr:row>
      <xdr:rowOff>0</xdr:rowOff>
    </xdr:from>
    <xdr:to>
      <xdr:col>17</xdr:col>
      <xdr:colOff>180267</xdr:colOff>
      <xdr:row>45</xdr:row>
      <xdr:rowOff>8560</xdr:rowOff>
    </xdr:to>
    <xdr:pic>
      <xdr:nvPicPr>
        <xdr:cNvPr id="4" name="图片 3"/>
        <xdr:cNvPicPr>
          <a:picLocks noChangeAspect="1"/>
        </xdr:cNvPicPr>
      </xdr:nvPicPr>
      <xdr:blipFill>
        <a:blip xmlns:r="http://schemas.openxmlformats.org/officeDocument/2006/relationships" r:embed="rId2"/>
        <a:stretch>
          <a:fillRect/>
        </a:stretch>
      </xdr:blipFill>
      <xdr:spPr>
        <a:xfrm>
          <a:off x="6172200" y="0"/>
          <a:ext cx="5666667" cy="7723810"/>
        </a:xfrm>
        <a:prstGeom prst="rect">
          <a:avLst/>
        </a:prstGeom>
      </xdr:spPr>
    </xdr:pic>
    <xdr:clientData/>
  </xdr:twoCellAnchor>
  <xdr:twoCellAnchor editAs="oneCell">
    <xdr:from>
      <xdr:col>16</xdr:col>
      <xdr:colOff>457200</xdr:colOff>
      <xdr:row>0</xdr:row>
      <xdr:rowOff>0</xdr:rowOff>
    </xdr:from>
    <xdr:to>
      <xdr:col>25</xdr:col>
      <xdr:colOff>227858</xdr:colOff>
      <xdr:row>46</xdr:row>
      <xdr:rowOff>160920</xdr:rowOff>
    </xdr:to>
    <xdr:pic>
      <xdr:nvPicPr>
        <xdr:cNvPr id="5" name="图片 4"/>
        <xdr:cNvPicPr>
          <a:picLocks noChangeAspect="1"/>
        </xdr:cNvPicPr>
      </xdr:nvPicPr>
      <xdr:blipFill>
        <a:blip xmlns:r="http://schemas.openxmlformats.org/officeDocument/2006/relationships" r:embed="rId3"/>
        <a:stretch>
          <a:fillRect/>
        </a:stretch>
      </xdr:blipFill>
      <xdr:spPr>
        <a:xfrm>
          <a:off x="11430000" y="0"/>
          <a:ext cx="5942858" cy="80476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847276</xdr:colOff>
      <xdr:row>13</xdr:row>
      <xdr:rowOff>142579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90476" cy="2371429"/>
        </a:xfrm>
        <a:prstGeom prst="rect">
          <a:avLst/>
        </a:prstGeom>
      </xdr:spPr>
    </xdr:pic>
    <xdr:clientData/>
  </xdr:twoCellAnchor>
  <xdr:twoCellAnchor editAs="oneCell">
    <xdr:from>
      <xdr:col>5</xdr:col>
      <xdr:colOff>0</xdr:colOff>
      <xdr:row>0</xdr:row>
      <xdr:rowOff>0</xdr:rowOff>
    </xdr:from>
    <xdr:to>
      <xdr:col>9</xdr:col>
      <xdr:colOff>647276</xdr:colOff>
      <xdr:row>28</xdr:row>
      <xdr:rowOff>66067</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390476" cy="4866667"/>
        </a:xfrm>
        <a:prstGeom prst="rect">
          <a:avLst/>
        </a:prstGeom>
      </xdr:spPr>
    </xdr:pic>
    <xdr:clientData/>
  </xdr:twoCellAnchor>
  <xdr:twoCellAnchor editAs="oneCell">
    <xdr:from>
      <xdr:col>10</xdr:col>
      <xdr:colOff>0</xdr:colOff>
      <xdr:row>0</xdr:row>
      <xdr:rowOff>28575</xdr:rowOff>
    </xdr:from>
    <xdr:to>
      <xdr:col>15</xdr:col>
      <xdr:colOff>37667</xdr:colOff>
      <xdr:row>27</xdr:row>
      <xdr:rowOff>66092</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28575"/>
          <a:ext cx="3466667" cy="4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3" customWidth="1"/>
    <col min="2" max="2" width="78.25" style="2524" customWidth="1"/>
    <col min="3" max="18" width="9" style="2518"/>
    <col min="19" max="19" width="17.875" style="2518" customWidth="1"/>
    <col min="20" max="51" width="9" style="2518"/>
    <col min="52" max="52" width="13.25" style="2518" customWidth="1"/>
    <col min="53" max="53" width="13.5" style="2518" bestFit="1" customWidth="1"/>
    <col min="54" max="54" width="11.625" style="2518" bestFit="1" customWidth="1"/>
    <col min="55" max="55" width="13.5" style="2518" bestFit="1" customWidth="1"/>
    <col min="56" max="16384" width="9" style="2518"/>
  </cols>
  <sheetData>
    <row r="1" spans="1:55" s="2529" customFormat="1" ht="16.5" thickBot="1">
      <c r="A1" s="2527" t="s">
        <v>2372</v>
      </c>
      <c r="B1" s="2528" t="s">
        <v>2469</v>
      </c>
    </row>
    <row r="2" spans="1:55" s="2532" customFormat="1" ht="15" thickTop="1">
      <c r="A2" s="2530" t="s">
        <v>2376</v>
      </c>
      <c r="B2" s="2531" t="str">
        <f>'预评函-封皮'!B37</f>
        <v>出让国有建设用地使用权抵押价格预评估</v>
      </c>
      <c r="AX2" s="2533"/>
      <c r="AZ2" s="2533"/>
      <c r="BA2" s="2534"/>
      <c r="BC2" s="2534"/>
    </row>
    <row r="3" spans="1:55" s="2535" customFormat="1">
      <c r="A3" s="2514" t="s">
        <v>2377</v>
      </c>
      <c r="B3" s="2517">
        <f>'预评函-封皮'!B40</f>
        <v>0</v>
      </c>
    </row>
    <row r="4" spans="1:55" s="2516" customFormat="1">
      <c r="A4" s="2514" t="s">
        <v>2378</v>
      </c>
      <c r="B4" s="2515" t="str">
        <f>'预评函-封皮'!B46</f>
        <v>土地估价师、土地估价师</v>
      </c>
      <c r="N4" s="2516" t="str">
        <f>'预评函-1'!A28</f>
        <v>本次估价的“抵押净值”是指估价对象“抵押价格”减去估价对象在估价期日以“土地销售收入”为基数计算的预计抵押权实现进行处置时需缴纳的各项费用、税金等相关费用后的价格。</v>
      </c>
    </row>
    <row r="5" spans="1:55" s="2529" customFormat="1" ht="15" thickBot="1">
      <c r="A5" s="2536" t="s">
        <v>2379</v>
      </c>
      <c r="B5" s="2537" t="str">
        <f>'预评函-封皮'!B49</f>
        <v>康正预评字号</v>
      </c>
    </row>
    <row r="6" spans="1:55" s="2538" customFormat="1" ht="15" thickTop="1">
      <c r="A6" s="2530" t="s">
        <v>2421</v>
      </c>
      <c r="B6" s="2531" t="str">
        <f>'预评函-1'!A4</f>
        <v>受贵公司委托，我公司对出让国有建设用地使用权抵押价格进行了预评估。</v>
      </c>
      <c r="AM6" s="2539"/>
    </row>
    <row r="7" spans="1:55" s="2513" customFormat="1">
      <c r="A7" s="2514" t="s">
        <v>2373</v>
      </c>
      <c r="B7" s="2515" t="str">
        <f>'预评函-1'!A6</f>
        <v>估价对象为使用的、位于出让国有建设用地使用权。根据《国有土地使用证》[]，估价对象（分摊）出让国有建设用地使用权面积为23308.88平方米。根据《建设工程规划许可证》[]、《出让合同》[]，估价对象规划建筑面积为184715.46平方米。</v>
      </c>
    </row>
    <row r="8" spans="1:55" s="2513" customFormat="1">
      <c r="A8" s="2514" t="s">
        <v>2374</v>
      </c>
      <c r="B8" s="2515" t="str">
        <f>'预评函-1'!A7</f>
        <v xml:space="preserve">简述项目推广名，项目类型（用途），估价对象分布，各用途面积明细情况：XX用途建筑面积XX平方米，XX用途建筑面积XX平方米，……。复杂面积清单需设‘附表’列示：抵押物清单详见附表。        </v>
      </c>
    </row>
    <row r="9" spans="1:55" s="2513" customFormat="1">
      <c r="A9" s="2514" t="s">
        <v>2424</v>
      </c>
      <c r="B9" s="251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3" customFormat="1">
      <c r="A10" s="2514" t="s">
        <v>2375</v>
      </c>
      <c r="B10" s="2515" t="str">
        <f>'预评函-1'!A11</f>
        <v>2022年11月30日</v>
      </c>
    </row>
    <row r="11" spans="1:55" s="2513" customFormat="1">
      <c r="A11" s="2514" t="s">
        <v>2381</v>
      </c>
      <c r="B11" s="2515" t="str">
        <f>'预评函-1'!A14</f>
        <v>根据《国有土地使用证》[]，本次评估估价对象证载（地类）用途为。</v>
      </c>
    </row>
    <row r="12" spans="1:55" s="2513" customFormat="1">
      <c r="A12" s="2514" t="s">
        <v>2382</v>
      </c>
      <c r="B12" s="2515" t="str">
        <f>'预评函-1'!A15</f>
        <v>本次评估设定用途即为证载用途。</v>
      </c>
    </row>
    <row r="13" spans="1:55" s="2513" customFormat="1">
      <c r="A13" s="2514" t="s">
        <v>2383</v>
      </c>
      <c r="B13" s="2515" t="str">
        <f>'预评函-1'!A17</f>
        <v>根据委托估价方介绍及评估专业人员现场勘查，本次评估估价对象实际土地开发程度为红线外市政基础设施达“七通”（即、、、、、、）、宗地红线内场地平整。</v>
      </c>
    </row>
    <row r="14" spans="1:55" s="2513" customFormat="1">
      <c r="A14" s="2514" t="s">
        <v>2384</v>
      </c>
      <c r="B14" s="2515" t="str">
        <f>'预评函-1'!A18</f>
        <v>。本次评估设定土地开发程度为红线外市政基础设施达“七通”、宗地红线内场地平整。</v>
      </c>
    </row>
    <row r="15" spans="1:55" s="2513" customFormat="1">
      <c r="A15" s="2514" t="s">
        <v>2380</v>
      </c>
      <c r="B15" s="2515" t="str">
        <f>'预评函-1'!A20</f>
        <v>根据《国有土地使用证》[]，估价对象（分摊）出让国有建设用地使用权面积为23308.88平方米。根据《建设工程规划许可证》[]、《出让合同》[]，估价对象规划建筑面积为184715.46平方米。</v>
      </c>
    </row>
    <row r="16" spans="1:55" s="2513" customFormat="1">
      <c r="A16" s="2514" t="s">
        <v>2385</v>
      </c>
      <c r="B16" s="2515" t="str">
        <f>'预评函-1'!A22</f>
        <v>本次估价对象为出让国有建设用地使用权，《国有土地使用证》[]证载土地终止日期为住宅2088年3月14日、商业2058年3月14日地下车库2068年3月14日。截至估价期日，出让国有建设用地使用权剩余土地使用年限为。</v>
      </c>
    </row>
    <row r="17" spans="1:48" s="2513" customFormat="1">
      <c r="A17" s="2514" t="s">
        <v>2386</v>
      </c>
      <c r="B17" s="2515" t="str">
        <f>'预评函-1'!A23</f>
        <v>本次评估设定估价对象剩余土地使用年限为。</v>
      </c>
    </row>
    <row r="18" spans="1:48" s="2513" customFormat="1">
      <c r="A18" s="2514" t="s">
        <v>2387</v>
      </c>
      <c r="B18" s="2515" t="str">
        <f>'预评函-1'!A25</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row>
    <row r="19" spans="1:48" s="2513" customFormat="1">
      <c r="A19" s="2514" t="s">
        <v>2388</v>
      </c>
      <c r="B19" s="2515" t="str">
        <f>'预评函-1'!A26</f>
        <v>本次估价的“抵押价格”是指估价对象在估价期日的“出让国有建设用地使用权价格”扣减估价师于估价期日所知悉的法定优先受偿款后的余额。</v>
      </c>
    </row>
    <row r="20" spans="1:48" s="2513" customFormat="1">
      <c r="A20" s="2514" t="s">
        <v>2389</v>
      </c>
      <c r="B20" s="25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29" customFormat="1" ht="15" thickBot="1">
      <c r="A21" s="2536" t="s">
        <v>2390</v>
      </c>
      <c r="B21" s="25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5" t="s">
        <v>2391</v>
      </c>
      <c r="B22" s="25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4" t="s">
        <v>2392</v>
      </c>
      <c r="B23" s="2515" t="str">
        <f>'预评函-2'!K2</f>
        <v>估价期日：2022年11月30日</v>
      </c>
    </row>
    <row r="24" spans="1:48">
      <c r="A24" s="2514" t="s">
        <v>2393</v>
      </c>
      <c r="B24" s="2515" t="str">
        <f>'预评函-2'!R2</f>
        <v>估价期日的国有建设用地使用权性质：出让</v>
      </c>
    </row>
    <row r="25" spans="1:48">
      <c r="A25" s="2514" t="s">
        <v>2449</v>
      </c>
      <c r="B25" s="2515" t="str">
        <f>'预评函-2'!A3</f>
        <v>估价期日土地使用者</v>
      </c>
    </row>
    <row r="26" spans="1:48">
      <c r="A26" s="2514" t="s">
        <v>2425</v>
      </c>
      <c r="B26" s="2515" t="str">
        <f>'预评函-2'!A5</f>
        <v>中信开发</v>
      </c>
    </row>
    <row r="27" spans="1:48">
      <c r="A27" s="2514" t="s">
        <v>2450</v>
      </c>
      <c r="B27" s="2515" t="str">
        <f>'预评函-2'!B3</f>
        <v>宗地编号/不动产单元号</v>
      </c>
    </row>
    <row r="28" spans="1:48">
      <c r="A28" s="2514" t="s">
        <v>2426</v>
      </c>
      <c r="B28" s="2515" t="str">
        <f>'预评函-2'!B5</f>
        <v>11111111111</v>
      </c>
    </row>
    <row r="29" spans="1:48">
      <c r="A29" s="2514" t="s">
        <v>2452</v>
      </c>
      <c r="B29" s="2515">
        <f>'预评函-2'!C5</f>
        <v>22</v>
      </c>
    </row>
    <row r="30" spans="1:48">
      <c r="A30" s="2514" t="s">
        <v>2453</v>
      </c>
      <c r="B30" s="2515" t="str">
        <f>'预评函-2'!D3</f>
        <v>土地使用证编号/不动产权证书编号</v>
      </c>
    </row>
    <row r="31" spans="1:48">
      <c r="A31" s="2514" t="s">
        <v>2427</v>
      </c>
      <c r="B31" s="2515" t="str">
        <f>'预评函-2'!D5</f>
        <v>京国土字第111号</v>
      </c>
    </row>
    <row r="32" spans="1:48">
      <c r="A32" s="2514" t="s">
        <v>2428</v>
      </c>
      <c r="B32" s="2515">
        <f>'预评函-2'!E5</f>
        <v>0</v>
      </c>
      <c r="AV32" s="2519"/>
    </row>
    <row r="33" spans="1:2">
      <c r="A33" s="2514" t="s">
        <v>2429</v>
      </c>
      <c r="B33" s="2515">
        <f>'预评函-2'!F5</f>
        <v>258</v>
      </c>
    </row>
    <row r="34" spans="1:2">
      <c r="A34" s="2514" t="s">
        <v>2430</v>
      </c>
      <c r="B34" s="2515">
        <f>'预评函-2'!G5</f>
        <v>0</v>
      </c>
    </row>
    <row r="35" spans="1:2">
      <c r="A35" s="2514" t="s">
        <v>2431</v>
      </c>
      <c r="B35" s="2515">
        <f>'预评函-2'!H5</f>
        <v>1.5</v>
      </c>
    </row>
    <row r="36" spans="1:2">
      <c r="A36" s="2514" t="s">
        <v>2432</v>
      </c>
      <c r="B36" s="2515">
        <f>'预评函-2'!I5</f>
        <v>1.5</v>
      </c>
    </row>
    <row r="37" spans="1:2">
      <c r="A37" s="2514" t="s">
        <v>2433</v>
      </c>
      <c r="B37" s="2515">
        <f>'预评函-2'!J5</f>
        <v>1.5</v>
      </c>
    </row>
    <row r="38" spans="1:2">
      <c r="A38" s="2514" t="s">
        <v>2434</v>
      </c>
      <c r="B38" s="2515" t="str">
        <f>'预评函-2'!K5</f>
        <v>红线外七通、宗地红线内</v>
      </c>
    </row>
    <row r="39" spans="1:2">
      <c r="A39" s="2514" t="s">
        <v>2435</v>
      </c>
      <c r="B39" s="2515" t="str">
        <f>'预评函-2'!L5</f>
        <v>红线外七通、宗地红线内场地</v>
      </c>
    </row>
    <row r="40" spans="1:2">
      <c r="A40" s="2514" t="s">
        <v>2454</v>
      </c>
      <c r="B40" s="2515" t="str">
        <f>'预评函-2'!M3</f>
        <v>（剩余）土地使用年限/年</v>
      </c>
    </row>
    <row r="41" spans="1:2">
      <c r="A41" s="2514" t="s">
        <v>2436</v>
      </c>
      <c r="B41" s="2515">
        <f>'预评函-2'!M5</f>
        <v>0</v>
      </c>
    </row>
    <row r="42" spans="1:2">
      <c r="A42" s="2514" t="s">
        <v>2455</v>
      </c>
      <c r="B42" s="2515" t="str">
        <f>'预评函-2'!N3</f>
        <v>（分摊）出让国有建设用地使用权面积/㎡</v>
      </c>
    </row>
    <row r="43" spans="1:2">
      <c r="A43" s="2514" t="s">
        <v>2437</v>
      </c>
      <c r="B43" s="2515">
        <f>'预评函-2'!N5</f>
        <v>23308.880000000001</v>
      </c>
    </row>
    <row r="44" spans="1:2">
      <c r="A44" s="2514" t="s">
        <v>2456</v>
      </c>
      <c r="B44" s="2515" t="str">
        <f>'预评函-2'!O3</f>
        <v>规划建筑面积/㎡</v>
      </c>
    </row>
    <row r="45" spans="1:2">
      <c r="A45" s="2514" t="s">
        <v>2438</v>
      </c>
      <c r="B45" s="2515">
        <f>'预评函-2'!O5</f>
        <v>184715.46</v>
      </c>
    </row>
    <row r="46" spans="1:2">
      <c r="A46" s="2514" t="s">
        <v>2439</v>
      </c>
      <c r="B46" s="2515">
        <f ca="1">'预评函-2'!P5</f>
        <v>22168</v>
      </c>
    </row>
    <row r="47" spans="1:2">
      <c r="A47" s="2514" t="s">
        <v>2440</v>
      </c>
      <c r="B47" s="2515">
        <f ca="1">'预评函-2'!Q5</f>
        <v>2797</v>
      </c>
    </row>
    <row r="48" spans="1:2">
      <c r="A48" s="2514" t="s">
        <v>2441</v>
      </c>
      <c r="B48" s="2515">
        <f ca="1">'预评函-2'!R5</f>
        <v>51672</v>
      </c>
    </row>
    <row r="49" spans="1:2">
      <c r="A49" s="2514" t="s">
        <v>2457</v>
      </c>
      <c r="B49" s="2515" t="str">
        <f>'预评函-2'!A6</f>
        <v>抵押价格</v>
      </c>
    </row>
    <row r="50" spans="1:2">
      <c r="A50" s="2514" t="s">
        <v>2442</v>
      </c>
      <c r="B50" s="2515">
        <f ca="1">'预评函-2'!R6</f>
        <v>51672</v>
      </c>
    </row>
    <row r="51" spans="1:2">
      <c r="A51" s="2514" t="s">
        <v>2458</v>
      </c>
      <c r="B51" s="2515" t="str">
        <f>'预评函-2'!A7</f>
        <v>——</v>
      </c>
    </row>
    <row r="52" spans="1:2">
      <c r="A52" s="2514" t="s">
        <v>2443</v>
      </c>
      <c r="B52" s="2515" t="str">
        <f>'预评函-2'!R7</f>
        <v>——</v>
      </c>
    </row>
    <row r="53" spans="1:2">
      <c r="A53" s="2514" t="s">
        <v>2459</v>
      </c>
      <c r="B53" s="2515">
        <f>'预评函-2'!A8</f>
        <v>0</v>
      </c>
    </row>
    <row r="54" spans="1:2" s="2529" customFormat="1" ht="15" thickBot="1">
      <c r="A54" s="2536" t="s">
        <v>2444</v>
      </c>
      <c r="B54" s="2537" t="str">
        <f>'预评函-2'!R8</f>
        <v>——</v>
      </c>
    </row>
    <row r="55" spans="1:2" ht="15" thickTop="1">
      <c r="A55" s="2525" t="s">
        <v>2394</v>
      </c>
      <c r="B55" s="2526" t="str">
        <f>'预评函-3'!A2</f>
        <v>1.权利限制：根据估价对象《不动产权证书》原件、《国有土地使用权》复印件，截至估价期日，估价对象抵押权未见登记。未设定租赁等其他他项权利。</v>
      </c>
    </row>
    <row r="56" spans="1:2">
      <c r="A56" s="2514" t="s">
        <v>2395</v>
      </c>
      <c r="B56" s="2515" t="str">
        <f>'预评函-3'!A3</f>
        <v>2.基础设施条件：估价对象实际开发程度为红线外七通、宗地红线内；本次评估设定开发程度为红线外七通、宗地红线内场地。</v>
      </c>
    </row>
    <row r="57" spans="1:2">
      <c r="A57" s="2514" t="s">
        <v>2396</v>
      </c>
      <c r="B57" s="2515" t="str">
        <f>'预评函-3'!A4</f>
        <v>3.估价规划限制条件：详见《建设工程规划许可证》[]、《出让合同》[]。</v>
      </c>
    </row>
    <row r="58" spans="1:2" s="2529" customFormat="1" ht="15" thickBot="1">
      <c r="A58" s="2536" t="s">
        <v>2445</v>
      </c>
      <c r="B58" s="2537" t="str">
        <f>'预评函-3'!A5</f>
        <v>4.影响价格的其他限定条件：无。</v>
      </c>
    </row>
    <row r="59" spans="1:2" ht="15" thickTop="1">
      <c r="A59" s="2525" t="s">
        <v>2397</v>
      </c>
      <c r="B59" s="2526" t="str">
        <f>'预评函-3'!A8</f>
        <v>2.本《评估意见函》仅供金融机构进行内部审核使用，不做其他目的之用。</v>
      </c>
    </row>
    <row r="60" spans="1:2">
      <c r="A60" s="2514" t="s">
        <v>2398</v>
      </c>
      <c r="B60" s="2515" t="str">
        <f>'预评函-3'!A9</f>
        <v>3.抵押双方在办理抵押登记手续时，应使用本公司出具的正式《土地估价报告》，特提请报告使用者注意。</v>
      </c>
    </row>
    <row r="61" spans="1:2">
      <c r="A61" s="2514" t="s">
        <v>2400</v>
      </c>
      <c r="B61" s="2515" t="str">
        <f>'预评函-3'!A10</f>
        <v>4.估价师所知悉的法定优先受偿款情况为：</v>
      </c>
    </row>
    <row r="62" spans="1:2">
      <c r="A62" s="2514" t="s">
        <v>2399</v>
      </c>
      <c r="B62" s="251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4" t="s">
        <v>2401</v>
      </c>
      <c r="B63" s="25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4" t="s">
        <v>2402</v>
      </c>
      <c r="B64" s="2520" t="str">
        <f>'预评函-3'!A13</f>
        <v>（3）。</v>
      </c>
    </row>
    <row r="65" spans="1:2">
      <c r="A65" s="2514" t="s">
        <v>2403</v>
      </c>
      <c r="B65" s="2521" t="str">
        <f>'预评函-3'!A14</f>
        <v>综上，本次评估不存在估价师知悉的法定优先受偿款</v>
      </c>
    </row>
    <row r="66" spans="1:2">
      <c r="A66" s="2514" t="s">
        <v>2404</v>
      </c>
      <c r="B66" s="25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4" t="s">
        <v>2405</v>
      </c>
      <c r="B67" s="25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9" customFormat="1" ht="15" thickBot="1">
      <c r="A68" s="2536" t="s">
        <v>2408</v>
      </c>
      <c r="B68" s="2540">
        <f>'预评函-3'!D30</f>
        <v>42558</v>
      </c>
    </row>
    <row r="69" spans="1:2" ht="15" thickTop="1">
      <c r="A69" s="2525" t="s">
        <v>2406</v>
      </c>
      <c r="B69" s="2526" t="str">
        <f>'预评函-3'!A20</f>
        <v>土地估价师</v>
      </c>
    </row>
    <row r="70" spans="1:2">
      <c r="A70" s="2514" t="s">
        <v>2406</v>
      </c>
      <c r="B70" s="2521">
        <f>'预评函-3'!B20</f>
        <v>0</v>
      </c>
    </row>
    <row r="71" spans="1:2">
      <c r="A71" s="2514" t="s">
        <v>2407</v>
      </c>
      <c r="B71" s="2515" t="str">
        <f>'预评函-3'!A21</f>
        <v>土地估价师</v>
      </c>
    </row>
    <row r="72" spans="1:2" s="2529" customFormat="1" ht="15" thickBot="1">
      <c r="A72" s="2536" t="s">
        <v>2407</v>
      </c>
      <c r="B72" s="2542">
        <f>'预评函-3'!B21</f>
        <v>0</v>
      </c>
    </row>
    <row r="73" spans="1:2" ht="15" thickTop="1">
      <c r="A73" s="2525" t="s">
        <v>2466</v>
      </c>
      <c r="B73" s="25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4" t="s">
        <v>2467</v>
      </c>
      <c r="B74" s="2522" t="str">
        <f>'预评函-1 (储备)'!A18</f>
        <v>由于本次评估估价目的是评估储备国有建设用地使用权的“抵押价格”，因此本次评估设定土地开发程度为红线外市政基础设施达“七通”、宗地红线内场地平整。</v>
      </c>
    </row>
    <row r="75" spans="1:2" s="2529" customFormat="1" ht="15" thickBot="1">
      <c r="A75" s="2536" t="s">
        <v>2468</v>
      </c>
      <c r="B75" s="25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3" t="s">
        <v>2502</v>
      </c>
      <c r="B76" s="2524"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zoomScaleSheetLayoutView="80" workbookViewId="0">
      <selection activeCell="F13" sqref="F13:I13"/>
    </sheetView>
  </sheetViews>
  <sheetFormatPr defaultColWidth="10" defaultRowHeight="14.25"/>
  <cols>
    <col min="1" max="1" width="15.375" style="1565" customWidth="1"/>
    <col min="2" max="2" width="11.375" style="1565" customWidth="1"/>
    <col min="3" max="3" width="12.625" style="1565" customWidth="1"/>
    <col min="4" max="4" width="14.625" style="1565" customWidth="1"/>
    <col min="5" max="5" width="12.5" style="1565" customWidth="1"/>
    <col min="6" max="6" width="11.375" style="1565" customWidth="1"/>
    <col min="7" max="7" width="12.375" style="1565" customWidth="1"/>
    <col min="8" max="8" width="10" style="1565" customWidth="1"/>
    <col min="9" max="9" width="12.5" style="1566" customWidth="1"/>
    <col min="10" max="10" width="10" style="1565" customWidth="1"/>
    <col min="11" max="11" width="10" style="2974" customWidth="1"/>
    <col min="12" max="13" width="10" style="2975" customWidth="1"/>
    <col min="14" max="14" width="10" style="2960" customWidth="1"/>
    <col min="15" max="15" width="10" style="2976" customWidth="1"/>
    <col min="16" max="17" width="10" style="2960"/>
    <col min="18" max="18" width="10" style="2960" customWidth="1"/>
    <col min="19" max="28" width="10" style="2960"/>
    <col min="29" max="16384" width="10" style="1565"/>
  </cols>
  <sheetData>
    <row r="1" spans="1:21" ht="15" thickBot="1">
      <c r="A1" s="1538" t="s">
        <v>1728</v>
      </c>
      <c r="B1" s="3540" t="str">
        <f>IF(B10="北京市","北京市",C10)&amp;F10&amp;B16&amp;"国有建设用地使用权"&amp;B9&amp;"预评估"</f>
        <v>出让国有建设用地使用权抵押价格预评估</v>
      </c>
      <c r="C1" s="3541"/>
      <c r="D1" s="3541"/>
      <c r="E1" s="3541"/>
      <c r="F1" s="3541"/>
      <c r="G1" s="3541"/>
      <c r="H1" s="3541"/>
      <c r="I1" s="3542"/>
      <c r="J1" s="2978"/>
      <c r="K1" s="2261" t="str">
        <f>IF(B10="北京市","北京市",C10)&amp;F10&amp;B16&amp;"国有建设用地使用权"&amp;B9</f>
        <v>出让国有建设用地使用权抵押价格</v>
      </c>
      <c r="L1" s="2957"/>
      <c r="M1" s="2957"/>
      <c r="N1" s="2958"/>
      <c r="O1" s="2959"/>
      <c r="P1" s="2958"/>
      <c r="Q1" s="2958"/>
      <c r="R1" s="2958"/>
      <c r="S1" s="2958"/>
      <c r="T1" s="2958"/>
      <c r="U1" s="2958"/>
    </row>
    <row r="2" spans="1:21">
      <c r="A2" s="1539" t="s">
        <v>1729</v>
      </c>
      <c r="B2" s="1707"/>
      <c r="D2" s="2978"/>
      <c r="E2" s="2978"/>
      <c r="F2" s="2978"/>
      <c r="G2" s="2978"/>
      <c r="H2" s="2979"/>
      <c r="I2" s="2980"/>
      <c r="J2" s="2978"/>
      <c r="K2" s="2261" t="str">
        <f>IF(B10="北京市","北京市",C10)&amp;F10&amp;B16&amp;"国有建设用地使用权"</f>
        <v>出让国有建设用地使用权</v>
      </c>
      <c r="L2" s="2957"/>
      <c r="M2" s="2957"/>
      <c r="N2" s="2958"/>
      <c r="O2" s="2959"/>
      <c r="P2" s="2958"/>
      <c r="Q2" s="2958"/>
      <c r="R2" s="2958"/>
      <c r="S2" s="2958"/>
      <c r="T2" s="2958"/>
      <c r="U2" s="2958"/>
    </row>
    <row r="3" spans="1:21">
      <c r="A3" s="1540" t="s">
        <v>1730</v>
      </c>
      <c r="B3" s="1541"/>
      <c r="C3" s="2901" t="s">
        <v>1786</v>
      </c>
      <c r="D3" s="1541">
        <v>44895</v>
      </c>
      <c r="E3" s="2978"/>
      <c r="F3" s="2978"/>
      <c r="G3" s="2978"/>
      <c r="H3" s="2979"/>
      <c r="I3" s="2980"/>
      <c r="J3" s="2978"/>
      <c r="K3" s="2961"/>
      <c r="L3" s="2957"/>
      <c r="M3" s="2957"/>
      <c r="N3" s="2958"/>
      <c r="O3" s="2959"/>
      <c r="P3" s="2958"/>
      <c r="Q3" s="2958"/>
      <c r="R3" s="2958"/>
      <c r="S3" s="2958"/>
      <c r="T3" s="2958"/>
      <c r="U3" s="2958"/>
    </row>
    <row r="4" spans="1:21" ht="15" thickBot="1">
      <c r="A4" s="1543" t="s">
        <v>1731</v>
      </c>
      <c r="B4" s="1708" t="s">
        <v>2600</v>
      </c>
      <c r="C4" s="1711">
        <f>SUMIF(土地估价师,B4,估价师及机构信息!E3:E17)</f>
        <v>0</v>
      </c>
      <c r="D4" s="1708" t="s">
        <v>2600</v>
      </c>
      <c r="E4" s="1711">
        <f>SUMIF(土地估价师,D4,估价师及机构信息!E3:E17)</f>
        <v>0</v>
      </c>
      <c r="F4" s="1708" t="s">
        <v>930</v>
      </c>
      <c r="G4" s="1711">
        <f>SUMIF(土地估价师,F4,估价师及机构信息!E3:E17)</f>
        <v>0</v>
      </c>
      <c r="H4" s="1708" t="s">
        <v>930</v>
      </c>
      <c r="I4" s="1711">
        <f>SUMIF(土地估价师,H4,估价师及机构信息!E3:E17)</f>
        <v>0</v>
      </c>
      <c r="J4" s="2978"/>
      <c r="K4" s="2261" t="str">
        <f>IF(AND(F4="——",H4="——"),B4&amp;"、"&amp;D4,IF(AND(F4&lt;&gt;"——",H4="——"),B4&amp;"、"&amp;D4&amp;"、"&amp;F4,B4&amp;"、"&amp;D4&amp;"、"&amp;F4&amp;"、"&amp;H4))</f>
        <v>土地估价师、土地估价师</v>
      </c>
      <c r="L4" s="2957"/>
      <c r="M4" s="2957"/>
      <c r="N4" s="2958"/>
      <c r="O4" s="2959"/>
      <c r="P4" s="2958"/>
      <c r="Q4" s="2958"/>
      <c r="R4" s="2958"/>
      <c r="S4" s="2958"/>
      <c r="T4" s="2958"/>
      <c r="U4" s="2958"/>
    </row>
    <row r="5" spans="1:21" ht="15" thickTop="1">
      <c r="A5" s="1544" t="s">
        <v>1732</v>
      </c>
      <c r="B5" s="1655"/>
      <c r="C5" s="1545"/>
      <c r="D5" s="1546"/>
      <c r="E5" s="2978"/>
      <c r="F5" s="2978"/>
      <c r="G5" s="2978"/>
      <c r="H5" s="2979"/>
      <c r="I5" s="2980"/>
      <c r="J5" s="2978"/>
      <c r="K5" s="2961"/>
      <c r="L5" s="2957"/>
      <c r="M5" s="2957"/>
      <c r="N5" s="2958"/>
      <c r="O5" s="2959"/>
      <c r="P5" s="2958"/>
      <c r="Q5" s="2958"/>
      <c r="R5" s="2958"/>
      <c r="S5" s="2958"/>
      <c r="T5" s="2958"/>
      <c r="U5" s="2958"/>
    </row>
    <row r="6" spans="1:21" ht="26.25">
      <c r="A6" s="1542" t="s">
        <v>2422</v>
      </c>
      <c r="B6" s="1655"/>
      <c r="C6" s="1630"/>
      <c r="D6" s="1547"/>
      <c r="E6" s="2978"/>
      <c r="F6" s="2978"/>
      <c r="G6" s="2978"/>
      <c r="H6" s="2979"/>
      <c r="I6" s="2980"/>
      <c r="J6" s="2978"/>
      <c r="K6" s="2962" t="str">
        <f>IF(COUNTIF(B6,"*上海银行*"),"上海银行","")</f>
        <v/>
      </c>
      <c r="L6" s="2957"/>
      <c r="M6" s="2957"/>
      <c r="N6" s="2958"/>
      <c r="O6" s="2959"/>
      <c r="P6" s="2958"/>
      <c r="Q6" s="2958"/>
      <c r="R6" s="2958"/>
      <c r="S6" s="2958"/>
      <c r="T6" s="2958"/>
      <c r="U6" s="2958"/>
    </row>
    <row r="7" spans="1:21">
      <c r="A7" s="1548" t="s">
        <v>2423</v>
      </c>
      <c r="B7" s="1655"/>
      <c r="C7" s="1630"/>
      <c r="D7" s="1547"/>
      <c r="E7" s="2978"/>
      <c r="F7" s="2978"/>
      <c r="G7" s="2978"/>
      <c r="H7" s="2979"/>
      <c r="I7" s="2980"/>
      <c r="J7" s="2978"/>
      <c r="K7" s="2961"/>
      <c r="L7" s="2957"/>
      <c r="M7" s="2957"/>
      <c r="N7" s="2958"/>
      <c r="O7" s="2959"/>
      <c r="P7" s="2958"/>
      <c r="Q7" s="2958"/>
      <c r="R7" s="2958"/>
      <c r="S7" s="2958"/>
      <c r="T7" s="2958"/>
      <c r="U7" s="2958"/>
    </row>
    <row r="8" spans="1:21">
      <c r="A8" s="2902" t="s">
        <v>1733</v>
      </c>
      <c r="B8" s="1549" t="s">
        <v>2687</v>
      </c>
      <c r="C8" s="1550"/>
      <c r="D8" s="3546" t="s">
        <v>1735</v>
      </c>
      <c r="E8" s="1709" t="s">
        <v>3117</v>
      </c>
      <c r="F8" s="1551"/>
      <c r="G8" s="2979"/>
      <c r="H8" s="2979"/>
      <c r="I8" s="2982"/>
      <c r="J8" s="2978"/>
      <c r="K8" s="2961"/>
      <c r="L8" s="2957"/>
      <c r="M8" s="2957"/>
      <c r="N8" s="2958"/>
      <c r="O8" s="2959"/>
      <c r="P8" s="2958"/>
      <c r="Q8" s="2958"/>
      <c r="R8" s="2958"/>
      <c r="S8" s="2958"/>
      <c r="T8" s="2958"/>
      <c r="U8" s="2958"/>
    </row>
    <row r="9" spans="1:21" ht="15" thickBot="1">
      <c r="A9" s="2903" t="s">
        <v>1734</v>
      </c>
      <c r="B9" s="1552" t="s">
        <v>3117</v>
      </c>
      <c r="C9" s="1553"/>
      <c r="D9" s="3547"/>
      <c r="E9" s="1552"/>
      <c r="F9" s="1616"/>
      <c r="G9" s="2983"/>
      <c r="H9" s="2983"/>
      <c r="I9" s="2984"/>
      <c r="J9" s="2978"/>
      <c r="K9" s="2961"/>
      <c r="L9" s="2957"/>
      <c r="M9" s="2957"/>
      <c r="N9" s="2958"/>
      <c r="O9" s="2959"/>
      <c r="P9" s="2958"/>
      <c r="Q9" s="2958"/>
      <c r="R9" s="2958"/>
      <c r="S9" s="2958"/>
      <c r="T9" s="2958"/>
      <c r="U9" s="2958"/>
    </row>
    <row r="10" spans="1:21" ht="15" thickTop="1">
      <c r="A10" s="2904" t="s">
        <v>1790</v>
      </c>
      <c r="B10" s="1592" t="s">
        <v>3118</v>
      </c>
      <c r="C10" s="1554"/>
      <c r="D10" s="1546"/>
      <c r="E10" s="1555" t="s">
        <v>1737</v>
      </c>
      <c r="F10" s="1556"/>
      <c r="G10" s="1614"/>
      <c r="H10" s="1615"/>
      <c r="I10" s="1546"/>
      <c r="J10" s="2978"/>
      <c r="K10" s="2961"/>
      <c r="L10" s="2957"/>
      <c r="M10" s="2957"/>
      <c r="N10" s="2958"/>
      <c r="O10" s="2959"/>
      <c r="P10" s="2958"/>
      <c r="Q10" s="2958"/>
      <c r="R10" s="2958"/>
      <c r="S10" s="2958"/>
      <c r="T10" s="2958"/>
      <c r="U10" s="2958"/>
    </row>
    <row r="11" spans="1:21">
      <c r="A11" s="2905" t="s">
        <v>1791</v>
      </c>
      <c r="B11" s="1571" t="s">
        <v>3119</v>
      </c>
      <c r="C11" s="1557"/>
      <c r="D11" s="1631"/>
      <c r="E11" s="2977"/>
      <c r="F11" s="2977"/>
      <c r="G11" s="2977"/>
      <c r="H11" s="2977"/>
      <c r="I11" s="2977"/>
      <c r="J11" s="2978"/>
      <c r="K11" s="2961"/>
      <c r="L11" s="2957"/>
      <c r="M11" s="2957"/>
      <c r="N11" s="2958"/>
      <c r="O11" s="2959"/>
      <c r="P11" s="2958"/>
      <c r="Q11" s="2958"/>
      <c r="R11" s="2958"/>
      <c r="S11" s="2958"/>
      <c r="T11" s="2958"/>
      <c r="U11" s="2958"/>
    </row>
    <row r="12" spans="1:21">
      <c r="A12" s="1651" t="s">
        <v>1849</v>
      </c>
      <c r="B12" s="3543"/>
      <c r="C12" s="3544"/>
      <c r="D12" s="3545"/>
      <c r="E12" s="1572" t="s">
        <v>1852</v>
      </c>
      <c r="F12" s="3561" t="s">
        <v>2601</v>
      </c>
      <c r="G12" s="3562"/>
      <c r="H12" s="3562"/>
      <c r="I12" s="3563"/>
      <c r="J12" s="2978"/>
      <c r="K12" s="2961"/>
      <c r="L12" s="2957"/>
      <c r="M12" s="2957"/>
      <c r="N12" s="2958"/>
      <c r="O12" s="2959"/>
      <c r="P12" s="2958"/>
      <c r="Q12" s="2958"/>
      <c r="R12" s="2958"/>
      <c r="S12" s="2958"/>
      <c r="T12" s="2958"/>
      <c r="U12" s="2958"/>
    </row>
    <row r="13" spans="1:21">
      <c r="A13" s="1563" t="s">
        <v>1850</v>
      </c>
      <c r="B13" s="3543"/>
      <c r="C13" s="3544"/>
      <c r="D13" s="3545"/>
      <c r="E13" s="1572" t="s">
        <v>1852</v>
      </c>
      <c r="F13" s="3561" t="s">
        <v>2602</v>
      </c>
      <c r="G13" s="3562"/>
      <c r="H13" s="3562"/>
      <c r="I13" s="3563"/>
      <c r="J13" s="2978"/>
      <c r="K13" s="2961"/>
      <c r="L13" s="2957"/>
      <c r="M13" s="2957"/>
      <c r="N13" s="2958"/>
      <c r="O13" s="2959"/>
      <c r="P13" s="2958"/>
      <c r="Q13" s="2958"/>
      <c r="R13" s="2958"/>
      <c r="S13" s="2958"/>
      <c r="T13" s="2958"/>
      <c r="U13" s="2958"/>
    </row>
    <row r="14" spans="1:21">
      <c r="A14" s="1540" t="s">
        <v>1853</v>
      </c>
      <c r="B14" s="1572"/>
      <c r="C14" s="1710" t="s">
        <v>3120</v>
      </c>
      <c r="D14" s="1606" t="str">
        <f>IF(C14="不一致","是否符合证载地类范围","")</f>
        <v/>
      </c>
      <c r="E14" s="1572"/>
      <c r="F14" s="1656" t="s">
        <v>3121</v>
      </c>
      <c r="G14" s="1601"/>
      <c r="H14" s="1601"/>
      <c r="I14" s="1703"/>
      <c r="J14" s="2978"/>
      <c r="K14" s="2961"/>
      <c r="L14" s="2957"/>
      <c r="M14" s="2957"/>
      <c r="N14" s="2958"/>
      <c r="O14" s="2959"/>
      <c r="P14" s="2958"/>
      <c r="Q14" s="2958"/>
      <c r="R14" s="2958"/>
      <c r="S14" s="2958"/>
      <c r="T14" s="2958"/>
      <c r="U14" s="2958"/>
    </row>
    <row r="15" spans="1:21" hidden="1">
      <c r="A15" s="2406"/>
      <c r="B15" s="1542"/>
      <c r="C15" s="1542"/>
      <c r="D15" s="1635" t="s">
        <v>1740</v>
      </c>
      <c r="E15" s="1635" t="s">
        <v>1741</v>
      </c>
      <c r="F15" s="1635" t="s">
        <v>1742</v>
      </c>
      <c r="G15" s="1562" t="s">
        <v>1743</v>
      </c>
      <c r="H15" s="1562" t="s">
        <v>1744</v>
      </c>
      <c r="I15" s="1562" t="s">
        <v>1745</v>
      </c>
      <c r="J15" s="2978"/>
      <c r="K15" s="2961"/>
      <c r="L15" s="2957"/>
      <c r="M15" s="2957"/>
      <c r="N15" s="2958"/>
      <c r="O15" s="2959"/>
      <c r="P15" s="2958"/>
      <c r="Q15" s="2958"/>
      <c r="R15" s="2958"/>
      <c r="S15" s="2958"/>
      <c r="T15" s="2958"/>
      <c r="U15" s="2958"/>
    </row>
    <row r="16" spans="1:21" ht="42.75">
      <c r="A16" s="2906" t="s">
        <v>1738</v>
      </c>
      <c r="B16" s="1558" t="s">
        <v>3122</v>
      </c>
      <c r="C16" s="1572" t="s">
        <v>1739</v>
      </c>
      <c r="D16" s="2407" t="s">
        <v>1740</v>
      </c>
      <c r="E16" s="1595" t="s">
        <v>3123</v>
      </c>
      <c r="F16" s="1595"/>
      <c r="G16" s="1595" t="s">
        <v>35</v>
      </c>
      <c r="H16" s="1595"/>
      <c r="I16" s="1562" t="s">
        <v>1745</v>
      </c>
      <c r="J16" s="2978"/>
      <c r="K16" s="2262" t="str">
        <f>IF(D17="","",D16&amp;TEXT(D17,"yyyy年m月d日;;"))</f>
        <v>住宅2088年3月14日</v>
      </c>
      <c r="L16" s="1572" t="str">
        <f>IF(OR(K16="",M16=""),"","、")</f>
        <v>、</v>
      </c>
      <c r="M16" s="2262" t="str">
        <f>IF(E17="","",E16&amp;TEXT(E17,"yyyy年m月d日;;"))</f>
        <v>商业2058年3月14日</v>
      </c>
      <c r="N16" s="1572" t="str">
        <f>IF(OR(M16="",O16=""),"","、")</f>
        <v/>
      </c>
      <c r="O16" s="2262" t="str">
        <f>IF(F17="","",F16&amp;TEXT(F17,"yyyy年m月d日;;"))</f>
        <v/>
      </c>
      <c r="P16" s="1572" t="str">
        <f>IF(OR(O16="",Q16=""),"","、")</f>
        <v/>
      </c>
      <c r="Q16" s="2262" t="str">
        <f>IF(G17="","",G16&amp;TEXT(G17,"yyyy年m月d日;;"))</f>
        <v>地下车库2068年3月14日</v>
      </c>
      <c r="R16" s="1572" t="str">
        <f>IF(OR(Q16="",S16=""),"","、")</f>
        <v/>
      </c>
      <c r="S16" s="2262" t="str">
        <f>IF(H17="","",H16&amp;TEXT(H17,"yyyy年m月d日;;"))</f>
        <v/>
      </c>
      <c r="T16" s="1572" t="str">
        <f>IF(OR(S16="",U16=""),"","、")</f>
        <v/>
      </c>
      <c r="U16" s="2262" t="str">
        <f>IF(I17="","",I16&amp;TEXT(I17,"yyyy年m月d日;;"))</f>
        <v/>
      </c>
    </row>
    <row r="17" spans="1:21">
      <c r="A17" s="1632"/>
      <c r="B17" s="1559"/>
      <c r="C17" s="2907" t="s">
        <v>1746</v>
      </c>
      <c r="D17" s="1573">
        <v>68741</v>
      </c>
      <c r="E17" s="1573">
        <v>57783</v>
      </c>
      <c r="F17" s="1573"/>
      <c r="G17" s="1573">
        <v>61436</v>
      </c>
      <c r="H17" s="1573"/>
      <c r="I17" s="1573"/>
      <c r="J17" s="2978"/>
      <c r="K17" s="2956" t="str">
        <f>CONCATENATE(K16,L16,M16,N16,O16,P16,Q16,R16,S16,T16,,U16)</f>
        <v>住宅2088年3月14日、商业2058年3月14日地下车库2068年3月14日</v>
      </c>
      <c r="L17" s="2957"/>
      <c r="M17" s="2957"/>
      <c r="N17" s="2958"/>
      <c r="O17" s="2959"/>
      <c r="P17" s="2958"/>
      <c r="Q17" s="2958"/>
      <c r="R17" s="2958"/>
      <c r="S17" s="2958"/>
      <c r="T17" s="2958"/>
      <c r="U17" s="2958"/>
    </row>
    <row r="18" spans="1:21">
      <c r="A18" s="1632"/>
      <c r="B18" s="1559"/>
      <c r="C18" s="2907" t="s">
        <v>1747</v>
      </c>
      <c r="D18" s="1560">
        <v>70</v>
      </c>
      <c r="E18" s="1560">
        <v>40</v>
      </c>
      <c r="F18" s="1560"/>
      <c r="G18" s="1560">
        <v>50</v>
      </c>
      <c r="H18" s="1560"/>
      <c r="I18" s="1560"/>
      <c r="J18" s="2978"/>
      <c r="K18" s="2961"/>
      <c r="L18" s="2957"/>
      <c r="M18" s="2957"/>
      <c r="N18" s="2958"/>
      <c r="O18" s="2959"/>
      <c r="P18" s="2958"/>
      <c r="Q18" s="2958"/>
      <c r="R18" s="2958"/>
      <c r="S18" s="2958"/>
      <c r="T18" s="2958"/>
      <c r="U18" s="2958"/>
    </row>
    <row r="19" spans="1:21">
      <c r="A19" s="1632"/>
      <c r="B19" s="1559"/>
      <c r="C19" s="1539" t="s">
        <v>1748</v>
      </c>
      <c r="D19" s="1627">
        <f>IF(B16="出让",IF(D17="","",ROUNDDOWN(MIN((D17-$D$3)/365,D18),2)),D18)</f>
        <v>65.33</v>
      </c>
      <c r="E19" s="1561">
        <f>IF(B16="出让",IF(E17="","",ROUNDDOWN(MIN((E17-$D$3)/365,E18),2)),E18)</f>
        <v>35.299999999999997</v>
      </c>
      <c r="F19" s="1561" t="str">
        <f>IF(B16="出让",IF(F17="","",ROUNDDOWN(MIN((F17-$D$3)/365,F18),2)),F18)</f>
        <v/>
      </c>
      <c r="G19" s="1561">
        <f>IF(B16="出让",IF(G17="","",ROUNDDOWN(MIN((G17-$D$3)/365,G18),2)),G18)</f>
        <v>45.31</v>
      </c>
      <c r="H19" s="1561" t="str">
        <f>IF(B16="出让",IF(H17="","",ROUNDDOWN(MIN((H17-$D$3)/365,H18),2)),H18)</f>
        <v/>
      </c>
      <c r="I19" s="1561" t="str">
        <f>IF(B16="出让",IF(I17="","",ROUNDDOWN(MIN((I17-$D$3)/365,I18),2)),I18)</f>
        <v/>
      </c>
      <c r="J19" s="2978"/>
      <c r="K19" s="2961"/>
      <c r="L19" s="2957"/>
      <c r="M19" s="2957"/>
      <c r="N19" s="2958"/>
      <c r="O19" s="2959"/>
      <c r="P19" s="2958"/>
      <c r="Q19" s="2958"/>
      <c r="R19" s="2958"/>
      <c r="S19" s="2958"/>
      <c r="T19" s="2958"/>
      <c r="U19" s="2958"/>
    </row>
    <row r="20" spans="1:21">
      <c r="A20" s="1652"/>
      <c r="B20" s="1653"/>
      <c r="C20" s="1654" t="s">
        <v>1851</v>
      </c>
      <c r="D20" s="3558"/>
      <c r="E20" s="3559"/>
      <c r="F20" s="3559"/>
      <c r="G20" s="3559"/>
      <c r="H20" s="3559"/>
      <c r="I20" s="3560"/>
      <c r="J20" s="2978"/>
      <c r="K20" s="2961"/>
      <c r="L20" s="2957"/>
      <c r="M20" s="2957"/>
      <c r="N20" s="2958"/>
      <c r="O20" s="2959"/>
      <c r="P20" s="2958"/>
      <c r="Q20" s="2958"/>
      <c r="R20" s="2958"/>
      <c r="S20" s="2958"/>
      <c r="T20" s="2958"/>
      <c r="U20" s="2958"/>
    </row>
    <row r="21" spans="1:21">
      <c r="A21" s="1632" t="s">
        <v>1749</v>
      </c>
      <c r="B21" s="1633" t="s">
        <v>1750</v>
      </c>
      <c r="C21" s="1628">
        <f>'数据-汇总表'!E3</f>
        <v>184715.46</v>
      </c>
      <c r="D21" s="1629" t="s">
        <v>1751</v>
      </c>
      <c r="E21" s="3548" t="s">
        <v>1789</v>
      </c>
      <c r="F21" s="3549"/>
      <c r="G21" s="3549"/>
      <c r="H21" s="3549"/>
      <c r="I21" s="3550"/>
      <c r="J21" s="2978"/>
      <c r="K21" s="2961"/>
      <c r="L21" s="2957"/>
      <c r="M21" s="2957"/>
      <c r="N21" s="2958"/>
      <c r="O21" s="2959"/>
      <c r="P21" s="2958"/>
      <c r="Q21" s="2958"/>
      <c r="R21" s="2958"/>
      <c r="S21" s="2958"/>
      <c r="T21" s="2958"/>
      <c r="U21" s="2958"/>
    </row>
    <row r="22" spans="1:21">
      <c r="A22" s="2716" t="s">
        <v>930</v>
      </c>
      <c r="B22" s="1540" t="s">
        <v>1752</v>
      </c>
      <c r="C22" s="1562">
        <f>'数据-汇总表'!D3</f>
        <v>23308.880000000001</v>
      </c>
      <c r="D22" s="1563" t="s">
        <v>1751</v>
      </c>
      <c r="E22" s="3548" t="s">
        <v>2603</v>
      </c>
      <c r="F22" s="3549"/>
      <c r="G22" s="3549"/>
      <c r="H22" s="3549"/>
      <c r="I22" s="3550"/>
      <c r="J22" s="2978"/>
      <c r="K22" s="2961"/>
      <c r="L22" s="2957"/>
      <c r="M22" s="2957"/>
      <c r="N22" s="2958"/>
      <c r="O22" s="2959"/>
      <c r="P22" s="2958"/>
      <c r="Q22" s="2958"/>
      <c r="R22" s="2958"/>
      <c r="S22" s="2958"/>
      <c r="T22" s="2958"/>
      <c r="U22" s="2958"/>
    </row>
    <row r="23" spans="1:21" ht="29.25" thickBot="1">
      <c r="A23" s="1634" t="s">
        <v>1753</v>
      </c>
      <c r="B23" s="1574" t="s">
        <v>1754</v>
      </c>
      <c r="C23" s="1575"/>
      <c r="D23" s="1576" t="s">
        <v>1755</v>
      </c>
      <c r="E23" s="1577"/>
      <c r="F23" s="1578" t="str">
        <f>IF(AND(C23="是",E23="否"),"是否提供他项权证或相关说明","")</f>
        <v/>
      </c>
      <c r="G23" s="1579"/>
      <c r="H23" s="2978"/>
      <c r="I23" s="2982"/>
      <c r="J23" s="2978"/>
      <c r="K23" s="2961"/>
      <c r="L23" s="2957"/>
      <c r="M23" s="2957"/>
      <c r="N23" s="2958"/>
      <c r="O23" s="2959"/>
      <c r="P23" s="2958"/>
      <c r="Q23" s="2958"/>
      <c r="R23" s="2958"/>
      <c r="S23" s="2958"/>
      <c r="T23" s="2958"/>
      <c r="U23" s="2958"/>
    </row>
    <row r="24" spans="1:21">
      <c r="A24" s="1619" t="s">
        <v>1756</v>
      </c>
      <c r="B24" s="3551" t="s">
        <v>1757</v>
      </c>
      <c r="C24" s="3552"/>
      <c r="D24" s="3553" t="s">
        <v>1758</v>
      </c>
      <c r="E24" s="3554"/>
      <c r="F24" s="1581" t="s">
        <v>1759</v>
      </c>
      <c r="G24" s="2978"/>
      <c r="H24" s="2978"/>
      <c r="I24" s="2982"/>
      <c r="J24" s="2978"/>
      <c r="K24" s="3539" t="s">
        <v>1760</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58"/>
      <c r="O24" s="2959"/>
      <c r="P24" s="2958"/>
      <c r="Q24" s="2958"/>
      <c r="R24" s="2958"/>
      <c r="S24" s="2958"/>
      <c r="T24" s="2958"/>
      <c r="U24" s="2958"/>
    </row>
    <row r="25" spans="1:21" ht="28.5">
      <c r="A25" s="1620"/>
      <c r="B25" s="1617" t="s">
        <v>2114</v>
      </c>
      <c r="C25" s="1582" t="s">
        <v>1761</v>
      </c>
      <c r="D25" s="1583"/>
      <c r="E25" s="1584" t="s">
        <v>930</v>
      </c>
      <c r="F25" s="1585"/>
      <c r="G25" s="2978"/>
      <c r="H25" s="2978"/>
      <c r="I25" s="2982"/>
      <c r="J25" s="2978"/>
      <c r="K25" s="3539"/>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58"/>
      <c r="O25" s="2959"/>
      <c r="P25" s="2958"/>
      <c r="Q25" s="2958"/>
      <c r="R25" s="2958"/>
      <c r="S25" s="2958"/>
      <c r="T25" s="2958"/>
      <c r="U25" s="2958"/>
    </row>
    <row r="26" spans="1:21" ht="29.25" thickBot="1">
      <c r="A26" s="1621"/>
      <c r="B26" s="1618" t="s">
        <v>1762</v>
      </c>
      <c r="C26" s="1582" t="s">
        <v>2115</v>
      </c>
      <c r="D26" s="2979"/>
      <c r="E26" s="2979"/>
      <c r="F26" s="2985"/>
      <c r="G26" s="2978"/>
      <c r="H26" s="2978"/>
      <c r="I26" s="2982"/>
      <c r="J26" s="2978"/>
      <c r="K26" s="3539"/>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58"/>
      <c r="O26" s="2959"/>
      <c r="P26" s="2958"/>
      <c r="Q26" s="2958"/>
      <c r="R26" s="2958"/>
      <c r="S26" s="2958"/>
      <c r="T26" s="2958"/>
      <c r="U26" s="2958"/>
    </row>
    <row r="27" spans="1:21">
      <c r="A27" s="1624" t="s">
        <v>1763</v>
      </c>
      <c r="B27" s="1622" t="s">
        <v>1764</v>
      </c>
      <c r="C27" s="1586"/>
      <c r="D27" s="2412" t="s">
        <v>1764</v>
      </c>
      <c r="E27" s="1587"/>
      <c r="F27" s="2985"/>
      <c r="G27" s="2978"/>
      <c r="H27" s="2978"/>
      <c r="I27" s="2982"/>
      <c r="J27" s="2978"/>
      <c r="K27" s="2961"/>
      <c r="L27" s="2957"/>
      <c r="M27" s="2957"/>
      <c r="N27" s="2958"/>
      <c r="O27" s="2959"/>
      <c r="P27" s="2958"/>
      <c r="Q27" s="2958"/>
      <c r="R27" s="2958"/>
      <c r="S27" s="2958"/>
      <c r="T27" s="2958"/>
      <c r="U27" s="2958"/>
    </row>
    <row r="28" spans="1:21">
      <c r="A28" s="1625"/>
      <c r="B28" s="1622" t="s">
        <v>1765</v>
      </c>
      <c r="C28" s="1588"/>
      <c r="D28" s="2413" t="s">
        <v>1765</v>
      </c>
      <c r="E28" s="1589"/>
      <c r="F28" s="2985"/>
      <c r="G28" s="2978"/>
      <c r="H28" s="2978"/>
      <c r="I28" s="2982"/>
      <c r="J28" s="2978"/>
      <c r="K28" s="2961"/>
      <c r="L28" s="2957"/>
      <c r="M28" s="2957"/>
      <c r="N28" s="2958"/>
      <c r="O28" s="2959"/>
      <c r="P28" s="2958"/>
      <c r="Q28" s="2958"/>
      <c r="R28" s="2958"/>
      <c r="S28" s="2958"/>
      <c r="T28" s="2958"/>
      <c r="U28" s="2958"/>
    </row>
    <row r="29" spans="1:21">
      <c r="A29" s="1625"/>
      <c r="B29" s="1622" t="s">
        <v>1766</v>
      </c>
      <c r="C29" s="1588"/>
      <c r="D29" s="2413" t="s">
        <v>1766</v>
      </c>
      <c r="E29" s="1589"/>
      <c r="F29" s="2985"/>
      <c r="G29" s="2978"/>
      <c r="H29" s="2978"/>
      <c r="I29" s="2982"/>
      <c r="J29" s="2978"/>
      <c r="K29" s="2961"/>
      <c r="L29" s="2957"/>
      <c r="M29" s="2957"/>
      <c r="N29" s="2958"/>
      <c r="O29" s="2959"/>
      <c r="P29" s="2958"/>
      <c r="Q29" s="2958"/>
      <c r="R29" s="2958"/>
      <c r="S29" s="2958"/>
      <c r="T29" s="2958"/>
      <c r="U29" s="2958"/>
    </row>
    <row r="30" spans="1:21" ht="15" thickBot="1">
      <c r="A30" s="1626"/>
      <c r="B30" s="1623" t="s">
        <v>1767</v>
      </c>
      <c r="C30" s="1590"/>
      <c r="D30" s="2414" t="s">
        <v>1767</v>
      </c>
      <c r="E30" s="1591"/>
      <c r="F30" s="2986"/>
      <c r="G30" s="2983"/>
      <c r="H30" s="2983"/>
      <c r="I30" s="2984"/>
      <c r="J30" s="2978"/>
      <c r="K30" s="2961"/>
      <c r="L30" s="2957"/>
      <c r="M30" s="2957"/>
      <c r="N30" s="2958"/>
      <c r="O30" s="2959"/>
      <c r="P30" s="2958"/>
      <c r="Q30" s="2958"/>
      <c r="R30" s="2958"/>
      <c r="S30" s="2958"/>
      <c r="T30" s="2958"/>
      <c r="U30" s="2958"/>
    </row>
    <row r="31" spans="1:21" ht="15" thickTop="1">
      <c r="A31" s="3525" t="s">
        <v>1792</v>
      </c>
      <c r="B31" s="1633" t="s">
        <v>1793</v>
      </c>
      <c r="C31" s="3564"/>
      <c r="D31" s="3565"/>
      <c r="E31" s="2978"/>
      <c r="F31" s="2978"/>
      <c r="G31" s="2978"/>
      <c r="H31" s="2978"/>
      <c r="I31" s="2982"/>
      <c r="J31" s="2978"/>
      <c r="K31" s="2964"/>
      <c r="L31" s="2958"/>
      <c r="M31" s="2958"/>
      <c r="N31" s="2958"/>
      <c r="O31" s="2958"/>
      <c r="P31" s="2958"/>
      <c r="Q31" s="2958"/>
      <c r="R31" s="2958"/>
      <c r="S31" s="2958"/>
      <c r="T31" s="2958"/>
      <c r="U31" s="2958"/>
    </row>
    <row r="32" spans="1:21">
      <c r="A32" s="3525"/>
      <c r="B32" s="1540" t="s">
        <v>1794</v>
      </c>
      <c r="C32" s="1592"/>
      <c r="D32" s="1593"/>
      <c r="E32" s="2978"/>
      <c r="F32" s="2978"/>
      <c r="G32" s="2978"/>
      <c r="H32" s="2978"/>
      <c r="I32" s="2982"/>
      <c r="J32" s="2978"/>
      <c r="K32" s="2964"/>
      <c r="L32" s="2958"/>
      <c r="M32" s="2958"/>
      <c r="N32" s="2958"/>
      <c r="O32" s="2958"/>
      <c r="P32" s="2958"/>
      <c r="Q32" s="2958"/>
      <c r="R32" s="2958"/>
      <c r="S32" s="2958"/>
      <c r="T32" s="2958"/>
      <c r="U32" s="2958"/>
    </row>
    <row r="33" spans="1:28">
      <c r="A33" s="3525"/>
      <c r="B33" s="1540" t="s">
        <v>1795</v>
      </c>
      <c r="C33" s="1594"/>
      <c r="D33" s="1704"/>
      <c r="E33" s="2978"/>
      <c r="F33" s="2978"/>
      <c r="G33" s="2978"/>
      <c r="H33" s="2978"/>
      <c r="I33" s="2982"/>
      <c r="J33" s="2978"/>
      <c r="K33" s="2964"/>
      <c r="L33" s="2958"/>
      <c r="M33" s="2958"/>
      <c r="N33" s="2958"/>
      <c r="O33" s="2958"/>
      <c r="P33" s="2958"/>
      <c r="Q33" s="2958"/>
      <c r="R33" s="2958"/>
      <c r="S33" s="2958"/>
      <c r="T33" s="2958"/>
      <c r="U33" s="2958"/>
    </row>
    <row r="34" spans="1:28">
      <c r="A34" s="3526"/>
      <c r="B34" s="1540" t="s">
        <v>1796</v>
      </c>
      <c r="C34" s="3527"/>
      <c r="D34" s="3528"/>
      <c r="E34" s="2978"/>
      <c r="F34" s="2978"/>
      <c r="G34" s="2978"/>
      <c r="H34" s="2978"/>
      <c r="I34" s="2982"/>
      <c r="J34" s="2978"/>
      <c r="K34" s="2964"/>
      <c r="L34" s="2958"/>
      <c r="M34" s="2958"/>
      <c r="N34" s="2958"/>
      <c r="O34" s="2958"/>
      <c r="P34" s="2958"/>
      <c r="Q34" s="2958"/>
      <c r="R34" s="2958"/>
      <c r="S34" s="2958"/>
      <c r="T34" s="2958"/>
      <c r="U34" s="2958"/>
    </row>
    <row r="35" spans="1:28">
      <c r="A35" s="3529" t="s">
        <v>826</v>
      </c>
      <c r="B35" s="1595"/>
      <c r="C35" s="1642" t="str">
        <f>IF(B35="场地平整","——","具体情况：")</f>
        <v>具体情况：</v>
      </c>
      <c r="D35" s="3531"/>
      <c r="E35" s="3532"/>
      <c r="F35" s="3532"/>
      <c r="G35" s="3532"/>
      <c r="H35" s="3532"/>
      <c r="I35" s="3533"/>
      <c r="J35" s="2978"/>
      <c r="K35" s="2965"/>
      <c r="L35" s="2957"/>
      <c r="M35" s="2957"/>
      <c r="N35" s="2958"/>
      <c r="O35" s="2959"/>
      <c r="P35" s="2958"/>
      <c r="Q35" s="2958"/>
      <c r="R35" s="2958"/>
      <c r="S35" s="2958"/>
      <c r="T35" s="2958"/>
      <c r="U35" s="2958"/>
    </row>
    <row r="36" spans="1:28">
      <c r="A36" s="3525"/>
      <c r="B36" s="3534" t="s">
        <v>1845</v>
      </c>
      <c r="C36" s="3535"/>
      <c r="D36" s="1658"/>
      <c r="E36" s="3536"/>
      <c r="F36" s="3536"/>
      <c r="G36" s="1563" t="str">
        <f>IF(B35="场地未平整","估价结果处理","")</f>
        <v/>
      </c>
      <c r="H36" s="3537"/>
      <c r="I36" s="3537"/>
      <c r="J36" s="2978"/>
      <c r="K36" s="2965"/>
      <c r="L36" s="2957"/>
      <c r="M36" s="2957"/>
      <c r="N36" s="2958"/>
      <c r="O36" s="2959"/>
      <c r="P36" s="2958"/>
      <c r="Q36" s="2958"/>
      <c r="R36" s="2958"/>
      <c r="S36" s="2958"/>
      <c r="T36" s="2958"/>
      <c r="U36" s="2958"/>
    </row>
    <row r="37" spans="1:28" ht="28.5">
      <c r="A37" s="3525"/>
      <c r="B37" s="3555" t="s">
        <v>827</v>
      </c>
      <c r="C37" s="1597" t="s">
        <v>828</v>
      </c>
      <c r="D37" s="1598"/>
      <c r="E37" s="1599"/>
      <c r="F37" s="2978"/>
      <c r="G37" s="2978"/>
      <c r="H37" s="2978"/>
      <c r="I37" s="2982"/>
      <c r="J37" s="2978"/>
      <c r="K37" s="2965"/>
      <c r="L37" s="2958"/>
      <c r="M37" s="2958"/>
      <c r="N37" s="2958"/>
      <c r="O37" s="2958"/>
      <c r="P37" s="2958"/>
      <c r="Q37" s="2958"/>
      <c r="R37" s="2958"/>
      <c r="S37" s="2958"/>
      <c r="T37" s="2958"/>
      <c r="U37" s="2958"/>
    </row>
    <row r="38" spans="1:28">
      <c r="A38" s="3525"/>
      <c r="B38" s="3556"/>
      <c r="C38" s="1548" t="s">
        <v>829</v>
      </c>
      <c r="D38" s="1657">
        <f>ROUNDDOWN(MIN(('数据-取费表'!$B$2-D37)/365,D34),1)</f>
        <v>123</v>
      </c>
      <c r="E38" s="1600" t="s">
        <v>830</v>
      </c>
      <c r="F38" s="2978"/>
      <c r="G38" s="2978"/>
      <c r="H38" s="2978"/>
      <c r="I38" s="2982"/>
      <c r="J38" s="2978"/>
      <c r="K38" s="2965"/>
      <c r="L38" s="2958"/>
      <c r="M38" s="2958"/>
      <c r="N38" s="2958"/>
      <c r="O38" s="2958"/>
      <c r="P38" s="2958"/>
      <c r="Q38" s="2958"/>
      <c r="R38" s="2958"/>
      <c r="S38" s="2958"/>
      <c r="T38" s="2958"/>
      <c r="U38" s="2958"/>
    </row>
    <row r="39" spans="1:28">
      <c r="A39" s="3526"/>
      <c r="B39" s="3557"/>
      <c r="C39" s="1570" t="str">
        <f>IF(D38&lt;1,"不存在土地闲置",IF(B35="宗地内已开工建设","已开工，不存在土地闲置","估价对象已涉嫌土地闲置"))</f>
        <v>估价对象已涉嫌土地闲置</v>
      </c>
      <c r="D39" s="1601"/>
      <c r="E39" s="1602"/>
      <c r="F39" s="2978"/>
      <c r="G39" s="2978"/>
      <c r="H39" s="2978"/>
      <c r="I39" s="2982"/>
      <c r="J39" s="2978"/>
      <c r="K39" s="2961"/>
      <c r="L39" s="2957"/>
      <c r="M39" s="2957"/>
      <c r="N39" s="2958"/>
      <c r="O39" s="2959"/>
      <c r="P39" s="2958"/>
      <c r="Q39" s="2958"/>
      <c r="R39" s="2958"/>
      <c r="S39" s="2958"/>
      <c r="T39" s="2958"/>
      <c r="U39" s="2958"/>
    </row>
    <row r="40" spans="1:28">
      <c r="A40" s="1563" t="s">
        <v>1768</v>
      </c>
      <c r="B40" s="1564"/>
      <c r="C40" s="1564"/>
      <c r="D40" s="1564"/>
      <c r="E40" s="1564"/>
      <c r="F40" s="1564"/>
      <c r="G40" s="1564"/>
      <c r="H40" s="1564"/>
      <c r="I40" s="2982"/>
      <c r="J40" s="2978"/>
      <c r="K40" s="2926">
        <f>COUNTIF(B40:H40,"——")</f>
        <v>0</v>
      </c>
      <c r="L40" s="1572" t="s">
        <v>1769</v>
      </c>
      <c r="M40" s="1569" t="s">
        <v>1770</v>
      </c>
      <c r="N40" s="1569" t="s">
        <v>1771</v>
      </c>
      <c r="O40" s="1569" t="s">
        <v>1772</v>
      </c>
      <c r="P40" s="1569" t="s">
        <v>1773</v>
      </c>
      <c r="Q40" s="1569" t="s">
        <v>1774</v>
      </c>
      <c r="R40" s="1569" t="s">
        <v>1775</v>
      </c>
      <c r="S40" s="3538" t="s">
        <v>1776</v>
      </c>
      <c r="T40" s="1604" t="str">
        <f>NUMBERSTRING(7-K40,1)&amp;"通"</f>
        <v>七通</v>
      </c>
      <c r="U40" s="2958"/>
    </row>
    <row r="41" spans="1:28">
      <c r="A41" s="1542"/>
      <c r="B41" s="3530" t="s">
        <v>1520</v>
      </c>
      <c r="C41" s="3530"/>
      <c r="D41" s="3530"/>
      <c r="E41" s="3530"/>
      <c r="F41" s="1605">
        <f>C10</f>
        <v>0</v>
      </c>
      <c r="G41" s="2978"/>
      <c r="H41" s="2978"/>
      <c r="I41" s="2982"/>
      <c r="J41" s="2978"/>
      <c r="K41" s="1572"/>
      <c r="L41" s="1569">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538"/>
      <c r="T41" s="1606" t="str">
        <f>IF(T40="一通",L41,IF(T40="二通",M41,IF(T40="三通",N41,IF(T40="四通",O41,IF(T40="五通",P41,IF(T40="六通",Q41,R41))))))</f>
        <v>、、、、、、</v>
      </c>
      <c r="U41" s="2958"/>
    </row>
    <row r="42" spans="1:28">
      <c r="A42" s="1608"/>
      <c r="B42" s="1635" t="s">
        <v>1692</v>
      </c>
      <c r="C42" s="1635" t="s">
        <v>1693</v>
      </c>
      <c r="D42" s="1635" t="s">
        <v>1694</v>
      </c>
      <c r="E42" s="1572" t="s">
        <v>1695</v>
      </c>
      <c r="F42" s="1609"/>
      <c r="G42" s="2978"/>
      <c r="H42" s="2978"/>
      <c r="I42" s="2982"/>
      <c r="J42" s="2978"/>
      <c r="K42" s="2961"/>
      <c r="L42" s="2957"/>
      <c r="M42" s="2957"/>
      <c r="N42" s="2958"/>
      <c r="O42" s="2959"/>
      <c r="P42" s="2958"/>
      <c r="Q42" s="2958"/>
      <c r="R42" s="2958"/>
      <c r="S42" s="2958"/>
      <c r="T42" s="2958"/>
      <c r="U42" s="2958"/>
    </row>
    <row r="43" spans="1:28">
      <c r="A43" s="2929" t="s">
        <v>1505</v>
      </c>
      <c r="B43" s="1610"/>
      <c r="C43" s="1610"/>
      <c r="D43" s="1610"/>
      <c r="E43" s="1610"/>
      <c r="F43" s="1611"/>
      <c r="G43" s="2978"/>
      <c r="H43" s="2978"/>
      <c r="I43" s="2982"/>
      <c r="J43" s="2978"/>
      <c r="K43" s="2961"/>
      <c r="L43" s="2957"/>
      <c r="M43" s="2957"/>
      <c r="N43" s="2958"/>
      <c r="O43" s="2959"/>
      <c r="P43" s="2958"/>
      <c r="Q43" s="2958"/>
      <c r="R43" s="2958"/>
      <c r="S43" s="2958"/>
      <c r="T43" s="2958"/>
      <c r="U43" s="2958"/>
    </row>
    <row r="44" spans="1:28">
      <c r="A44" s="2929" t="s">
        <v>1506</v>
      </c>
      <c r="B44" s="1610"/>
      <c r="C44" s="1610"/>
      <c r="D44" s="1610"/>
      <c r="E44" s="1658"/>
      <c r="F44" s="1611"/>
      <c r="G44" s="2978"/>
      <c r="H44" s="2978"/>
      <c r="I44" s="2982"/>
      <c r="J44" s="2978"/>
      <c r="K44" s="2961"/>
      <c r="L44" s="2957"/>
      <c r="M44" s="2957"/>
      <c r="N44" s="2958"/>
      <c r="O44" s="2959"/>
      <c r="P44" s="2958"/>
      <c r="Q44" s="2958"/>
      <c r="R44" s="2958"/>
      <c r="S44" s="2958"/>
      <c r="T44" s="2958"/>
      <c r="U44" s="2958"/>
    </row>
    <row r="45" spans="1:28" s="2687" customFormat="1" ht="21" thickBot="1">
      <c r="A45" s="2688" t="s">
        <v>2604</v>
      </c>
      <c r="B45" s="2686"/>
      <c r="C45" s="2686"/>
      <c r="D45" s="2686"/>
      <c r="E45" s="2686"/>
      <c r="F45" s="2686"/>
      <c r="G45" s="2968"/>
      <c r="H45" s="2968"/>
      <c r="I45" s="2969"/>
      <c r="J45" s="2981"/>
      <c r="K45" s="2966"/>
      <c r="L45" s="2967"/>
      <c r="M45" s="2967"/>
      <c r="N45" s="2968"/>
      <c r="O45" s="2969"/>
      <c r="P45" s="2968"/>
      <c r="Q45" s="2968"/>
      <c r="R45" s="2968"/>
      <c r="S45" s="2968"/>
      <c r="T45" s="2968"/>
      <c r="U45" s="2968"/>
      <c r="V45" s="2970"/>
      <c r="W45" s="2970"/>
      <c r="X45" s="2970"/>
      <c r="Y45" s="2970"/>
      <c r="Z45" s="2970"/>
      <c r="AA45" s="2970"/>
      <c r="AB45" s="2970"/>
    </row>
    <row r="46" spans="1:28">
      <c r="A46" s="1567"/>
      <c r="B46" s="1567"/>
      <c r="C46" s="1567"/>
      <c r="D46" s="1567"/>
      <c r="E46" s="1567"/>
      <c r="F46" s="1567"/>
      <c r="G46" s="1567"/>
      <c r="H46" s="1567"/>
      <c r="I46" s="1580"/>
      <c r="J46" s="1567"/>
      <c r="K46" s="2961"/>
      <c r="L46" s="2957"/>
      <c r="M46" s="2957"/>
      <c r="N46" s="2958"/>
      <c r="O46" s="2959"/>
      <c r="P46" s="2958"/>
      <c r="Q46" s="2958"/>
      <c r="R46" s="2958"/>
      <c r="S46" s="2958"/>
      <c r="T46" s="2958"/>
      <c r="U46" s="2958"/>
    </row>
    <row r="47" spans="1:28">
      <c r="A47" s="1612" t="s">
        <v>1797</v>
      </c>
      <c r="B47" s="1613"/>
      <c r="C47" s="1602"/>
      <c r="D47" s="1567"/>
      <c r="E47" s="1567"/>
      <c r="F47" s="1567"/>
      <c r="G47" s="1567"/>
      <c r="H47" s="1567"/>
      <c r="I47" s="1568"/>
      <c r="J47" s="1567"/>
      <c r="K47" s="2961"/>
      <c r="L47" s="2957"/>
      <c r="M47" s="2957"/>
      <c r="N47" s="2958"/>
      <c r="O47" s="2959"/>
      <c r="P47" s="2958"/>
      <c r="Q47" s="2958"/>
      <c r="R47" s="2958"/>
      <c r="S47" s="2958"/>
      <c r="T47" s="2958"/>
      <c r="U47" s="2958"/>
    </row>
    <row r="48" spans="1:28" ht="28.5">
      <c r="A48" s="1572" t="s">
        <v>1798</v>
      </c>
      <c r="B48" s="1562" t="s">
        <v>1799</v>
      </c>
      <c r="C48" s="1562" t="s">
        <v>1800</v>
      </c>
      <c r="D48" s="1562" t="s">
        <v>1801</v>
      </c>
      <c r="E48" s="1562" t="s">
        <v>1802</v>
      </c>
      <c r="F48" s="1562" t="s">
        <v>1803</v>
      </c>
      <c r="G48" s="1562" t="s">
        <v>1804</v>
      </c>
      <c r="H48" s="1562" t="s">
        <v>1805</v>
      </c>
      <c r="I48" s="1562" t="s">
        <v>1806</v>
      </c>
      <c r="J48" s="1641" t="s">
        <v>1807</v>
      </c>
      <c r="K48" s="2971" t="s">
        <v>1808</v>
      </c>
      <c r="L48" s="2971" t="s">
        <v>1809</v>
      </c>
      <c r="M48" s="2971" t="s">
        <v>1810</v>
      </c>
      <c r="N48" s="2972" t="s">
        <v>1811</v>
      </c>
      <c r="O48" s="2972" t="s">
        <v>1812</v>
      </c>
      <c r="P48" s="2972" t="s">
        <v>1813</v>
      </c>
      <c r="Q48" s="2963" t="s">
        <v>1814</v>
      </c>
      <c r="R48" s="2963" t="s">
        <v>1815</v>
      </c>
      <c r="S48" s="2958"/>
      <c r="T48" s="2958"/>
      <c r="U48" s="2958"/>
    </row>
    <row r="49" spans="1:21">
      <c r="A49" s="1569"/>
      <c r="B49" s="1603"/>
      <c r="C49" s="1603"/>
      <c r="D49" s="1603"/>
      <c r="E49" s="1603"/>
      <c r="F49" s="1603"/>
      <c r="G49" s="1603"/>
      <c r="H49" s="1603"/>
      <c r="I49" s="1603"/>
      <c r="J49" s="1705"/>
      <c r="K49" s="2973"/>
      <c r="L49" s="2973"/>
      <c r="M49" s="1609"/>
      <c r="N49" s="1609"/>
      <c r="O49" s="1609"/>
      <c r="P49" s="1609"/>
      <c r="Q49" s="1609"/>
      <c r="R49" s="1609"/>
      <c r="S49" s="2958"/>
      <c r="T49" s="2958"/>
      <c r="U49" s="2958"/>
    </row>
    <row r="50" spans="1:21">
      <c r="A50" s="1569"/>
      <c r="B50" s="1569"/>
      <c r="C50" s="1603"/>
      <c r="D50" s="1603"/>
      <c r="E50" s="1603"/>
      <c r="F50" s="1603"/>
      <c r="G50" s="1603"/>
      <c r="H50" s="1603"/>
      <c r="I50" s="1603"/>
      <c r="J50" s="1705"/>
      <c r="K50" s="2973"/>
      <c r="L50" s="2973"/>
      <c r="M50" s="1609"/>
      <c r="N50" s="1609"/>
      <c r="O50" s="1609"/>
      <c r="P50" s="1609"/>
      <c r="Q50" s="1609"/>
      <c r="R50" s="1609"/>
      <c r="S50" s="2958"/>
      <c r="T50" s="2958"/>
      <c r="U50" s="2958"/>
    </row>
    <row r="51" spans="1:21">
      <c r="A51" s="1569"/>
      <c r="B51" s="1569"/>
      <c r="C51" s="1603"/>
      <c r="D51" s="1603"/>
      <c r="E51" s="1603"/>
      <c r="F51" s="1603"/>
      <c r="G51" s="1603"/>
      <c r="H51" s="1603"/>
      <c r="I51" s="1603"/>
      <c r="J51" s="1705"/>
      <c r="K51" s="2973"/>
      <c r="L51" s="2973"/>
      <c r="M51" s="1609"/>
      <c r="N51" s="1609"/>
      <c r="O51" s="1609"/>
      <c r="P51" s="1609"/>
      <c r="Q51" s="1609"/>
      <c r="R51" s="1609"/>
      <c r="S51" s="2958"/>
      <c r="T51" s="2958"/>
      <c r="U51" s="2958"/>
    </row>
    <row r="52" spans="1:21">
      <c r="A52" s="1569"/>
      <c r="B52" s="1569"/>
      <c r="C52" s="1603"/>
      <c r="D52" s="1603"/>
      <c r="E52" s="1603"/>
      <c r="F52" s="1603"/>
      <c r="G52" s="1603"/>
      <c r="H52" s="1603"/>
      <c r="I52" s="1603"/>
      <c r="J52" s="1705"/>
      <c r="K52" s="2973"/>
      <c r="L52" s="2973"/>
      <c r="M52" s="1609"/>
      <c r="N52" s="1609"/>
      <c r="O52" s="1609"/>
      <c r="P52" s="1609"/>
      <c r="Q52" s="1609"/>
      <c r="R52" s="1609"/>
      <c r="S52" s="2958"/>
      <c r="T52" s="2958"/>
      <c r="U52" s="2958"/>
    </row>
    <row r="53" spans="1:21">
      <c r="A53" s="1569"/>
      <c r="B53" s="1569"/>
      <c r="C53" s="1603"/>
      <c r="D53" s="1603"/>
      <c r="E53" s="1603"/>
      <c r="F53" s="1603"/>
      <c r="G53" s="1603"/>
      <c r="H53" s="1603"/>
      <c r="I53" s="1603"/>
      <c r="J53" s="1705"/>
      <c r="K53" s="2973"/>
      <c r="L53" s="2973"/>
      <c r="M53" s="1609"/>
      <c r="N53" s="1609"/>
      <c r="O53" s="1609"/>
      <c r="P53" s="1609"/>
      <c r="Q53" s="1609"/>
      <c r="R53" s="1609"/>
      <c r="S53" s="2958"/>
      <c r="T53" s="2958"/>
      <c r="U53" s="2958"/>
    </row>
    <row r="54" spans="1:21">
      <c r="A54" s="1569"/>
      <c r="B54" s="1569"/>
      <c r="C54" s="1569"/>
      <c r="D54" s="1569"/>
      <c r="E54" s="1569"/>
      <c r="F54" s="1603"/>
      <c r="G54" s="1569"/>
      <c r="H54" s="1569"/>
      <c r="I54" s="1569"/>
      <c r="J54" s="1706"/>
      <c r="K54" s="2973"/>
      <c r="L54" s="2973"/>
      <c r="M54" s="2973"/>
      <c r="N54" s="2925"/>
      <c r="O54" s="2925"/>
      <c r="P54" s="2925"/>
      <c r="Q54" s="2925"/>
      <c r="R54" s="2925"/>
      <c r="S54" s="2958"/>
      <c r="T54" s="2958"/>
      <c r="U54" s="2958"/>
    </row>
    <row r="55" spans="1:21">
      <c r="A55" s="1569"/>
      <c r="B55" s="1569"/>
      <c r="C55" s="1569"/>
      <c r="D55" s="1569"/>
      <c r="E55" s="1569"/>
      <c r="F55" s="1603"/>
      <c r="G55" s="1569"/>
      <c r="H55" s="1569"/>
      <c r="I55" s="1569"/>
      <c r="J55" s="1706"/>
      <c r="K55" s="2973"/>
      <c r="L55" s="2973"/>
      <c r="M55" s="2973"/>
      <c r="N55" s="2925"/>
      <c r="O55" s="2925"/>
      <c r="P55" s="2925"/>
      <c r="Q55" s="2925"/>
      <c r="R55" s="2925"/>
      <c r="S55" s="2958"/>
      <c r="T55" s="2958"/>
      <c r="U55" s="2958"/>
    </row>
    <row r="56" spans="1:21">
      <c r="A56" s="1569"/>
      <c r="B56" s="1569"/>
      <c r="C56" s="1569"/>
      <c r="D56" s="1569"/>
      <c r="E56" s="1569"/>
      <c r="F56" s="1603"/>
      <c r="G56" s="1569"/>
      <c r="H56" s="1569"/>
      <c r="I56" s="1569"/>
      <c r="J56" s="1706"/>
      <c r="K56" s="2973"/>
      <c r="L56" s="2973"/>
      <c r="M56" s="2973"/>
      <c r="N56" s="2925"/>
      <c r="O56" s="2925"/>
      <c r="P56" s="2925"/>
      <c r="Q56" s="2925"/>
      <c r="R56" s="2925"/>
      <c r="S56" s="2958"/>
      <c r="T56" s="2958"/>
      <c r="U56" s="2958"/>
    </row>
    <row r="57" spans="1:21">
      <c r="A57" s="1569"/>
      <c r="B57" s="1569"/>
      <c r="C57" s="1569"/>
      <c r="D57" s="1569"/>
      <c r="E57" s="1569"/>
      <c r="F57" s="1603"/>
      <c r="G57" s="1569"/>
      <c r="H57" s="1569"/>
      <c r="I57" s="1569"/>
      <c r="J57" s="1706"/>
      <c r="K57" s="2973"/>
      <c r="L57" s="2973"/>
      <c r="M57" s="2973"/>
      <c r="N57" s="2925"/>
      <c r="O57" s="2925"/>
      <c r="P57" s="2925"/>
      <c r="Q57" s="2925"/>
      <c r="R57" s="2925"/>
      <c r="S57" s="2958"/>
      <c r="T57" s="2958"/>
      <c r="U57" s="2958"/>
    </row>
    <row r="58" spans="1:21">
      <c r="A58" s="1569"/>
      <c r="B58" s="1569"/>
      <c r="C58" s="1569"/>
      <c r="D58" s="1569"/>
      <c r="E58" s="1569"/>
      <c r="F58" s="1603"/>
      <c r="G58" s="1569"/>
      <c r="H58" s="1569"/>
      <c r="I58" s="1569"/>
      <c r="J58" s="1706"/>
      <c r="K58" s="2973"/>
      <c r="L58" s="2973"/>
      <c r="M58" s="2973"/>
      <c r="N58" s="2925"/>
      <c r="O58" s="2925"/>
      <c r="P58" s="2925"/>
      <c r="Q58" s="2925"/>
      <c r="R58" s="2925"/>
      <c r="S58" s="2958"/>
      <c r="T58" s="2958"/>
      <c r="U58" s="295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70" t="s">
        <v>2122</v>
      </c>
      <c r="BA2" s="2171" t="s">
        <v>2121</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f>'76号规划指标'!E4</f>
        <v>23308.880000000001</v>
      </c>
      <c r="B3" s="22">
        <f>IF(C3="否",G5-AT5,G5)</f>
        <v>184715.46</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72"/>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168</v>
      </c>
      <c r="B5" s="958"/>
      <c r="C5" s="958"/>
      <c r="D5" s="965"/>
      <c r="E5" s="27" t="s">
        <v>1</v>
      </c>
      <c r="F5" s="27">
        <f>SUM(F13:F572)</f>
        <v>0</v>
      </c>
      <c r="G5" s="27">
        <f>SUM(G13:G572)</f>
        <v>184715.46</v>
      </c>
      <c r="H5" s="27">
        <f t="shared" ref="H5:AT5" si="0">SUM(H13:H641)</f>
        <v>178363.59</v>
      </c>
      <c r="I5" s="27">
        <f t="shared" si="0"/>
        <v>100035.04</v>
      </c>
      <c r="J5" s="27">
        <f t="shared" si="0"/>
        <v>0</v>
      </c>
      <c r="K5" s="27">
        <f t="shared" si="0"/>
        <v>23431.62</v>
      </c>
      <c r="L5" s="27">
        <f t="shared" si="0"/>
        <v>0</v>
      </c>
      <c r="M5" s="27">
        <f t="shared" si="0"/>
        <v>2643.8</v>
      </c>
      <c r="N5" s="27">
        <f t="shared" si="0"/>
        <v>0</v>
      </c>
      <c r="O5" s="27">
        <f t="shared" si="0"/>
        <v>52253.13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6351.8700000000008</v>
      </c>
      <c r="AD5" s="27">
        <f t="shared" si="0"/>
        <v>2995.45</v>
      </c>
      <c r="AE5" s="27">
        <f t="shared" si="0"/>
        <v>0</v>
      </c>
      <c r="AF5" s="27">
        <f t="shared" si="0"/>
        <v>0</v>
      </c>
      <c r="AG5" s="27">
        <f t="shared" si="0"/>
        <v>0</v>
      </c>
      <c r="AH5" s="27">
        <f t="shared" si="0"/>
        <v>2190.8000000000002</v>
      </c>
      <c r="AI5" s="27">
        <f t="shared" si="0"/>
        <v>0</v>
      </c>
      <c r="AJ5" s="27">
        <f t="shared" si="0"/>
        <v>0</v>
      </c>
      <c r="AK5" s="27">
        <f t="shared" si="0"/>
        <v>0</v>
      </c>
      <c r="AL5" s="27">
        <f t="shared" si="0"/>
        <v>454.77</v>
      </c>
      <c r="AM5" s="27">
        <f t="shared" si="0"/>
        <v>0</v>
      </c>
      <c r="AN5" s="27">
        <f t="shared" si="0"/>
        <v>710.85</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184715.46</v>
      </c>
      <c r="BA5" s="29">
        <f t="shared" si="1"/>
        <v>178363.59</v>
      </c>
      <c r="BB5" s="29">
        <f t="shared" si="1"/>
        <v>100035.04</v>
      </c>
      <c r="BC5" s="29">
        <f t="shared" si="1"/>
        <v>23431.62</v>
      </c>
      <c r="BD5" s="29">
        <f t="shared" si="1"/>
        <v>2643.8</v>
      </c>
      <c r="BE5" s="29">
        <f t="shared" si="1"/>
        <v>52253.13</v>
      </c>
      <c r="BF5" s="29">
        <f t="shared" si="1"/>
        <v>0</v>
      </c>
      <c r="BG5" s="29">
        <f t="shared" si="1"/>
        <v>0</v>
      </c>
      <c r="BH5" s="29">
        <f t="shared" si="1"/>
        <v>0</v>
      </c>
      <c r="BI5" s="29">
        <f t="shared" si="1"/>
        <v>0</v>
      </c>
      <c r="BJ5" s="29">
        <f t="shared" si="1"/>
        <v>0</v>
      </c>
      <c r="BK5" s="29">
        <f t="shared" si="1"/>
        <v>0</v>
      </c>
      <c r="BL5" s="29">
        <f t="shared" si="1"/>
        <v>6351.8700000000008</v>
      </c>
      <c r="BM5" s="29">
        <f t="shared" si="1"/>
        <v>2995.45</v>
      </c>
      <c r="BN5" s="29">
        <f t="shared" si="1"/>
        <v>0</v>
      </c>
      <c r="BO5" s="29">
        <f t="shared" si="1"/>
        <v>2190.8000000000002</v>
      </c>
      <c r="BP5" s="29">
        <f t="shared" si="1"/>
        <v>0</v>
      </c>
      <c r="BQ5" s="29">
        <f t="shared" si="1"/>
        <v>454.77</v>
      </c>
      <c r="BR5" s="29">
        <f t="shared" si="1"/>
        <v>710.85</v>
      </c>
      <c r="BS5" s="29">
        <f t="shared" si="1"/>
        <v>0</v>
      </c>
      <c r="BT5" s="30">
        <f t="shared" si="1"/>
        <v>0</v>
      </c>
    </row>
    <row r="6" spans="1:72" s="37" customFormat="1" ht="12.75">
      <c r="A6" s="26" t="s">
        <v>169</v>
      </c>
      <c r="B6" s="31"/>
      <c r="C6" s="31"/>
      <c r="D6" s="32"/>
      <c r="E6" s="27">
        <f>H6+AC6+AT6</f>
        <v>23308.879999999997</v>
      </c>
      <c r="F6" s="27" t="s">
        <v>1</v>
      </c>
      <c r="G6" s="27" t="s">
        <v>2</v>
      </c>
      <c r="H6" s="33">
        <f>SUMIF(I$12:AB$12,"总值",I6:AB6)</f>
        <v>22507.35</v>
      </c>
      <c r="I6" s="27">
        <f t="shared" ref="I6:AB6" si="2">ROUND($A$3*I5/$B$3,2)</f>
        <v>12623.22</v>
      </c>
      <c r="J6" s="27">
        <f t="shared" si="2"/>
        <v>0</v>
      </c>
      <c r="K6" s="27">
        <f t="shared" si="2"/>
        <v>2956.79</v>
      </c>
      <c r="L6" s="27">
        <f t="shared" si="2"/>
        <v>0</v>
      </c>
      <c r="M6" s="27">
        <f t="shared" si="2"/>
        <v>333.62</v>
      </c>
      <c r="N6" s="27">
        <f t="shared" si="2"/>
        <v>0</v>
      </c>
      <c r="O6" s="27">
        <f t="shared" si="2"/>
        <v>6593.72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801.53000000000009</v>
      </c>
      <c r="AD6" s="27">
        <f t="shared" ref="AD6:AS6" si="3">ROUND($A$3*AD5/$B$3,2)</f>
        <v>377.99</v>
      </c>
      <c r="AE6" s="27">
        <f t="shared" si="3"/>
        <v>0</v>
      </c>
      <c r="AF6" s="27">
        <f t="shared" si="3"/>
        <v>0</v>
      </c>
      <c r="AG6" s="27">
        <f t="shared" si="3"/>
        <v>0</v>
      </c>
      <c r="AH6" s="27">
        <f t="shared" si="3"/>
        <v>276.45</v>
      </c>
      <c r="AI6" s="27">
        <f t="shared" si="3"/>
        <v>0</v>
      </c>
      <c r="AJ6" s="27">
        <f t="shared" si="3"/>
        <v>0</v>
      </c>
      <c r="AK6" s="27">
        <f t="shared" si="3"/>
        <v>0</v>
      </c>
      <c r="AL6" s="27">
        <f t="shared" si="3"/>
        <v>57.39</v>
      </c>
      <c r="AM6" s="27">
        <f t="shared" si="3"/>
        <v>0</v>
      </c>
      <c r="AN6" s="27">
        <f t="shared" si="3"/>
        <v>89.7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23308.880000000001</v>
      </c>
      <c r="AZ6" s="27" t="s">
        <v>3</v>
      </c>
      <c r="BA6" s="27">
        <f>ROUND($AY$6*BA5/$AZ$5,2)</f>
        <v>22507.35</v>
      </c>
      <c r="BB6" s="27">
        <f>ROUND($AY$6*BB5/$AZ$5,2)</f>
        <v>12623.22</v>
      </c>
      <c r="BC6" s="27">
        <f t="shared" ref="BC6:BH6" si="4">ROUND($AY$6*BC5/$AZ$5,2)</f>
        <v>2956.79</v>
      </c>
      <c r="BD6" s="27">
        <f t="shared" si="4"/>
        <v>333.62</v>
      </c>
      <c r="BE6" s="27">
        <f t="shared" si="4"/>
        <v>6593.72</v>
      </c>
      <c r="BF6" s="27">
        <f t="shared" si="4"/>
        <v>0</v>
      </c>
      <c r="BG6" s="27">
        <f t="shared" si="4"/>
        <v>0</v>
      </c>
      <c r="BH6" s="27">
        <f t="shared" si="4"/>
        <v>0</v>
      </c>
      <c r="BI6" s="27">
        <f t="shared" ref="BI6:BT6" si="5">ROUND($AY$6*BI5/$AZ$5,2)</f>
        <v>0</v>
      </c>
      <c r="BJ6" s="27">
        <f t="shared" si="5"/>
        <v>0</v>
      </c>
      <c r="BK6" s="27">
        <f t="shared" si="5"/>
        <v>0</v>
      </c>
      <c r="BL6" s="27">
        <f t="shared" si="5"/>
        <v>801.53</v>
      </c>
      <c r="BM6" s="27">
        <f t="shared" si="5"/>
        <v>377.99</v>
      </c>
      <c r="BN6" s="27">
        <f t="shared" si="5"/>
        <v>0</v>
      </c>
      <c r="BO6" s="27">
        <f t="shared" si="5"/>
        <v>276.45</v>
      </c>
      <c r="BP6" s="27">
        <f t="shared" si="5"/>
        <v>0</v>
      </c>
      <c r="BQ6" s="27">
        <f t="shared" si="5"/>
        <v>57.39</v>
      </c>
      <c r="BR6" s="27">
        <f t="shared" si="5"/>
        <v>89.7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28"/>
      <c r="AT8" s="2159" t="s">
        <v>834</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49" t="s">
        <v>3151</v>
      </c>
      <c r="J9" s="51"/>
      <c r="K9" s="2649" t="s">
        <v>3151</v>
      </c>
      <c r="L9" s="51"/>
      <c r="M9" s="2649" t="s">
        <v>3151</v>
      </c>
      <c r="N9" s="51"/>
      <c r="O9" s="59" t="s">
        <v>3154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2" t="s">
        <v>191</v>
      </c>
      <c r="AQ9" s="1134"/>
      <c r="AR9" s="1132" t="s">
        <v>192</v>
      </c>
      <c r="AS9" s="2160"/>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49" t="s">
        <v>901</v>
      </c>
      <c r="J10" s="51"/>
      <c r="K10" s="2651" t="s">
        <v>3123</v>
      </c>
      <c r="L10" s="51"/>
      <c r="M10" s="2651" t="s">
        <v>3123</v>
      </c>
      <c r="N10" s="51"/>
      <c r="O10" s="66" t="s">
        <v>3155</v>
      </c>
      <c r="P10" s="51"/>
      <c r="Q10" s="66"/>
      <c r="R10" s="51"/>
      <c r="S10" s="66"/>
      <c r="T10" s="51"/>
      <c r="U10" s="66"/>
      <c r="V10" s="51"/>
      <c r="W10" s="66"/>
      <c r="X10" s="51"/>
      <c r="Y10" s="66"/>
      <c r="Z10" s="51"/>
      <c r="AA10" s="66"/>
      <c r="AB10" s="51"/>
      <c r="AC10" s="55"/>
      <c r="AD10" s="2145" t="s">
        <v>2106</v>
      </c>
      <c r="AE10" s="2167"/>
      <c r="AF10" s="2145" t="s">
        <v>2106</v>
      </c>
      <c r="AG10" s="2167"/>
      <c r="AH10" s="2145" t="s">
        <v>2107</v>
      </c>
      <c r="AI10" s="2167"/>
      <c r="AJ10" s="26" t="s">
        <v>2120</v>
      </c>
      <c r="AK10" s="2164"/>
      <c r="AL10" s="2145" t="s">
        <v>2108</v>
      </c>
      <c r="AM10" s="2146"/>
      <c r="AN10" s="26" t="s">
        <v>198</v>
      </c>
      <c r="AO10" s="61"/>
      <c r="AP10" s="1132" t="s">
        <v>199</v>
      </c>
      <c r="AQ10" s="1134"/>
      <c r="AR10" s="1132" t="s">
        <v>199</v>
      </c>
      <c r="AS10" s="1134"/>
      <c r="AT10" s="45"/>
      <c r="AU10" s="45"/>
      <c r="AV10" s="55"/>
      <c r="AW10" s="97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50"/>
      <c r="J11" s="71"/>
      <c r="K11" s="2650" t="s">
        <v>3152</v>
      </c>
      <c r="L11" s="71"/>
      <c r="M11" s="70" t="s">
        <v>3153</v>
      </c>
      <c r="N11" s="71"/>
      <c r="O11" s="70"/>
      <c r="P11" s="71"/>
      <c r="Q11" s="70"/>
      <c r="R11" s="71"/>
      <c r="S11" s="70"/>
      <c r="T11" s="71"/>
      <c r="U11" s="70"/>
      <c r="V11" s="71"/>
      <c r="W11" s="70"/>
      <c r="X11" s="71"/>
      <c r="Y11" s="70"/>
      <c r="Z11" s="71"/>
      <c r="AA11" s="70"/>
      <c r="AB11" s="71"/>
      <c r="AC11" s="55"/>
      <c r="AD11" s="2165" t="s">
        <v>2119</v>
      </c>
      <c r="AE11" s="971"/>
      <c r="AF11" s="2165" t="s">
        <v>2119</v>
      </c>
      <c r="AG11" s="971"/>
      <c r="AH11" s="2165" t="s">
        <v>2118</v>
      </c>
      <c r="AI11" s="2166"/>
      <c r="AJ11" s="2165" t="s">
        <v>2118</v>
      </c>
      <c r="AK11" s="2164"/>
      <c r="AL11" s="969"/>
      <c r="AM11" s="971"/>
      <c r="AN11" s="969"/>
      <c r="AO11" s="971"/>
      <c r="AP11" s="1133"/>
      <c r="AQ11" s="1135"/>
      <c r="AR11" s="1133"/>
      <c r="AS11" s="1135"/>
      <c r="AT11" s="972"/>
      <c r="AU11" s="45"/>
      <c r="AV11" s="55"/>
      <c r="AW11" s="972"/>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6"/>
      <c r="AU12" s="72"/>
      <c r="AV12" s="77"/>
      <c r="AW12" s="42"/>
      <c r="AX12" s="77"/>
      <c r="AY12" s="78"/>
      <c r="AZ12" s="62"/>
      <c r="BA12" s="67"/>
      <c r="BB12" s="53">
        <f>I11</f>
        <v>0</v>
      </c>
      <c r="BC12" s="79" t="str">
        <f>K11</f>
        <v>公寓</v>
      </c>
      <c r="BD12" s="79" t="str">
        <f>M11</f>
        <v>底商</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44"/>
      <c r="B13" s="2644"/>
      <c r="C13" s="2644"/>
      <c r="D13" s="2645" t="s">
        <v>1477</v>
      </c>
      <c r="E13" s="27">
        <f t="shared" ref="E13:E20" si="6">IF($C$3="是",ROUND($A$3*G13/$B$3,2),ROUND($A$3*(G13-AT13)/$B$3,2))</f>
        <v>23308.880000000001</v>
      </c>
      <c r="F13" s="81"/>
      <c r="G13" s="82">
        <f t="shared" ref="G13:G20" si="7">H13+AC13+AT13</f>
        <v>184715.46</v>
      </c>
      <c r="H13" s="33">
        <f t="shared" ref="H13:H20" si="8">SUMIF(I$12:AB$12,"总值",I13:AB13)</f>
        <v>178363.59</v>
      </c>
      <c r="I13" s="2648">
        <f>'76号规划指标'!E7</f>
        <v>100035.04</v>
      </c>
      <c r="J13" s="2648"/>
      <c r="K13" s="2648">
        <f>'76号规划指标'!E9</f>
        <v>23431.62</v>
      </c>
      <c r="L13" s="2648"/>
      <c r="M13" s="2648">
        <f>'76号规划指标'!E8</f>
        <v>2643.8</v>
      </c>
      <c r="N13" s="83"/>
      <c r="O13" s="83">
        <f>'76号规划指标'!E24</f>
        <v>52253.13</v>
      </c>
      <c r="P13" s="83"/>
      <c r="Q13" s="83"/>
      <c r="R13" s="83"/>
      <c r="S13" s="83"/>
      <c r="T13" s="83"/>
      <c r="U13" s="83"/>
      <c r="V13" s="83"/>
      <c r="W13" s="83"/>
      <c r="X13" s="83"/>
      <c r="Y13" s="83"/>
      <c r="Z13" s="83"/>
      <c r="AA13" s="83"/>
      <c r="AB13" s="83"/>
      <c r="AC13" s="27">
        <f t="shared" ref="AC13:AC20" si="9">SUMIF(AD$12:AS$12,"总值",AD13:AS13)</f>
        <v>6351.8700000000008</v>
      </c>
      <c r="AD13" s="2652">
        <f>'76号规划指标'!E10+'76号规划指标'!E11+'76号规划指标'!E13+'76号规划指标'!E14+'76号规划指标'!E15+'76号规划指标'!E16+'76号规划指标'!E17+'76号规划指标'!E19+'76号规划指标'!E20</f>
        <v>2995.45</v>
      </c>
      <c r="AE13" s="2652"/>
      <c r="AF13" s="2652"/>
      <c r="AG13" s="2652"/>
      <c r="AH13" s="2652">
        <f>'76号规划指标'!E12</f>
        <v>2190.8000000000002</v>
      </c>
      <c r="AI13" s="2652"/>
      <c r="AJ13" s="2652"/>
      <c r="AK13" s="2652"/>
      <c r="AL13" s="2652">
        <f>'76号规划指标'!E18+'76号规划指标'!E21+'76号规划指标'!E22</f>
        <v>454.77</v>
      </c>
      <c r="AM13" s="2652"/>
      <c r="AN13" s="2652">
        <f>'76号规划指标'!E25+'76号规划指标'!E26</f>
        <v>710.85</v>
      </c>
      <c r="AO13" s="2652"/>
      <c r="AP13" s="2652"/>
      <c r="AQ13" s="2652"/>
      <c r="AR13" s="2652"/>
      <c r="AS13" s="2652"/>
      <c r="AT13" s="2653"/>
      <c r="AU13" s="2654"/>
      <c r="AV13" s="17">
        <f t="shared" ref="AV13:AX20" si="10">A13</f>
        <v>0</v>
      </c>
      <c r="AW13" s="17">
        <f t="shared" si="10"/>
        <v>0</v>
      </c>
      <c r="AX13" s="17">
        <f t="shared" si="10"/>
        <v>0</v>
      </c>
      <c r="AY13" s="965">
        <f t="shared" ref="AY13:AY20" si="11">ROUND($AY$6*AZ13/$AZ$5,2)</f>
        <v>23308.880000000001</v>
      </c>
      <c r="AZ13" s="27">
        <f t="shared" ref="AZ13:AZ20" si="12">BA13+BL13</f>
        <v>184715.46</v>
      </c>
      <c r="BA13" s="27">
        <f t="shared" ref="BA13:BA20" si="13">SUM(BB13:BK13)</f>
        <v>178363.59</v>
      </c>
      <c r="BB13" s="27">
        <f t="shared" ref="BB13:BB20" si="14">IF($D13="是",I13-J13,0)</f>
        <v>100035.04</v>
      </c>
      <c r="BC13" s="27">
        <f t="shared" ref="BC13:BC20" si="15">IF($D13="是",K13-L13,0)</f>
        <v>23431.62</v>
      </c>
      <c r="BD13" s="27">
        <f t="shared" ref="BD13:BD20" si="16">IF($D13="是",M13-N13,0)</f>
        <v>2643.8</v>
      </c>
      <c r="BE13" s="27">
        <f t="shared" ref="BE13:BE20" si="17">IF($D13="是",O13-P13,0)</f>
        <v>52253.13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6351.8700000000008</v>
      </c>
      <c r="BM13" s="27">
        <f t="shared" ref="BM13:BM20" si="25">IF($D13="是",AD13-AE13,0)</f>
        <v>2995.45</v>
      </c>
      <c r="BN13" s="27">
        <f t="shared" ref="BN13:BN20" si="26">IF($D13="是",AF13-AG13,0)</f>
        <v>0</v>
      </c>
      <c r="BO13" s="27">
        <f t="shared" ref="BO13:BO20" si="27">IF($D13="是",AH13-AI13,0)</f>
        <v>2190.8000000000002</v>
      </c>
      <c r="BP13" s="27">
        <f t="shared" ref="BP13:BP20" si="28">IF($D13="是",AJ13-AK13,0)</f>
        <v>0</v>
      </c>
      <c r="BQ13" s="27">
        <f t="shared" ref="BQ13:BQ20" si="29">IF($D13="是",AL13-AM13,0)</f>
        <v>454.77</v>
      </c>
      <c r="BR13" s="27">
        <f t="shared" ref="BR13:BR20" si="30">IF($D13="是",AN13-AO13,0)</f>
        <v>710.85</v>
      </c>
      <c r="BS13" s="27">
        <f t="shared" ref="BS13:BS20" si="31">IF($D13="是",AP13-AQ13,0)</f>
        <v>0</v>
      </c>
      <c r="BT13" s="36">
        <f t="shared" ref="BT13:BT20" si="32">IF($D13="是",AR13-AS13,0)</f>
        <v>0</v>
      </c>
    </row>
    <row r="14" spans="1:72" s="18" customFormat="1" ht="12.75">
      <c r="A14" s="2644"/>
      <c r="B14" s="2644"/>
      <c r="C14" s="2646"/>
      <c r="D14" s="2645"/>
      <c r="E14" s="27">
        <f t="shared" si="6"/>
        <v>0</v>
      </c>
      <c r="F14" s="81"/>
      <c r="G14" s="82">
        <f t="shared" si="7"/>
        <v>0</v>
      </c>
      <c r="H14" s="33">
        <f t="shared" si="8"/>
        <v>0</v>
      </c>
      <c r="I14" s="2648"/>
      <c r="J14" s="2648"/>
      <c r="K14" s="2648"/>
      <c r="L14" s="2648"/>
      <c r="M14" s="2648"/>
      <c r="N14" s="83"/>
      <c r="O14" s="83"/>
      <c r="P14" s="83"/>
      <c r="Q14" s="83"/>
      <c r="R14" s="83"/>
      <c r="S14" s="83"/>
      <c r="T14" s="83"/>
      <c r="U14" s="83"/>
      <c r="V14" s="83"/>
      <c r="W14" s="83"/>
      <c r="X14" s="83"/>
      <c r="Y14" s="83"/>
      <c r="Z14" s="83"/>
      <c r="AA14" s="83"/>
      <c r="AB14" s="83"/>
      <c r="AC14" s="27">
        <f t="shared" si="9"/>
        <v>0</v>
      </c>
      <c r="AD14" s="2652"/>
      <c r="AE14" s="2652"/>
      <c r="AF14" s="2652"/>
      <c r="AG14" s="2652"/>
      <c r="AH14" s="2652"/>
      <c r="AI14" s="2652"/>
      <c r="AJ14" s="2652"/>
      <c r="AK14" s="2652"/>
      <c r="AL14" s="2652"/>
      <c r="AM14" s="2652"/>
      <c r="AN14" s="2652"/>
      <c r="AO14" s="2652"/>
      <c r="AP14" s="2652"/>
      <c r="AQ14" s="2652"/>
      <c r="AR14" s="2652"/>
      <c r="AS14" s="2652"/>
      <c r="AT14" s="2653"/>
      <c r="AU14" s="2654"/>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4"/>
      <c r="B15" s="2644"/>
      <c r="C15" s="2646"/>
      <c r="D15" s="2645"/>
      <c r="E15" s="27">
        <f t="shared" si="6"/>
        <v>0</v>
      </c>
      <c r="F15" s="81"/>
      <c r="G15" s="82">
        <f t="shared" si="7"/>
        <v>0</v>
      </c>
      <c r="H15" s="33">
        <f t="shared" si="8"/>
        <v>0</v>
      </c>
      <c r="I15" s="2648"/>
      <c r="J15" s="2648"/>
      <c r="K15" s="2648"/>
      <c r="L15" s="2648"/>
      <c r="M15" s="2648"/>
      <c r="N15" s="83"/>
      <c r="O15" s="83"/>
      <c r="P15" s="83"/>
      <c r="Q15" s="83"/>
      <c r="R15" s="83"/>
      <c r="S15" s="83"/>
      <c r="T15" s="83"/>
      <c r="U15" s="83"/>
      <c r="V15" s="83"/>
      <c r="W15" s="83"/>
      <c r="X15" s="83"/>
      <c r="Y15" s="83"/>
      <c r="Z15" s="83"/>
      <c r="AA15" s="83"/>
      <c r="AB15" s="83"/>
      <c r="AC15" s="27">
        <f t="shared" si="9"/>
        <v>0</v>
      </c>
      <c r="AD15" s="2652"/>
      <c r="AE15" s="2652"/>
      <c r="AF15" s="2652"/>
      <c r="AG15" s="2652"/>
      <c r="AH15" s="2652"/>
      <c r="AI15" s="2652"/>
      <c r="AJ15" s="2652"/>
      <c r="AK15" s="2652"/>
      <c r="AL15" s="2652"/>
      <c r="AM15" s="2652"/>
      <c r="AN15" s="2652"/>
      <c r="AO15" s="2652"/>
      <c r="AP15" s="2652"/>
      <c r="AQ15" s="2652"/>
      <c r="AR15" s="2652"/>
      <c r="AS15" s="2652"/>
      <c r="AT15" s="2653"/>
      <c r="AU15" s="2654"/>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4"/>
      <c r="B16" s="2644"/>
      <c r="C16" s="2646"/>
      <c r="D16" s="2645"/>
      <c r="E16" s="27">
        <f t="shared" si="6"/>
        <v>0</v>
      </c>
      <c r="F16" s="81"/>
      <c r="G16" s="82">
        <f t="shared" si="7"/>
        <v>0</v>
      </c>
      <c r="H16" s="33">
        <f t="shared" si="8"/>
        <v>0</v>
      </c>
      <c r="I16" s="2648"/>
      <c r="J16" s="2648"/>
      <c r="K16" s="2648"/>
      <c r="L16" s="2648"/>
      <c r="M16" s="2648"/>
      <c r="N16" s="83"/>
      <c r="O16" s="83"/>
      <c r="P16" s="83"/>
      <c r="Q16" s="83"/>
      <c r="R16" s="83"/>
      <c r="S16" s="83"/>
      <c r="T16" s="83"/>
      <c r="U16" s="83"/>
      <c r="V16" s="83"/>
      <c r="W16" s="83"/>
      <c r="X16" s="83"/>
      <c r="Y16" s="83"/>
      <c r="Z16" s="83"/>
      <c r="AA16" s="83"/>
      <c r="AB16" s="83"/>
      <c r="AC16" s="27">
        <f t="shared" si="9"/>
        <v>0</v>
      </c>
      <c r="AD16" s="2652"/>
      <c r="AE16" s="2652"/>
      <c r="AF16" s="2652"/>
      <c r="AG16" s="2652"/>
      <c r="AH16" s="2652"/>
      <c r="AI16" s="2652"/>
      <c r="AJ16" s="2652"/>
      <c r="AK16" s="2652"/>
      <c r="AL16" s="2652"/>
      <c r="AM16" s="2652"/>
      <c r="AN16" s="2652"/>
      <c r="AO16" s="2652"/>
      <c r="AP16" s="2652"/>
      <c r="AQ16" s="2652"/>
      <c r="AR16" s="2652"/>
      <c r="AS16" s="2652"/>
      <c r="AT16" s="2653"/>
      <c r="AU16" s="2654"/>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4"/>
      <c r="B17" s="2644"/>
      <c r="C17" s="2646"/>
      <c r="D17" s="2645"/>
      <c r="E17" s="27">
        <f t="shared" si="6"/>
        <v>0</v>
      </c>
      <c r="F17" s="81"/>
      <c r="G17" s="82">
        <f t="shared" si="7"/>
        <v>0</v>
      </c>
      <c r="H17" s="33">
        <f t="shared" si="8"/>
        <v>0</v>
      </c>
      <c r="I17" s="2648"/>
      <c r="J17" s="2648"/>
      <c r="K17" s="2648"/>
      <c r="L17" s="2648"/>
      <c r="M17" s="2648"/>
      <c r="N17" s="83"/>
      <c r="O17" s="83"/>
      <c r="P17" s="83"/>
      <c r="Q17" s="83"/>
      <c r="R17" s="83"/>
      <c r="S17" s="83"/>
      <c r="T17" s="83"/>
      <c r="U17" s="83"/>
      <c r="V17" s="83"/>
      <c r="W17" s="83"/>
      <c r="X17" s="83"/>
      <c r="Y17" s="83"/>
      <c r="Z17" s="83"/>
      <c r="AA17" s="83"/>
      <c r="AB17" s="83"/>
      <c r="AC17" s="27">
        <f t="shared" si="9"/>
        <v>0</v>
      </c>
      <c r="AD17" s="2652"/>
      <c r="AE17" s="2652"/>
      <c r="AF17" s="2652"/>
      <c r="AG17" s="2652"/>
      <c r="AH17" s="2652"/>
      <c r="AI17" s="2652"/>
      <c r="AJ17" s="2652"/>
      <c r="AK17" s="2652"/>
      <c r="AL17" s="2652"/>
      <c r="AM17" s="2652"/>
      <c r="AN17" s="2652"/>
      <c r="AO17" s="2652"/>
      <c r="AP17" s="2652"/>
      <c r="AQ17" s="2652"/>
      <c r="AR17" s="2652"/>
      <c r="AS17" s="2652"/>
      <c r="AT17" s="2653"/>
      <c r="AU17" s="2654"/>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47"/>
      <c r="E18" s="87">
        <f t="shared" si="6"/>
        <v>0</v>
      </c>
      <c r="F18" s="88"/>
      <c r="G18" s="89">
        <f t="shared" si="7"/>
        <v>0</v>
      </c>
      <c r="H18" s="90">
        <f t="shared" si="8"/>
        <v>0</v>
      </c>
      <c r="I18" s="1296"/>
      <c r="J18" s="91"/>
      <c r="K18" s="1296"/>
      <c r="L18" s="91"/>
      <c r="M18" s="91"/>
      <c r="N18" s="91"/>
      <c r="O18" s="91"/>
      <c r="P18" s="91"/>
      <c r="Q18" s="91"/>
      <c r="R18" s="91"/>
      <c r="S18" s="91"/>
      <c r="T18" s="91"/>
      <c r="U18" s="91"/>
      <c r="V18" s="91"/>
      <c r="W18" s="91"/>
      <c r="X18" s="91"/>
      <c r="Y18" s="91"/>
      <c r="Z18" s="91"/>
      <c r="AA18" s="91"/>
      <c r="AB18" s="91"/>
      <c r="AC18" s="87">
        <f t="shared" si="9"/>
        <v>0</v>
      </c>
      <c r="AD18" s="92"/>
      <c r="AE18" s="92"/>
      <c r="AF18" s="1296"/>
      <c r="AG18" s="92"/>
      <c r="AH18" s="92"/>
      <c r="AI18" s="92"/>
      <c r="AJ18" s="92"/>
      <c r="AK18" s="92"/>
      <c r="AL18" s="1271"/>
      <c r="AM18" s="92"/>
      <c r="AN18" s="1296"/>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0"/>
      <c r="C19" s="1296"/>
      <c r="D19" s="80"/>
      <c r="E19" s="87">
        <f t="shared" si="6"/>
        <v>0</v>
      </c>
      <c r="F19" s="88"/>
      <c r="G19" s="89">
        <f t="shared" si="7"/>
        <v>0</v>
      </c>
      <c r="H19" s="90">
        <f t="shared" si="8"/>
        <v>0</v>
      </c>
      <c r="I19" s="1296"/>
      <c r="J19" s="91"/>
      <c r="K19" s="1296"/>
      <c r="L19" s="91"/>
      <c r="M19" s="91"/>
      <c r="N19" s="91"/>
      <c r="O19" s="91"/>
      <c r="P19" s="91"/>
      <c r="Q19" s="91"/>
      <c r="R19" s="91"/>
      <c r="S19" s="91"/>
      <c r="T19" s="91"/>
      <c r="U19" s="91"/>
      <c r="V19" s="91"/>
      <c r="W19" s="91"/>
      <c r="X19" s="91"/>
      <c r="Y19" s="91"/>
      <c r="Z19" s="91"/>
      <c r="AA19" s="91"/>
      <c r="AB19" s="91"/>
      <c r="AC19" s="87">
        <f t="shared" si="9"/>
        <v>0</v>
      </c>
      <c r="AD19" s="92"/>
      <c r="AE19" s="92"/>
      <c r="AF19" s="1296"/>
      <c r="AG19" s="92"/>
      <c r="AH19" s="92"/>
      <c r="AI19" s="92"/>
      <c r="AJ19" s="92"/>
      <c r="AK19" s="92"/>
      <c r="AL19" s="92"/>
      <c r="AM19" s="92"/>
      <c r="AN19" s="1296"/>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0"/>
      <c r="C20" s="1296"/>
      <c r="D20" s="80"/>
      <c r="E20" s="87">
        <f t="shared" si="6"/>
        <v>0</v>
      </c>
      <c r="F20" s="88"/>
      <c r="G20" s="89">
        <f t="shared" si="7"/>
        <v>0</v>
      </c>
      <c r="H20" s="90">
        <f t="shared" si="8"/>
        <v>0</v>
      </c>
      <c r="I20" s="1296"/>
      <c r="J20" s="91"/>
      <c r="K20" s="1296"/>
      <c r="L20" s="91"/>
      <c r="M20" s="91"/>
      <c r="N20" s="91"/>
      <c r="O20" s="91"/>
      <c r="P20" s="91"/>
      <c r="Q20" s="91"/>
      <c r="R20" s="91"/>
      <c r="S20" s="91"/>
      <c r="T20" s="91"/>
      <c r="U20" s="91"/>
      <c r="V20" s="91"/>
      <c r="W20" s="91"/>
      <c r="X20" s="91"/>
      <c r="Y20" s="91"/>
      <c r="Z20" s="91"/>
      <c r="AA20" s="91"/>
      <c r="AB20" s="91"/>
      <c r="AC20" s="87">
        <f t="shared" si="9"/>
        <v>0</v>
      </c>
      <c r="AD20" s="92"/>
      <c r="AE20" s="92"/>
      <c r="AF20" s="1296"/>
      <c r="AG20" s="92"/>
      <c r="AH20" s="92"/>
      <c r="AI20" s="92"/>
      <c r="AJ20" s="92"/>
      <c r="AK20" s="92"/>
      <c r="AL20" s="92"/>
      <c r="AM20" s="92"/>
      <c r="AN20" s="1296"/>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5"/>
      <c r="C21" s="1296"/>
      <c r="D21" s="80"/>
      <c r="E21" s="87">
        <f t="shared" ref="E21:E112" si="33">IF($C$3="是",ROUND($A$3*G21/$B$3,2),ROUND($A$3*(G21-AT21)/$B$3,2))</f>
        <v>0</v>
      </c>
      <c r="F21" s="88"/>
      <c r="G21" s="89">
        <f t="shared" ref="G21:G109" si="34">H21+AC21+AT21</f>
        <v>0</v>
      </c>
      <c r="H21" s="90">
        <f t="shared" ref="H21:H109" si="35">SUMIF(I$12:AB$12,"总值",I21:AB21)</f>
        <v>0</v>
      </c>
      <c r="I21" s="1298"/>
      <c r="J21" s="91"/>
      <c r="K21" s="12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9"/>
      <c r="AG21" s="92"/>
      <c r="AH21" s="92"/>
      <c r="AI21" s="92"/>
      <c r="AJ21" s="92"/>
      <c r="AK21" s="92"/>
      <c r="AL21" s="92"/>
      <c r="AM21" s="92"/>
      <c r="AN21" s="1271"/>
      <c r="AO21" s="92"/>
      <c r="AP21" s="92"/>
      <c r="AQ21" s="92"/>
      <c r="AR21" s="92"/>
      <c r="AS21" s="92"/>
      <c r="AT21" s="93"/>
      <c r="AU21" s="94"/>
      <c r="AV21" s="1844">
        <f t="shared" ref="AV21:AV112" si="37">A21</f>
        <v>0</v>
      </c>
      <c r="AW21" s="1844">
        <f t="shared" ref="AW21:AW112" si="38">B21</f>
        <v>0</v>
      </c>
      <c r="AX21" s="184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5"/>
      <c r="C22" s="1296"/>
      <c r="D22" s="80"/>
      <c r="E22" s="87">
        <f t="shared" si="33"/>
        <v>0</v>
      </c>
      <c r="F22" s="88"/>
      <c r="G22" s="89">
        <f t="shared" si="34"/>
        <v>0</v>
      </c>
      <c r="H22" s="90">
        <f t="shared" si="35"/>
        <v>0</v>
      </c>
      <c r="I22" s="1298"/>
      <c r="J22" s="91"/>
      <c r="K22" s="1298"/>
      <c r="L22" s="91"/>
      <c r="M22" s="1271"/>
      <c r="N22" s="91"/>
      <c r="O22" s="91"/>
      <c r="P22" s="91"/>
      <c r="Q22" s="91"/>
      <c r="R22" s="91"/>
      <c r="S22" s="91"/>
      <c r="T22" s="91"/>
      <c r="U22" s="91"/>
      <c r="V22" s="91"/>
      <c r="W22" s="91"/>
      <c r="X22" s="91"/>
      <c r="Y22" s="91"/>
      <c r="Z22" s="91"/>
      <c r="AA22" s="91"/>
      <c r="AB22" s="91"/>
      <c r="AC22" s="87">
        <f t="shared" si="36"/>
        <v>0</v>
      </c>
      <c r="AD22" s="1271"/>
      <c r="AE22" s="92"/>
      <c r="AF22" s="1299"/>
      <c r="AG22" s="92"/>
      <c r="AH22" s="92"/>
      <c r="AI22" s="92"/>
      <c r="AJ22" s="92"/>
      <c r="AK22" s="92"/>
      <c r="AL22" s="1271"/>
      <c r="AM22" s="92"/>
      <c r="AN22" s="1271"/>
      <c r="AO22" s="92"/>
      <c r="AP22" s="92"/>
      <c r="AQ22" s="92"/>
      <c r="AR22" s="92"/>
      <c r="AS22" s="92"/>
      <c r="AT22" s="93"/>
      <c r="AU22" s="94"/>
      <c r="AV22" s="1844">
        <f t="shared" si="37"/>
        <v>0</v>
      </c>
      <c r="AW22" s="1844">
        <f t="shared" si="38"/>
        <v>0</v>
      </c>
      <c r="AX22" s="184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5"/>
      <c r="C23" s="1296"/>
      <c r="D23" s="80"/>
      <c r="E23" s="87">
        <f t="shared" si="33"/>
        <v>0</v>
      </c>
      <c r="F23" s="88"/>
      <c r="G23" s="89">
        <f t="shared" si="34"/>
        <v>0</v>
      </c>
      <c r="H23" s="90">
        <f t="shared" si="35"/>
        <v>0</v>
      </c>
      <c r="I23" s="1298"/>
      <c r="J23" s="91"/>
      <c r="K23" s="1298"/>
      <c r="L23" s="91"/>
      <c r="M23" s="1271"/>
      <c r="N23" s="91"/>
      <c r="O23" s="91"/>
      <c r="P23" s="91"/>
      <c r="Q23" s="91"/>
      <c r="R23" s="91"/>
      <c r="S23" s="91"/>
      <c r="T23" s="91"/>
      <c r="U23" s="91"/>
      <c r="V23" s="91"/>
      <c r="W23" s="91"/>
      <c r="X23" s="91"/>
      <c r="Y23" s="91"/>
      <c r="Z23" s="91"/>
      <c r="AA23" s="91"/>
      <c r="AB23" s="91"/>
      <c r="AC23" s="87">
        <f t="shared" si="36"/>
        <v>0</v>
      </c>
      <c r="AD23" s="92"/>
      <c r="AE23" s="92"/>
      <c r="AF23" s="1299"/>
      <c r="AG23" s="92"/>
      <c r="AH23" s="92"/>
      <c r="AI23" s="92"/>
      <c r="AJ23" s="92"/>
      <c r="AK23" s="92"/>
      <c r="AL23" s="1271"/>
      <c r="AM23" s="92"/>
      <c r="AN23" s="1271"/>
      <c r="AO23" s="92"/>
      <c r="AP23" s="92"/>
      <c r="AQ23" s="92"/>
      <c r="AR23" s="92"/>
      <c r="AS23" s="92"/>
      <c r="AT23" s="93"/>
      <c r="AU23" s="94"/>
      <c r="AV23" s="1844">
        <f t="shared" si="37"/>
        <v>0</v>
      </c>
      <c r="AW23" s="1844">
        <f t="shared" si="38"/>
        <v>0</v>
      </c>
      <c r="AX23" s="184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5"/>
      <c r="C24" s="1296"/>
      <c r="D24" s="80"/>
      <c r="E24" s="87">
        <f t="shared" si="33"/>
        <v>0</v>
      </c>
      <c r="F24" s="88"/>
      <c r="G24" s="89">
        <f t="shared" si="34"/>
        <v>0</v>
      </c>
      <c r="H24" s="90">
        <f t="shared" si="35"/>
        <v>0</v>
      </c>
      <c r="I24" s="1298"/>
      <c r="J24" s="91"/>
      <c r="K24" s="1298"/>
      <c r="L24" s="91"/>
      <c r="M24" s="91"/>
      <c r="N24" s="91"/>
      <c r="O24" s="1271"/>
      <c r="P24" s="91"/>
      <c r="Q24" s="91"/>
      <c r="R24" s="91"/>
      <c r="S24" s="91"/>
      <c r="T24" s="91"/>
      <c r="U24" s="91"/>
      <c r="V24" s="91"/>
      <c r="W24" s="91"/>
      <c r="X24" s="91"/>
      <c r="Y24" s="91"/>
      <c r="Z24" s="91"/>
      <c r="AA24" s="91"/>
      <c r="AB24" s="91"/>
      <c r="AC24" s="87">
        <f t="shared" si="36"/>
        <v>0</v>
      </c>
      <c r="AD24" s="92"/>
      <c r="AE24" s="92"/>
      <c r="AF24" s="1299"/>
      <c r="AG24" s="92"/>
      <c r="AH24" s="92"/>
      <c r="AI24" s="92"/>
      <c r="AJ24" s="92"/>
      <c r="AK24" s="92"/>
      <c r="AL24" s="92"/>
      <c r="AM24" s="92"/>
      <c r="AN24" s="1271"/>
      <c r="AO24" s="92"/>
      <c r="AP24" s="92"/>
      <c r="AQ24" s="92"/>
      <c r="AR24" s="92"/>
      <c r="AS24" s="92"/>
      <c r="AT24" s="93"/>
      <c r="AU24" s="94"/>
      <c r="AV24" s="1844">
        <f t="shared" si="37"/>
        <v>0</v>
      </c>
      <c r="AW24" s="1844">
        <f t="shared" si="38"/>
        <v>0</v>
      </c>
      <c r="AX24" s="184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5"/>
      <c r="C25" s="1296"/>
      <c r="D25" s="80"/>
      <c r="E25" s="87">
        <f t="shared" si="33"/>
        <v>0</v>
      </c>
      <c r="F25" s="88"/>
      <c r="G25" s="89">
        <f t="shared" si="34"/>
        <v>0</v>
      </c>
      <c r="H25" s="90">
        <f t="shared" si="35"/>
        <v>0</v>
      </c>
      <c r="I25" s="1298"/>
      <c r="J25" s="91"/>
      <c r="K25" s="1298"/>
      <c r="L25" s="91"/>
      <c r="M25" s="91"/>
      <c r="N25" s="91"/>
      <c r="O25" s="91"/>
      <c r="P25" s="91"/>
      <c r="Q25" s="91"/>
      <c r="R25" s="91"/>
      <c r="S25" s="91"/>
      <c r="T25" s="91"/>
      <c r="U25" s="91"/>
      <c r="V25" s="91"/>
      <c r="W25" s="91"/>
      <c r="X25" s="91"/>
      <c r="Y25" s="91"/>
      <c r="Z25" s="91"/>
      <c r="AA25" s="91"/>
      <c r="AB25" s="91"/>
      <c r="AC25" s="87">
        <f t="shared" si="36"/>
        <v>0</v>
      </c>
      <c r="AD25" s="92"/>
      <c r="AE25" s="92"/>
      <c r="AF25" s="1299"/>
      <c r="AG25" s="92"/>
      <c r="AH25" s="92"/>
      <c r="AI25" s="92"/>
      <c r="AJ25" s="92"/>
      <c r="AK25" s="92"/>
      <c r="AL25" s="92"/>
      <c r="AM25" s="92"/>
      <c r="AN25" s="92"/>
      <c r="AO25" s="92"/>
      <c r="AP25" s="92"/>
      <c r="AQ25" s="92"/>
      <c r="AR25" s="92"/>
      <c r="AS25" s="92"/>
      <c r="AT25" s="93"/>
      <c r="AU25" s="94"/>
      <c r="AV25" s="1844">
        <f t="shared" si="37"/>
        <v>0</v>
      </c>
      <c r="AW25" s="1844">
        <f t="shared" si="38"/>
        <v>0</v>
      </c>
      <c r="AX25" s="184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5"/>
      <c r="C26" s="1296"/>
      <c r="D26" s="80"/>
      <c r="E26" s="87">
        <f t="shared" si="33"/>
        <v>0</v>
      </c>
      <c r="F26" s="88"/>
      <c r="G26" s="89">
        <f t="shared" si="34"/>
        <v>0</v>
      </c>
      <c r="H26" s="90">
        <f t="shared" si="35"/>
        <v>0</v>
      </c>
      <c r="I26" s="1298"/>
      <c r="J26" s="91"/>
      <c r="K26" s="1298"/>
      <c r="L26" s="91"/>
      <c r="M26" s="91"/>
      <c r="N26" s="91"/>
      <c r="O26" s="91"/>
      <c r="P26" s="91"/>
      <c r="Q26" s="91"/>
      <c r="R26" s="91"/>
      <c r="S26" s="91"/>
      <c r="T26" s="91"/>
      <c r="U26" s="91"/>
      <c r="V26" s="91"/>
      <c r="W26" s="91"/>
      <c r="X26" s="91"/>
      <c r="Y26" s="91"/>
      <c r="Z26" s="91"/>
      <c r="AA26" s="91"/>
      <c r="AB26" s="91"/>
      <c r="AC26" s="87">
        <f t="shared" si="36"/>
        <v>0</v>
      </c>
      <c r="AD26" s="92"/>
      <c r="AE26" s="92"/>
      <c r="AF26" s="1299"/>
      <c r="AG26" s="92"/>
      <c r="AH26" s="92"/>
      <c r="AI26" s="92"/>
      <c r="AJ26" s="92"/>
      <c r="AK26" s="92"/>
      <c r="AL26" s="92"/>
      <c r="AM26" s="92"/>
      <c r="AN26" s="92"/>
      <c r="AO26" s="92"/>
      <c r="AP26" s="92"/>
      <c r="AQ26" s="92"/>
      <c r="AR26" s="92"/>
      <c r="AS26" s="92"/>
      <c r="AT26" s="93"/>
      <c r="AU26" s="94"/>
      <c r="AV26" s="1844">
        <f t="shared" si="37"/>
        <v>0</v>
      </c>
      <c r="AW26" s="1844">
        <f t="shared" si="38"/>
        <v>0</v>
      </c>
      <c r="AX26" s="184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5"/>
      <c r="C27" s="1296"/>
      <c r="D27" s="80"/>
      <c r="E27" s="87">
        <f t="shared" si="33"/>
        <v>0</v>
      </c>
      <c r="F27" s="88"/>
      <c r="G27" s="89">
        <f t="shared" si="34"/>
        <v>0</v>
      </c>
      <c r="H27" s="90">
        <f t="shared" si="35"/>
        <v>0</v>
      </c>
      <c r="I27" s="1298"/>
      <c r="J27" s="91"/>
      <c r="K27" s="1298"/>
      <c r="L27" s="91"/>
      <c r="M27" s="91"/>
      <c r="N27" s="91"/>
      <c r="O27" s="91"/>
      <c r="P27" s="91"/>
      <c r="Q27" s="91"/>
      <c r="R27" s="91"/>
      <c r="S27" s="91"/>
      <c r="T27" s="91"/>
      <c r="U27" s="91"/>
      <c r="V27" s="91"/>
      <c r="W27" s="91"/>
      <c r="X27" s="91"/>
      <c r="Y27" s="91"/>
      <c r="Z27" s="91"/>
      <c r="AA27" s="91"/>
      <c r="AB27" s="91"/>
      <c r="AC27" s="87">
        <f t="shared" si="36"/>
        <v>0</v>
      </c>
      <c r="AD27" s="92"/>
      <c r="AE27" s="92"/>
      <c r="AF27" s="1299"/>
      <c r="AG27" s="92"/>
      <c r="AH27" s="92"/>
      <c r="AI27" s="92"/>
      <c r="AJ27" s="92"/>
      <c r="AK27" s="92"/>
      <c r="AL27" s="92"/>
      <c r="AM27" s="92"/>
      <c r="AN27" s="92"/>
      <c r="AO27" s="92"/>
      <c r="AP27" s="92"/>
      <c r="AQ27" s="92"/>
      <c r="AR27" s="92"/>
      <c r="AS27" s="92"/>
      <c r="AT27" s="93"/>
      <c r="AU27" s="94"/>
      <c r="AV27" s="1844">
        <f t="shared" si="37"/>
        <v>0</v>
      </c>
      <c r="AW27" s="1844">
        <f t="shared" si="38"/>
        <v>0</v>
      </c>
      <c r="AX27" s="184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5"/>
      <c r="C28" s="1296"/>
      <c r="D28" s="80"/>
      <c r="E28" s="87">
        <f t="shared" si="33"/>
        <v>0</v>
      </c>
      <c r="F28" s="88"/>
      <c r="G28" s="89">
        <f t="shared" si="34"/>
        <v>0</v>
      </c>
      <c r="H28" s="90">
        <f t="shared" si="35"/>
        <v>0</v>
      </c>
      <c r="I28" s="1298"/>
      <c r="J28" s="91"/>
      <c r="K28" s="1298"/>
      <c r="L28" s="91"/>
      <c r="M28" s="91"/>
      <c r="N28" s="91"/>
      <c r="O28" s="91"/>
      <c r="P28" s="91"/>
      <c r="Q28" s="91"/>
      <c r="R28" s="91"/>
      <c r="S28" s="91"/>
      <c r="T28" s="91"/>
      <c r="U28" s="91"/>
      <c r="V28" s="91"/>
      <c r="W28" s="91"/>
      <c r="X28" s="91"/>
      <c r="Y28" s="91"/>
      <c r="Z28" s="91"/>
      <c r="AA28" s="91"/>
      <c r="AB28" s="91"/>
      <c r="AC28" s="87">
        <f t="shared" si="36"/>
        <v>0</v>
      </c>
      <c r="AD28" s="92"/>
      <c r="AE28" s="92"/>
      <c r="AF28" s="1298"/>
      <c r="AG28" s="92"/>
      <c r="AH28" s="92"/>
      <c r="AI28" s="92"/>
      <c r="AJ28" s="92"/>
      <c r="AK28" s="92"/>
      <c r="AL28" s="92"/>
      <c r="AM28" s="92"/>
      <c r="AN28" s="92"/>
      <c r="AO28" s="92"/>
      <c r="AP28" s="92"/>
      <c r="AQ28" s="92"/>
      <c r="AR28" s="92"/>
      <c r="AS28" s="92"/>
      <c r="AT28" s="93"/>
      <c r="AU28" s="94"/>
      <c r="AV28" s="1844">
        <f t="shared" si="37"/>
        <v>0</v>
      </c>
      <c r="AW28" s="1844">
        <f t="shared" si="38"/>
        <v>0</v>
      </c>
      <c r="AX28" s="184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7"/>
      <c r="C29" s="1298"/>
      <c r="D29" s="80"/>
      <c r="E29" s="87">
        <f t="shared" si="33"/>
        <v>0</v>
      </c>
      <c r="F29" s="88"/>
      <c r="G29" s="89">
        <f t="shared" si="34"/>
        <v>0</v>
      </c>
      <c r="H29" s="90">
        <f t="shared" si="35"/>
        <v>0</v>
      </c>
      <c r="I29" s="1298"/>
      <c r="J29" s="91"/>
      <c r="K29" s="1298"/>
      <c r="L29" s="91"/>
      <c r="M29" s="91"/>
      <c r="N29" s="91"/>
      <c r="O29" s="91"/>
      <c r="P29" s="91"/>
      <c r="Q29" s="91"/>
      <c r="R29" s="91"/>
      <c r="S29" s="91"/>
      <c r="T29" s="91"/>
      <c r="U29" s="91"/>
      <c r="V29" s="91"/>
      <c r="W29" s="91"/>
      <c r="X29" s="91"/>
      <c r="Y29" s="91"/>
      <c r="Z29" s="91"/>
      <c r="AA29" s="91"/>
      <c r="AB29" s="91"/>
      <c r="AC29" s="87">
        <f t="shared" si="36"/>
        <v>0</v>
      </c>
      <c r="AD29" s="92"/>
      <c r="AE29" s="92"/>
      <c r="AF29" s="1298"/>
      <c r="AG29" s="92"/>
      <c r="AH29" s="92"/>
      <c r="AI29" s="92"/>
      <c r="AJ29" s="92"/>
      <c r="AK29" s="92"/>
      <c r="AL29" s="92"/>
      <c r="AM29" s="92"/>
      <c r="AN29" s="92"/>
      <c r="AO29" s="92"/>
      <c r="AP29" s="92"/>
      <c r="AQ29" s="92"/>
      <c r="AR29" s="92"/>
      <c r="AS29" s="92"/>
      <c r="AT29" s="93"/>
      <c r="AU29" s="94"/>
      <c r="AV29" s="1844">
        <f t="shared" si="37"/>
        <v>0</v>
      </c>
      <c r="AW29" s="1844">
        <f t="shared" si="38"/>
        <v>0</v>
      </c>
      <c r="AX29" s="184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5"/>
      <c r="C30" s="1296"/>
      <c r="D30" s="80"/>
      <c r="E30" s="87">
        <f t="shared" si="33"/>
        <v>0</v>
      </c>
      <c r="F30" s="88"/>
      <c r="G30" s="89">
        <f t="shared" si="34"/>
        <v>0</v>
      </c>
      <c r="H30" s="90">
        <f t="shared" si="35"/>
        <v>0</v>
      </c>
      <c r="I30" s="1298"/>
      <c r="J30" s="91"/>
      <c r="K30" s="1298"/>
      <c r="L30" s="91"/>
      <c r="M30" s="91"/>
      <c r="N30" s="91"/>
      <c r="O30" s="91"/>
      <c r="P30" s="91"/>
      <c r="Q30" s="91"/>
      <c r="R30" s="91"/>
      <c r="S30" s="91"/>
      <c r="T30" s="91"/>
      <c r="U30" s="91"/>
      <c r="V30" s="91"/>
      <c r="W30" s="91"/>
      <c r="X30" s="91"/>
      <c r="Y30" s="91"/>
      <c r="Z30" s="91"/>
      <c r="AA30" s="91"/>
      <c r="AB30" s="91"/>
      <c r="AC30" s="87">
        <f t="shared" si="36"/>
        <v>0</v>
      </c>
      <c r="AD30" s="92"/>
      <c r="AE30" s="92"/>
      <c r="AF30" s="1298"/>
      <c r="AG30" s="92"/>
      <c r="AH30" s="92"/>
      <c r="AI30" s="92"/>
      <c r="AJ30" s="92"/>
      <c r="AK30" s="92"/>
      <c r="AL30" s="92"/>
      <c r="AM30" s="92"/>
      <c r="AN30" s="92"/>
      <c r="AO30" s="92"/>
      <c r="AP30" s="92"/>
      <c r="AQ30" s="92"/>
      <c r="AR30" s="92"/>
      <c r="AS30" s="92"/>
      <c r="AT30" s="93"/>
      <c r="AU30" s="94"/>
      <c r="AV30" s="1844">
        <f t="shared" si="37"/>
        <v>0</v>
      </c>
      <c r="AW30" s="1844">
        <f t="shared" si="38"/>
        <v>0</v>
      </c>
      <c r="AX30" s="184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5"/>
      <c r="C31" s="1296"/>
      <c r="D31" s="80"/>
      <c r="E31" s="87">
        <f t="shared" si="33"/>
        <v>0</v>
      </c>
      <c r="F31" s="88"/>
      <c r="G31" s="89">
        <f t="shared" si="34"/>
        <v>0</v>
      </c>
      <c r="H31" s="90">
        <f t="shared" si="35"/>
        <v>0</v>
      </c>
      <c r="I31" s="1298"/>
      <c r="J31" s="91"/>
      <c r="K31" s="1298"/>
      <c r="L31" s="91"/>
      <c r="M31" s="91"/>
      <c r="N31" s="91"/>
      <c r="O31" s="91"/>
      <c r="P31" s="91"/>
      <c r="Q31" s="91"/>
      <c r="R31" s="91"/>
      <c r="S31" s="91"/>
      <c r="T31" s="91"/>
      <c r="U31" s="91"/>
      <c r="V31" s="91"/>
      <c r="W31" s="91"/>
      <c r="X31" s="91"/>
      <c r="Y31" s="91"/>
      <c r="Z31" s="91"/>
      <c r="AA31" s="91"/>
      <c r="AB31" s="91"/>
      <c r="AC31" s="87">
        <f t="shared" si="36"/>
        <v>0</v>
      </c>
      <c r="AD31" s="92"/>
      <c r="AE31" s="92"/>
      <c r="AF31" s="1298"/>
      <c r="AG31" s="92"/>
      <c r="AH31" s="92"/>
      <c r="AI31" s="92"/>
      <c r="AJ31" s="92"/>
      <c r="AK31" s="92"/>
      <c r="AL31" s="92"/>
      <c r="AM31" s="92"/>
      <c r="AN31" s="92"/>
      <c r="AO31" s="92"/>
      <c r="AP31" s="92"/>
      <c r="AQ31" s="92"/>
      <c r="AR31" s="92"/>
      <c r="AS31" s="92"/>
      <c r="AT31" s="93"/>
      <c r="AU31" s="94"/>
      <c r="AV31" s="1844">
        <f t="shared" si="37"/>
        <v>0</v>
      </c>
      <c r="AW31" s="1844">
        <f t="shared" si="38"/>
        <v>0</v>
      </c>
      <c r="AX31" s="184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5"/>
      <c r="C32" s="1296"/>
      <c r="D32" s="80"/>
      <c r="E32" s="87">
        <f t="shared" si="33"/>
        <v>0</v>
      </c>
      <c r="F32" s="88"/>
      <c r="G32" s="89">
        <f t="shared" si="34"/>
        <v>0</v>
      </c>
      <c r="H32" s="90">
        <f t="shared" si="35"/>
        <v>0</v>
      </c>
      <c r="I32" s="1298"/>
      <c r="J32" s="91"/>
      <c r="K32" s="1298"/>
      <c r="L32" s="91"/>
      <c r="M32" s="91"/>
      <c r="N32" s="91"/>
      <c r="O32" s="91"/>
      <c r="P32" s="91"/>
      <c r="Q32" s="91"/>
      <c r="R32" s="91"/>
      <c r="S32" s="91"/>
      <c r="T32" s="91"/>
      <c r="U32" s="91"/>
      <c r="V32" s="91"/>
      <c r="W32" s="91"/>
      <c r="X32" s="91"/>
      <c r="Y32" s="91"/>
      <c r="Z32" s="91"/>
      <c r="AA32" s="91"/>
      <c r="AB32" s="91"/>
      <c r="AC32" s="87">
        <f t="shared" si="36"/>
        <v>0</v>
      </c>
      <c r="AD32" s="92"/>
      <c r="AE32" s="92"/>
      <c r="AF32" s="1298"/>
      <c r="AG32" s="92"/>
      <c r="AH32" s="92"/>
      <c r="AI32" s="92"/>
      <c r="AJ32" s="92"/>
      <c r="AK32" s="92"/>
      <c r="AL32" s="92"/>
      <c r="AM32" s="92"/>
      <c r="AN32" s="92"/>
      <c r="AO32" s="92"/>
      <c r="AP32" s="92"/>
      <c r="AQ32" s="92"/>
      <c r="AR32" s="92"/>
      <c r="AS32" s="92"/>
      <c r="AT32" s="93"/>
      <c r="AU32" s="94"/>
      <c r="AV32" s="1844">
        <f t="shared" si="37"/>
        <v>0</v>
      </c>
      <c r="AW32" s="1844">
        <f t="shared" si="38"/>
        <v>0</v>
      </c>
      <c r="AX32" s="184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5"/>
      <c r="C33" s="1296"/>
      <c r="D33" s="80"/>
      <c r="E33" s="87">
        <f t="shared" si="33"/>
        <v>0</v>
      </c>
      <c r="F33" s="88"/>
      <c r="G33" s="89">
        <f t="shared" si="34"/>
        <v>0</v>
      </c>
      <c r="H33" s="90">
        <f t="shared" si="35"/>
        <v>0</v>
      </c>
      <c r="I33" s="1298"/>
      <c r="J33" s="91"/>
      <c r="K33" s="1298"/>
      <c r="L33" s="91"/>
      <c r="M33" s="91"/>
      <c r="N33" s="91"/>
      <c r="O33" s="91"/>
      <c r="P33" s="91"/>
      <c r="Q33" s="91"/>
      <c r="R33" s="91"/>
      <c r="S33" s="91"/>
      <c r="T33" s="91"/>
      <c r="U33" s="91"/>
      <c r="V33" s="91"/>
      <c r="W33" s="91"/>
      <c r="X33" s="91"/>
      <c r="Y33" s="91"/>
      <c r="Z33" s="91"/>
      <c r="AA33" s="91"/>
      <c r="AB33" s="91"/>
      <c r="AC33" s="87">
        <f t="shared" si="36"/>
        <v>0</v>
      </c>
      <c r="AD33" s="92"/>
      <c r="AE33" s="92"/>
      <c r="AF33" s="1298"/>
      <c r="AG33" s="92"/>
      <c r="AH33" s="92"/>
      <c r="AI33" s="92"/>
      <c r="AJ33" s="92"/>
      <c r="AK33" s="92"/>
      <c r="AL33" s="92"/>
      <c r="AM33" s="92"/>
      <c r="AN33" s="92"/>
      <c r="AO33" s="92"/>
      <c r="AP33" s="92"/>
      <c r="AQ33" s="92"/>
      <c r="AR33" s="92"/>
      <c r="AS33" s="92"/>
      <c r="AT33" s="93"/>
      <c r="AU33" s="94"/>
      <c r="AV33" s="1844">
        <f t="shared" si="37"/>
        <v>0</v>
      </c>
      <c r="AW33" s="1844">
        <f t="shared" si="38"/>
        <v>0</v>
      </c>
      <c r="AX33" s="184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5"/>
      <c r="C34" s="1296"/>
      <c r="D34" s="80"/>
      <c r="E34" s="87">
        <f t="shared" si="33"/>
        <v>0</v>
      </c>
      <c r="F34" s="88"/>
      <c r="G34" s="89">
        <f t="shared" si="34"/>
        <v>0</v>
      </c>
      <c r="H34" s="90">
        <f t="shared" si="35"/>
        <v>0</v>
      </c>
      <c r="I34" s="1298"/>
      <c r="J34" s="91"/>
      <c r="K34" s="1298"/>
      <c r="L34" s="91"/>
      <c r="M34" s="91"/>
      <c r="N34" s="91"/>
      <c r="O34" s="91"/>
      <c r="P34" s="91"/>
      <c r="Q34" s="91"/>
      <c r="R34" s="91"/>
      <c r="S34" s="91"/>
      <c r="T34" s="91"/>
      <c r="U34" s="91"/>
      <c r="V34" s="91"/>
      <c r="W34" s="91"/>
      <c r="X34" s="91"/>
      <c r="Y34" s="91"/>
      <c r="Z34" s="91"/>
      <c r="AA34" s="91"/>
      <c r="AB34" s="91"/>
      <c r="AC34" s="87">
        <f t="shared" si="36"/>
        <v>0</v>
      </c>
      <c r="AD34" s="92"/>
      <c r="AE34" s="92"/>
      <c r="AF34" s="1298"/>
      <c r="AG34" s="92"/>
      <c r="AH34" s="92"/>
      <c r="AI34" s="92"/>
      <c r="AJ34" s="92"/>
      <c r="AK34" s="92"/>
      <c r="AL34" s="92"/>
      <c r="AM34" s="92"/>
      <c r="AN34" s="92"/>
      <c r="AO34" s="92"/>
      <c r="AP34" s="92"/>
      <c r="AQ34" s="92"/>
      <c r="AR34" s="92"/>
      <c r="AS34" s="92"/>
      <c r="AT34" s="93"/>
      <c r="AU34" s="94"/>
      <c r="AV34" s="1844">
        <f t="shared" si="37"/>
        <v>0</v>
      </c>
      <c r="AW34" s="1844">
        <f t="shared" si="38"/>
        <v>0</v>
      </c>
      <c r="AX34" s="184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5"/>
      <c r="C35" s="1296"/>
      <c r="D35" s="80"/>
      <c r="E35" s="87">
        <f t="shared" si="33"/>
        <v>0</v>
      </c>
      <c r="F35" s="88"/>
      <c r="G35" s="89">
        <f t="shared" si="34"/>
        <v>0</v>
      </c>
      <c r="H35" s="90">
        <f t="shared" si="35"/>
        <v>0</v>
      </c>
      <c r="I35" s="1298"/>
      <c r="J35" s="91"/>
      <c r="K35" s="1298"/>
      <c r="L35" s="91"/>
      <c r="M35" s="91"/>
      <c r="N35" s="91"/>
      <c r="O35" s="91"/>
      <c r="P35" s="91"/>
      <c r="Q35" s="91"/>
      <c r="R35" s="91"/>
      <c r="S35" s="91"/>
      <c r="T35" s="91"/>
      <c r="U35" s="91"/>
      <c r="V35" s="91"/>
      <c r="W35" s="91"/>
      <c r="X35" s="91"/>
      <c r="Y35" s="91"/>
      <c r="Z35" s="91"/>
      <c r="AA35" s="91"/>
      <c r="AB35" s="91"/>
      <c r="AC35" s="87">
        <f t="shared" si="36"/>
        <v>0</v>
      </c>
      <c r="AD35" s="92"/>
      <c r="AE35" s="92"/>
      <c r="AF35" s="1298"/>
      <c r="AG35" s="92"/>
      <c r="AH35" s="92"/>
      <c r="AI35" s="92"/>
      <c r="AJ35" s="92"/>
      <c r="AK35" s="92"/>
      <c r="AL35" s="92"/>
      <c r="AM35" s="92"/>
      <c r="AN35" s="92"/>
      <c r="AO35" s="92"/>
      <c r="AP35" s="92"/>
      <c r="AQ35" s="92"/>
      <c r="AR35" s="92"/>
      <c r="AS35" s="92"/>
      <c r="AT35" s="93"/>
      <c r="AU35" s="94"/>
      <c r="AV35" s="1844">
        <f t="shared" si="37"/>
        <v>0</v>
      </c>
      <c r="AW35" s="1844">
        <f t="shared" si="38"/>
        <v>0</v>
      </c>
      <c r="AX35" s="184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5"/>
      <c r="C36" s="1296"/>
      <c r="D36" s="80"/>
      <c r="E36" s="87">
        <f t="shared" si="33"/>
        <v>0</v>
      </c>
      <c r="F36" s="88"/>
      <c r="G36" s="89">
        <f t="shared" si="34"/>
        <v>0</v>
      </c>
      <c r="H36" s="90">
        <f t="shared" si="35"/>
        <v>0</v>
      </c>
      <c r="I36" s="1298"/>
      <c r="J36" s="91"/>
      <c r="K36" s="1298"/>
      <c r="L36" s="91"/>
      <c r="M36" s="91"/>
      <c r="N36" s="91"/>
      <c r="O36" s="91"/>
      <c r="P36" s="91"/>
      <c r="Q36" s="91"/>
      <c r="R36" s="91"/>
      <c r="S36" s="91"/>
      <c r="T36" s="91"/>
      <c r="U36" s="91"/>
      <c r="V36" s="91"/>
      <c r="W36" s="91"/>
      <c r="X36" s="91"/>
      <c r="Y36" s="91"/>
      <c r="Z36" s="91"/>
      <c r="AA36" s="91"/>
      <c r="AB36" s="91"/>
      <c r="AC36" s="87">
        <f t="shared" si="36"/>
        <v>0</v>
      </c>
      <c r="AD36" s="92"/>
      <c r="AE36" s="92"/>
      <c r="AF36" s="1298"/>
      <c r="AG36" s="92"/>
      <c r="AH36" s="92"/>
      <c r="AI36" s="92"/>
      <c r="AJ36" s="92"/>
      <c r="AK36" s="92"/>
      <c r="AL36" s="92"/>
      <c r="AM36" s="92"/>
      <c r="AN36" s="92"/>
      <c r="AO36" s="92"/>
      <c r="AP36" s="92"/>
      <c r="AQ36" s="92"/>
      <c r="AR36" s="92"/>
      <c r="AS36" s="92"/>
      <c r="AT36" s="93"/>
      <c r="AU36" s="94"/>
      <c r="AV36" s="1844">
        <f t="shared" si="37"/>
        <v>0</v>
      </c>
      <c r="AW36" s="1844">
        <f t="shared" si="38"/>
        <v>0</v>
      </c>
      <c r="AX36" s="184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5"/>
      <c r="C37" s="1296"/>
      <c r="D37" s="80"/>
      <c r="E37" s="87">
        <f t="shared" si="33"/>
        <v>0</v>
      </c>
      <c r="F37" s="88"/>
      <c r="G37" s="89">
        <f t="shared" si="34"/>
        <v>0</v>
      </c>
      <c r="H37" s="90">
        <f t="shared" si="35"/>
        <v>0</v>
      </c>
      <c r="I37" s="1298"/>
      <c r="J37" s="91"/>
      <c r="K37" s="1298"/>
      <c r="L37" s="91"/>
      <c r="M37" s="91"/>
      <c r="N37" s="91"/>
      <c r="O37" s="91"/>
      <c r="P37" s="91"/>
      <c r="Q37" s="91"/>
      <c r="R37" s="91"/>
      <c r="S37" s="91"/>
      <c r="T37" s="91"/>
      <c r="U37" s="91"/>
      <c r="V37" s="91"/>
      <c r="W37" s="91"/>
      <c r="X37" s="91"/>
      <c r="Y37" s="91"/>
      <c r="Z37" s="91"/>
      <c r="AA37" s="91"/>
      <c r="AB37" s="91"/>
      <c r="AC37" s="87">
        <f t="shared" si="36"/>
        <v>0</v>
      </c>
      <c r="AD37" s="92"/>
      <c r="AE37" s="92"/>
      <c r="AF37" s="1298"/>
      <c r="AG37" s="92"/>
      <c r="AH37" s="92"/>
      <c r="AI37" s="92"/>
      <c r="AJ37" s="92"/>
      <c r="AK37" s="92"/>
      <c r="AL37" s="92"/>
      <c r="AM37" s="92"/>
      <c r="AN37" s="92"/>
      <c r="AO37" s="92"/>
      <c r="AP37" s="92"/>
      <c r="AQ37" s="92"/>
      <c r="AR37" s="92"/>
      <c r="AS37" s="92"/>
      <c r="AT37" s="93"/>
      <c r="AU37" s="94"/>
      <c r="AV37" s="1844">
        <f t="shared" si="37"/>
        <v>0</v>
      </c>
      <c r="AW37" s="1844">
        <f t="shared" si="38"/>
        <v>0</v>
      </c>
      <c r="AX37" s="184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5"/>
      <c r="C38" s="1296"/>
      <c r="D38" s="80"/>
      <c r="E38" s="87">
        <f t="shared" si="33"/>
        <v>0</v>
      </c>
      <c r="F38" s="88"/>
      <c r="G38" s="89">
        <f t="shared" si="34"/>
        <v>0</v>
      </c>
      <c r="H38" s="90">
        <f t="shared" si="35"/>
        <v>0</v>
      </c>
      <c r="I38" s="1298"/>
      <c r="J38" s="91"/>
      <c r="K38" s="1298"/>
      <c r="L38" s="91"/>
      <c r="M38" s="91"/>
      <c r="N38" s="91"/>
      <c r="O38" s="91"/>
      <c r="P38" s="91"/>
      <c r="Q38" s="91"/>
      <c r="R38" s="91"/>
      <c r="S38" s="91"/>
      <c r="T38" s="91"/>
      <c r="U38" s="91"/>
      <c r="V38" s="91"/>
      <c r="W38" s="91"/>
      <c r="X38" s="91"/>
      <c r="Y38" s="91"/>
      <c r="Z38" s="91"/>
      <c r="AA38" s="91"/>
      <c r="AB38" s="91"/>
      <c r="AC38" s="87">
        <f t="shared" si="36"/>
        <v>0</v>
      </c>
      <c r="AD38" s="92"/>
      <c r="AE38" s="92"/>
      <c r="AF38" s="1298"/>
      <c r="AG38" s="92"/>
      <c r="AH38" s="92"/>
      <c r="AI38" s="92"/>
      <c r="AJ38" s="92"/>
      <c r="AK38" s="92"/>
      <c r="AL38" s="92"/>
      <c r="AM38" s="92"/>
      <c r="AN38" s="92"/>
      <c r="AO38" s="92"/>
      <c r="AP38" s="92"/>
      <c r="AQ38" s="92"/>
      <c r="AR38" s="92"/>
      <c r="AS38" s="92"/>
      <c r="AT38" s="93"/>
      <c r="AU38" s="94"/>
      <c r="AV38" s="1844">
        <f t="shared" si="37"/>
        <v>0</v>
      </c>
      <c r="AW38" s="1844">
        <f t="shared" si="38"/>
        <v>0</v>
      </c>
      <c r="AX38" s="184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5"/>
      <c r="C39" s="1296"/>
      <c r="D39" s="80"/>
      <c r="E39" s="87">
        <f t="shared" si="33"/>
        <v>0</v>
      </c>
      <c r="F39" s="88"/>
      <c r="G39" s="89">
        <f t="shared" si="34"/>
        <v>0</v>
      </c>
      <c r="H39" s="90">
        <f t="shared" si="35"/>
        <v>0</v>
      </c>
      <c r="I39" s="1298"/>
      <c r="J39" s="91"/>
      <c r="K39" s="1298"/>
      <c r="L39" s="91"/>
      <c r="M39" s="91"/>
      <c r="N39" s="91"/>
      <c r="O39" s="91"/>
      <c r="P39" s="91"/>
      <c r="Q39" s="91"/>
      <c r="R39" s="91"/>
      <c r="S39" s="91"/>
      <c r="T39" s="91"/>
      <c r="U39" s="91"/>
      <c r="V39" s="91"/>
      <c r="W39" s="91"/>
      <c r="X39" s="91"/>
      <c r="Y39" s="91"/>
      <c r="Z39" s="91"/>
      <c r="AA39" s="91"/>
      <c r="AB39" s="91"/>
      <c r="AC39" s="87">
        <f t="shared" si="36"/>
        <v>0</v>
      </c>
      <c r="AD39" s="92"/>
      <c r="AE39" s="92"/>
      <c r="AF39" s="1298"/>
      <c r="AG39" s="92"/>
      <c r="AH39" s="92"/>
      <c r="AI39" s="92"/>
      <c r="AJ39" s="92"/>
      <c r="AK39" s="92"/>
      <c r="AL39" s="92"/>
      <c r="AM39" s="92"/>
      <c r="AN39" s="92"/>
      <c r="AO39" s="92"/>
      <c r="AP39" s="92"/>
      <c r="AQ39" s="92"/>
      <c r="AR39" s="92"/>
      <c r="AS39" s="92"/>
      <c r="AT39" s="93"/>
      <c r="AU39" s="94"/>
      <c r="AV39" s="1844">
        <f t="shared" si="37"/>
        <v>0</v>
      </c>
      <c r="AW39" s="1844">
        <f t="shared" si="38"/>
        <v>0</v>
      </c>
      <c r="AX39" s="184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5"/>
      <c r="C40" s="1296"/>
      <c r="D40" s="80"/>
      <c r="E40" s="87">
        <f t="shared" si="33"/>
        <v>0</v>
      </c>
      <c r="F40" s="88"/>
      <c r="G40" s="89">
        <f t="shared" si="34"/>
        <v>0</v>
      </c>
      <c r="H40" s="90">
        <f t="shared" si="35"/>
        <v>0</v>
      </c>
      <c r="I40" s="1298"/>
      <c r="J40" s="91"/>
      <c r="K40" s="1298"/>
      <c r="L40" s="91"/>
      <c r="M40" s="91"/>
      <c r="N40" s="91"/>
      <c r="O40" s="91"/>
      <c r="P40" s="91"/>
      <c r="Q40" s="91"/>
      <c r="R40" s="91"/>
      <c r="S40" s="91"/>
      <c r="T40" s="91"/>
      <c r="U40" s="91"/>
      <c r="V40" s="91"/>
      <c r="W40" s="91"/>
      <c r="X40" s="91"/>
      <c r="Y40" s="91"/>
      <c r="Z40" s="91"/>
      <c r="AA40" s="91"/>
      <c r="AB40" s="91"/>
      <c r="AC40" s="87">
        <f t="shared" si="36"/>
        <v>0</v>
      </c>
      <c r="AD40" s="92"/>
      <c r="AE40" s="92"/>
      <c r="AF40" s="1298"/>
      <c r="AG40" s="92"/>
      <c r="AH40" s="92"/>
      <c r="AI40" s="92"/>
      <c r="AJ40" s="92"/>
      <c r="AK40" s="92"/>
      <c r="AL40" s="92"/>
      <c r="AM40" s="92"/>
      <c r="AN40" s="92"/>
      <c r="AO40" s="92"/>
      <c r="AP40" s="92"/>
      <c r="AQ40" s="92"/>
      <c r="AR40" s="92"/>
      <c r="AS40" s="92"/>
      <c r="AT40" s="93"/>
      <c r="AU40" s="94"/>
      <c r="AV40" s="1844">
        <f t="shared" si="37"/>
        <v>0</v>
      </c>
      <c r="AW40" s="1844">
        <f t="shared" si="38"/>
        <v>0</v>
      </c>
      <c r="AX40" s="184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5"/>
      <c r="C41" s="1296"/>
      <c r="D41" s="80"/>
      <c r="E41" s="87">
        <f t="shared" si="33"/>
        <v>0</v>
      </c>
      <c r="F41" s="88"/>
      <c r="G41" s="89">
        <f t="shared" si="34"/>
        <v>0</v>
      </c>
      <c r="H41" s="90">
        <f t="shared" si="35"/>
        <v>0</v>
      </c>
      <c r="I41" s="1298"/>
      <c r="J41" s="91"/>
      <c r="K41" s="1298"/>
      <c r="L41" s="91"/>
      <c r="M41" s="91"/>
      <c r="N41" s="91"/>
      <c r="O41" s="91"/>
      <c r="P41" s="91"/>
      <c r="Q41" s="91"/>
      <c r="R41" s="91"/>
      <c r="S41" s="91"/>
      <c r="T41" s="91"/>
      <c r="U41" s="91"/>
      <c r="V41" s="91"/>
      <c r="W41" s="91"/>
      <c r="X41" s="91"/>
      <c r="Y41" s="91"/>
      <c r="Z41" s="91"/>
      <c r="AA41" s="91"/>
      <c r="AB41" s="91"/>
      <c r="AC41" s="87">
        <f t="shared" si="36"/>
        <v>0</v>
      </c>
      <c r="AD41" s="92"/>
      <c r="AE41" s="92"/>
      <c r="AF41" s="1298"/>
      <c r="AG41" s="92"/>
      <c r="AH41" s="92"/>
      <c r="AI41" s="92"/>
      <c r="AJ41" s="92"/>
      <c r="AK41" s="92"/>
      <c r="AL41" s="92"/>
      <c r="AM41" s="92"/>
      <c r="AN41" s="92"/>
      <c r="AO41" s="92"/>
      <c r="AP41" s="92"/>
      <c r="AQ41" s="92"/>
      <c r="AR41" s="92"/>
      <c r="AS41" s="92"/>
      <c r="AT41" s="93"/>
      <c r="AU41" s="94"/>
      <c r="AV41" s="1844">
        <f t="shared" si="37"/>
        <v>0</v>
      </c>
      <c r="AW41" s="1844">
        <f t="shared" si="38"/>
        <v>0</v>
      </c>
      <c r="AX41" s="184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5"/>
      <c r="C42" s="1296"/>
      <c r="D42" s="80"/>
      <c r="E42" s="87">
        <f t="shared" si="33"/>
        <v>0</v>
      </c>
      <c r="F42" s="88"/>
      <c r="G42" s="89">
        <f t="shared" si="34"/>
        <v>0</v>
      </c>
      <c r="H42" s="90">
        <f t="shared" si="35"/>
        <v>0</v>
      </c>
      <c r="I42" s="1298"/>
      <c r="J42" s="91"/>
      <c r="K42" s="1298"/>
      <c r="L42" s="91"/>
      <c r="M42" s="91"/>
      <c r="N42" s="91"/>
      <c r="O42" s="91"/>
      <c r="P42" s="91"/>
      <c r="Q42" s="91"/>
      <c r="R42" s="91"/>
      <c r="S42" s="91"/>
      <c r="T42" s="91"/>
      <c r="U42" s="91"/>
      <c r="V42" s="91"/>
      <c r="W42" s="91"/>
      <c r="X42" s="91"/>
      <c r="Y42" s="91"/>
      <c r="Z42" s="91"/>
      <c r="AA42" s="91"/>
      <c r="AB42" s="91"/>
      <c r="AC42" s="87">
        <f t="shared" si="36"/>
        <v>0</v>
      </c>
      <c r="AD42" s="92"/>
      <c r="AE42" s="92"/>
      <c r="AF42" s="1298"/>
      <c r="AG42" s="92"/>
      <c r="AH42" s="92"/>
      <c r="AI42" s="92"/>
      <c r="AJ42" s="92"/>
      <c r="AK42" s="92"/>
      <c r="AL42" s="92"/>
      <c r="AM42" s="92"/>
      <c r="AN42" s="92"/>
      <c r="AO42" s="92"/>
      <c r="AP42" s="92"/>
      <c r="AQ42" s="92"/>
      <c r="AR42" s="92"/>
      <c r="AS42" s="92"/>
      <c r="AT42" s="93"/>
      <c r="AU42" s="94"/>
      <c r="AV42" s="1844">
        <f t="shared" si="37"/>
        <v>0</v>
      </c>
      <c r="AW42" s="1844">
        <f t="shared" si="38"/>
        <v>0</v>
      </c>
      <c r="AX42" s="184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5"/>
      <c r="C43" s="1296"/>
      <c r="D43" s="80"/>
      <c r="E43" s="87">
        <f t="shared" si="33"/>
        <v>0</v>
      </c>
      <c r="F43" s="88"/>
      <c r="G43" s="89">
        <f t="shared" si="34"/>
        <v>0</v>
      </c>
      <c r="H43" s="90">
        <f t="shared" si="35"/>
        <v>0</v>
      </c>
      <c r="I43" s="1298"/>
      <c r="J43" s="91"/>
      <c r="K43" s="1298"/>
      <c r="L43" s="91"/>
      <c r="M43" s="91"/>
      <c r="N43" s="91"/>
      <c r="O43" s="91"/>
      <c r="P43" s="91"/>
      <c r="Q43" s="91"/>
      <c r="R43" s="91"/>
      <c r="S43" s="91"/>
      <c r="T43" s="91"/>
      <c r="U43" s="91"/>
      <c r="V43" s="91"/>
      <c r="W43" s="91"/>
      <c r="X43" s="91"/>
      <c r="Y43" s="91"/>
      <c r="Z43" s="91"/>
      <c r="AA43" s="91"/>
      <c r="AB43" s="91"/>
      <c r="AC43" s="87">
        <f t="shared" si="36"/>
        <v>0</v>
      </c>
      <c r="AD43" s="92"/>
      <c r="AE43" s="92"/>
      <c r="AF43" s="1298"/>
      <c r="AG43" s="92"/>
      <c r="AH43" s="92"/>
      <c r="AI43" s="92"/>
      <c r="AJ43" s="92"/>
      <c r="AK43" s="92"/>
      <c r="AL43" s="92"/>
      <c r="AM43" s="92"/>
      <c r="AN43" s="92"/>
      <c r="AO43" s="92"/>
      <c r="AP43" s="92"/>
      <c r="AQ43" s="92"/>
      <c r="AR43" s="92"/>
      <c r="AS43" s="92"/>
      <c r="AT43" s="93"/>
      <c r="AU43" s="94"/>
      <c r="AV43" s="1844">
        <f t="shared" si="37"/>
        <v>0</v>
      </c>
      <c r="AW43" s="1844">
        <f t="shared" si="38"/>
        <v>0</v>
      </c>
      <c r="AX43" s="184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5"/>
      <c r="C44" s="1296"/>
      <c r="D44" s="80"/>
      <c r="E44" s="87">
        <f t="shared" si="33"/>
        <v>0</v>
      </c>
      <c r="F44" s="88"/>
      <c r="G44" s="89">
        <f t="shared" si="34"/>
        <v>0</v>
      </c>
      <c r="H44" s="90">
        <f t="shared" si="35"/>
        <v>0</v>
      </c>
      <c r="I44" s="1298"/>
      <c r="J44" s="91"/>
      <c r="K44" s="1298"/>
      <c r="L44" s="91"/>
      <c r="M44" s="91"/>
      <c r="N44" s="91"/>
      <c r="O44" s="91"/>
      <c r="P44" s="91"/>
      <c r="Q44" s="91"/>
      <c r="R44" s="91"/>
      <c r="S44" s="91"/>
      <c r="T44" s="91"/>
      <c r="U44" s="91"/>
      <c r="V44" s="91"/>
      <c r="W44" s="91"/>
      <c r="X44" s="91"/>
      <c r="Y44" s="91"/>
      <c r="Z44" s="91"/>
      <c r="AA44" s="91"/>
      <c r="AB44" s="91"/>
      <c r="AC44" s="87">
        <f t="shared" si="36"/>
        <v>0</v>
      </c>
      <c r="AD44" s="92"/>
      <c r="AE44" s="92"/>
      <c r="AF44" s="1298"/>
      <c r="AG44" s="92"/>
      <c r="AH44" s="92"/>
      <c r="AI44" s="92"/>
      <c r="AJ44" s="92"/>
      <c r="AK44" s="92"/>
      <c r="AL44" s="92"/>
      <c r="AM44" s="92"/>
      <c r="AN44" s="92"/>
      <c r="AO44" s="92"/>
      <c r="AP44" s="92"/>
      <c r="AQ44" s="92"/>
      <c r="AR44" s="92"/>
      <c r="AS44" s="92"/>
      <c r="AT44" s="93"/>
      <c r="AU44" s="94"/>
      <c r="AV44" s="1844">
        <f t="shared" si="37"/>
        <v>0</v>
      </c>
      <c r="AW44" s="1844">
        <f t="shared" si="38"/>
        <v>0</v>
      </c>
      <c r="AX44" s="184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5"/>
      <c r="C45" s="1296"/>
      <c r="D45" s="80"/>
      <c r="E45" s="87">
        <f t="shared" si="33"/>
        <v>0</v>
      </c>
      <c r="F45" s="88"/>
      <c r="G45" s="89">
        <f t="shared" si="34"/>
        <v>0</v>
      </c>
      <c r="H45" s="90">
        <f t="shared" si="35"/>
        <v>0</v>
      </c>
      <c r="I45" s="1298"/>
      <c r="J45" s="91"/>
      <c r="K45" s="1298"/>
      <c r="L45" s="91"/>
      <c r="M45" s="91"/>
      <c r="N45" s="91"/>
      <c r="O45" s="91"/>
      <c r="P45" s="91"/>
      <c r="Q45" s="91"/>
      <c r="R45" s="91"/>
      <c r="S45" s="91"/>
      <c r="T45" s="91"/>
      <c r="U45" s="91"/>
      <c r="V45" s="91"/>
      <c r="W45" s="91"/>
      <c r="X45" s="91"/>
      <c r="Y45" s="91"/>
      <c r="Z45" s="91"/>
      <c r="AA45" s="91"/>
      <c r="AB45" s="91"/>
      <c r="AC45" s="87">
        <f t="shared" si="36"/>
        <v>0</v>
      </c>
      <c r="AD45" s="92"/>
      <c r="AE45" s="92"/>
      <c r="AF45" s="1298"/>
      <c r="AG45" s="92"/>
      <c r="AH45" s="92"/>
      <c r="AI45" s="92"/>
      <c r="AJ45" s="92"/>
      <c r="AK45" s="92"/>
      <c r="AL45" s="92"/>
      <c r="AM45" s="92"/>
      <c r="AN45" s="92"/>
      <c r="AO45" s="92"/>
      <c r="AP45" s="92"/>
      <c r="AQ45" s="92"/>
      <c r="AR45" s="92"/>
      <c r="AS45" s="92"/>
      <c r="AT45" s="93"/>
      <c r="AU45" s="94"/>
      <c r="AV45" s="1844">
        <f t="shared" si="37"/>
        <v>0</v>
      </c>
      <c r="AW45" s="1844">
        <f t="shared" si="38"/>
        <v>0</v>
      </c>
      <c r="AX45" s="184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5"/>
      <c r="C46" s="1296"/>
      <c r="D46" s="80"/>
      <c r="E46" s="87">
        <f t="shared" si="33"/>
        <v>0</v>
      </c>
      <c r="F46" s="88"/>
      <c r="G46" s="89">
        <f t="shared" si="34"/>
        <v>0</v>
      </c>
      <c r="H46" s="90">
        <f t="shared" si="35"/>
        <v>0</v>
      </c>
      <c r="I46" s="1298"/>
      <c r="J46" s="91"/>
      <c r="K46" s="1298"/>
      <c r="L46" s="91"/>
      <c r="M46" s="91"/>
      <c r="N46" s="91"/>
      <c r="O46" s="91"/>
      <c r="P46" s="91"/>
      <c r="Q46" s="91"/>
      <c r="R46" s="91"/>
      <c r="S46" s="91"/>
      <c r="T46" s="91"/>
      <c r="U46" s="91"/>
      <c r="V46" s="91"/>
      <c r="W46" s="91"/>
      <c r="X46" s="91"/>
      <c r="Y46" s="91"/>
      <c r="Z46" s="91"/>
      <c r="AA46" s="91"/>
      <c r="AB46" s="91"/>
      <c r="AC46" s="87">
        <f t="shared" si="36"/>
        <v>0</v>
      </c>
      <c r="AD46" s="92"/>
      <c r="AE46" s="92"/>
      <c r="AF46" s="1298"/>
      <c r="AG46" s="92"/>
      <c r="AH46" s="92"/>
      <c r="AI46" s="92"/>
      <c r="AJ46" s="92"/>
      <c r="AK46" s="92"/>
      <c r="AL46" s="92"/>
      <c r="AM46" s="92"/>
      <c r="AN46" s="92"/>
      <c r="AO46" s="92"/>
      <c r="AP46" s="92"/>
      <c r="AQ46" s="92"/>
      <c r="AR46" s="92"/>
      <c r="AS46" s="92"/>
      <c r="AT46" s="93"/>
      <c r="AU46" s="94"/>
      <c r="AV46" s="1844">
        <f t="shared" si="37"/>
        <v>0</v>
      </c>
      <c r="AW46" s="1844">
        <f t="shared" si="38"/>
        <v>0</v>
      </c>
      <c r="AX46" s="184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5"/>
      <c r="C47" s="1296"/>
      <c r="D47" s="80"/>
      <c r="E47" s="87">
        <f t="shared" si="33"/>
        <v>0</v>
      </c>
      <c r="F47" s="88"/>
      <c r="G47" s="89">
        <f t="shared" si="34"/>
        <v>0</v>
      </c>
      <c r="H47" s="90">
        <f t="shared" si="35"/>
        <v>0</v>
      </c>
      <c r="I47" s="1298"/>
      <c r="J47" s="91"/>
      <c r="K47" s="1298"/>
      <c r="L47" s="91"/>
      <c r="M47" s="91"/>
      <c r="N47" s="91"/>
      <c r="O47" s="91"/>
      <c r="P47" s="91"/>
      <c r="Q47" s="91"/>
      <c r="R47" s="91"/>
      <c r="S47" s="91"/>
      <c r="T47" s="91"/>
      <c r="U47" s="91"/>
      <c r="V47" s="91"/>
      <c r="W47" s="91"/>
      <c r="X47" s="91"/>
      <c r="Y47" s="91"/>
      <c r="Z47" s="91"/>
      <c r="AA47" s="91"/>
      <c r="AB47" s="91"/>
      <c r="AC47" s="87">
        <f t="shared" si="36"/>
        <v>0</v>
      </c>
      <c r="AD47" s="92"/>
      <c r="AE47" s="92"/>
      <c r="AF47" s="1296"/>
      <c r="AG47" s="92"/>
      <c r="AH47" s="92"/>
      <c r="AI47" s="92"/>
      <c r="AJ47" s="92"/>
      <c r="AK47" s="92"/>
      <c r="AL47" s="92"/>
      <c r="AM47" s="92"/>
      <c r="AN47" s="92"/>
      <c r="AO47" s="92"/>
      <c r="AP47" s="92"/>
      <c r="AQ47" s="92"/>
      <c r="AR47" s="92"/>
      <c r="AS47" s="92"/>
      <c r="AT47" s="93"/>
      <c r="AU47" s="94"/>
      <c r="AV47" s="1844">
        <f t="shared" si="37"/>
        <v>0</v>
      </c>
      <c r="AW47" s="1844">
        <f t="shared" si="38"/>
        <v>0</v>
      </c>
      <c r="AX47" s="184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5"/>
      <c r="C48" s="1296"/>
      <c r="D48" s="80"/>
      <c r="E48" s="87">
        <f t="shared" si="33"/>
        <v>0</v>
      </c>
      <c r="F48" s="88"/>
      <c r="G48" s="89">
        <f t="shared" si="34"/>
        <v>0</v>
      </c>
      <c r="H48" s="90">
        <f t="shared" si="35"/>
        <v>0</v>
      </c>
      <c r="I48" s="1296"/>
      <c r="J48" s="91"/>
      <c r="K48" s="1296"/>
      <c r="L48" s="91"/>
      <c r="M48" s="91"/>
      <c r="N48" s="91"/>
      <c r="O48" s="91"/>
      <c r="P48" s="91"/>
      <c r="Q48" s="91"/>
      <c r="R48" s="91"/>
      <c r="S48" s="91"/>
      <c r="T48" s="91"/>
      <c r="U48" s="91"/>
      <c r="V48" s="91"/>
      <c r="W48" s="91"/>
      <c r="X48" s="91"/>
      <c r="Y48" s="91"/>
      <c r="Z48" s="91"/>
      <c r="AA48" s="91"/>
      <c r="AB48" s="91"/>
      <c r="AC48" s="87">
        <f t="shared" si="36"/>
        <v>0</v>
      </c>
      <c r="AD48" s="92"/>
      <c r="AE48" s="92"/>
      <c r="AF48" s="1296"/>
      <c r="AG48" s="92"/>
      <c r="AH48" s="92"/>
      <c r="AI48" s="92"/>
      <c r="AJ48" s="92"/>
      <c r="AK48" s="92"/>
      <c r="AL48" s="92"/>
      <c r="AM48" s="92"/>
      <c r="AN48" s="92"/>
      <c r="AO48" s="92"/>
      <c r="AP48" s="92"/>
      <c r="AQ48" s="92"/>
      <c r="AR48" s="92"/>
      <c r="AS48" s="92"/>
      <c r="AT48" s="93"/>
      <c r="AU48" s="94"/>
      <c r="AV48" s="1844">
        <f t="shared" si="37"/>
        <v>0</v>
      </c>
      <c r="AW48" s="1844">
        <f t="shared" si="38"/>
        <v>0</v>
      </c>
      <c r="AX48" s="184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5"/>
      <c r="C49" s="1296"/>
      <c r="D49" s="80"/>
      <c r="E49" s="87">
        <f t="shared" si="33"/>
        <v>0</v>
      </c>
      <c r="F49" s="88"/>
      <c r="G49" s="89">
        <f t="shared" si="34"/>
        <v>0</v>
      </c>
      <c r="H49" s="90">
        <f t="shared" si="35"/>
        <v>0</v>
      </c>
      <c r="I49" s="1296"/>
      <c r="J49" s="91"/>
      <c r="K49" s="1296"/>
      <c r="L49" s="91"/>
      <c r="M49" s="91"/>
      <c r="N49" s="91"/>
      <c r="O49" s="91"/>
      <c r="P49" s="91"/>
      <c r="Q49" s="91"/>
      <c r="R49" s="91"/>
      <c r="S49" s="91"/>
      <c r="T49" s="91"/>
      <c r="U49" s="91"/>
      <c r="V49" s="91"/>
      <c r="W49" s="91"/>
      <c r="X49" s="91"/>
      <c r="Y49" s="91"/>
      <c r="Z49" s="91"/>
      <c r="AA49" s="91"/>
      <c r="AB49" s="91"/>
      <c r="AC49" s="87">
        <f t="shared" si="36"/>
        <v>0</v>
      </c>
      <c r="AD49" s="92"/>
      <c r="AE49" s="92"/>
      <c r="AF49" s="1296"/>
      <c r="AG49" s="92"/>
      <c r="AH49" s="92"/>
      <c r="AI49" s="92"/>
      <c r="AJ49" s="92"/>
      <c r="AK49" s="92"/>
      <c r="AL49" s="92"/>
      <c r="AM49" s="92"/>
      <c r="AN49" s="92"/>
      <c r="AO49" s="92"/>
      <c r="AP49" s="92"/>
      <c r="AQ49" s="92"/>
      <c r="AR49" s="92"/>
      <c r="AS49" s="92"/>
      <c r="AT49" s="93"/>
      <c r="AU49" s="94"/>
      <c r="AV49" s="1844">
        <f t="shared" si="37"/>
        <v>0</v>
      </c>
      <c r="AW49" s="1844">
        <f t="shared" si="38"/>
        <v>0</v>
      </c>
      <c r="AX49" s="184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5"/>
      <c r="C50" s="1296"/>
      <c r="D50" s="80"/>
      <c r="E50" s="87">
        <f t="shared" si="33"/>
        <v>0</v>
      </c>
      <c r="F50" s="88"/>
      <c r="G50" s="89">
        <f t="shared" si="34"/>
        <v>0</v>
      </c>
      <c r="H50" s="90">
        <f t="shared" si="35"/>
        <v>0</v>
      </c>
      <c r="I50" s="1296"/>
      <c r="J50" s="91"/>
      <c r="K50" s="1296"/>
      <c r="L50" s="91"/>
      <c r="M50" s="91"/>
      <c r="N50" s="91"/>
      <c r="O50" s="91"/>
      <c r="P50" s="91"/>
      <c r="Q50" s="91"/>
      <c r="R50" s="91"/>
      <c r="S50" s="91"/>
      <c r="T50" s="91"/>
      <c r="U50" s="91"/>
      <c r="V50" s="91"/>
      <c r="W50" s="91"/>
      <c r="X50" s="91"/>
      <c r="Y50" s="91"/>
      <c r="Z50" s="91"/>
      <c r="AA50" s="91"/>
      <c r="AB50" s="91"/>
      <c r="AC50" s="87">
        <f t="shared" si="36"/>
        <v>0</v>
      </c>
      <c r="AD50" s="92"/>
      <c r="AE50" s="92"/>
      <c r="AF50" s="1296"/>
      <c r="AG50" s="92"/>
      <c r="AH50" s="92"/>
      <c r="AI50" s="92"/>
      <c r="AJ50" s="92"/>
      <c r="AK50" s="92"/>
      <c r="AL50" s="92"/>
      <c r="AM50" s="92"/>
      <c r="AN50" s="92"/>
      <c r="AO50" s="92"/>
      <c r="AP50" s="92"/>
      <c r="AQ50" s="92"/>
      <c r="AR50" s="92"/>
      <c r="AS50" s="92"/>
      <c r="AT50" s="93"/>
      <c r="AU50" s="94"/>
      <c r="AV50" s="1844">
        <f t="shared" si="37"/>
        <v>0</v>
      </c>
      <c r="AW50" s="1844">
        <f t="shared" si="38"/>
        <v>0</v>
      </c>
      <c r="AX50" s="184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5"/>
      <c r="C51" s="1296"/>
      <c r="D51" s="80"/>
      <c r="E51" s="87">
        <f t="shared" si="33"/>
        <v>0</v>
      </c>
      <c r="F51" s="88"/>
      <c r="G51" s="89">
        <f t="shared" si="34"/>
        <v>0</v>
      </c>
      <c r="H51" s="90">
        <f t="shared" si="35"/>
        <v>0</v>
      </c>
      <c r="I51" s="1296"/>
      <c r="J51" s="91"/>
      <c r="K51" s="1296"/>
      <c r="L51" s="91"/>
      <c r="M51" s="91"/>
      <c r="N51" s="91"/>
      <c r="O51" s="91"/>
      <c r="P51" s="91"/>
      <c r="Q51" s="91"/>
      <c r="R51" s="91"/>
      <c r="S51" s="91"/>
      <c r="T51" s="91"/>
      <c r="U51" s="91"/>
      <c r="V51" s="91"/>
      <c r="W51" s="91"/>
      <c r="X51" s="91"/>
      <c r="Y51" s="91"/>
      <c r="Z51" s="91"/>
      <c r="AA51" s="91"/>
      <c r="AB51" s="91"/>
      <c r="AC51" s="87">
        <f t="shared" si="36"/>
        <v>0</v>
      </c>
      <c r="AD51" s="92"/>
      <c r="AE51" s="92"/>
      <c r="AF51" s="1296"/>
      <c r="AG51" s="92"/>
      <c r="AH51" s="92"/>
      <c r="AI51" s="92"/>
      <c r="AJ51" s="92"/>
      <c r="AK51" s="92"/>
      <c r="AL51" s="92"/>
      <c r="AM51" s="92"/>
      <c r="AN51" s="92"/>
      <c r="AO51" s="92"/>
      <c r="AP51" s="92"/>
      <c r="AQ51" s="92"/>
      <c r="AR51" s="92"/>
      <c r="AS51" s="92"/>
      <c r="AT51" s="93"/>
      <c r="AU51" s="94"/>
      <c r="AV51" s="1844">
        <f t="shared" si="37"/>
        <v>0</v>
      </c>
      <c r="AW51" s="1844">
        <f t="shared" si="38"/>
        <v>0</v>
      </c>
      <c r="AX51" s="184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5"/>
      <c r="C52" s="1296"/>
      <c r="D52" s="80"/>
      <c r="E52" s="87">
        <f t="shared" si="33"/>
        <v>0</v>
      </c>
      <c r="F52" s="88"/>
      <c r="G52" s="89">
        <f t="shared" si="34"/>
        <v>0</v>
      </c>
      <c r="H52" s="90">
        <f t="shared" si="35"/>
        <v>0</v>
      </c>
      <c r="I52" s="1296"/>
      <c r="J52" s="91"/>
      <c r="K52" s="1296"/>
      <c r="L52" s="91"/>
      <c r="M52" s="91"/>
      <c r="N52" s="91"/>
      <c r="O52" s="91"/>
      <c r="P52" s="91"/>
      <c r="Q52" s="91"/>
      <c r="R52" s="91"/>
      <c r="S52" s="91"/>
      <c r="T52" s="91"/>
      <c r="U52" s="91"/>
      <c r="V52" s="91"/>
      <c r="W52" s="91"/>
      <c r="X52" s="91"/>
      <c r="Y52" s="91"/>
      <c r="Z52" s="91"/>
      <c r="AA52" s="91"/>
      <c r="AB52" s="91"/>
      <c r="AC52" s="87">
        <f t="shared" si="36"/>
        <v>0</v>
      </c>
      <c r="AD52" s="92"/>
      <c r="AE52" s="92"/>
      <c r="AF52" s="1296"/>
      <c r="AG52" s="92"/>
      <c r="AH52" s="92"/>
      <c r="AI52" s="92"/>
      <c r="AJ52" s="92"/>
      <c r="AK52" s="92"/>
      <c r="AL52" s="92"/>
      <c r="AM52" s="92"/>
      <c r="AN52" s="92"/>
      <c r="AO52" s="92"/>
      <c r="AP52" s="92"/>
      <c r="AQ52" s="92"/>
      <c r="AR52" s="92"/>
      <c r="AS52" s="92"/>
      <c r="AT52" s="93"/>
      <c r="AU52" s="94"/>
      <c r="AV52" s="1844">
        <f t="shared" si="37"/>
        <v>0</v>
      </c>
      <c r="AW52" s="1844">
        <f t="shared" si="38"/>
        <v>0</v>
      </c>
      <c r="AX52" s="184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5"/>
      <c r="C53" s="1296"/>
      <c r="D53" s="80"/>
      <c r="E53" s="87">
        <f t="shared" si="33"/>
        <v>0</v>
      </c>
      <c r="F53" s="88"/>
      <c r="G53" s="89">
        <f t="shared" si="34"/>
        <v>0</v>
      </c>
      <c r="H53" s="90">
        <f t="shared" si="35"/>
        <v>0</v>
      </c>
      <c r="I53" s="1296"/>
      <c r="J53" s="91"/>
      <c r="K53" s="1296"/>
      <c r="L53" s="91"/>
      <c r="M53" s="91"/>
      <c r="N53" s="91"/>
      <c r="O53" s="91"/>
      <c r="P53" s="91"/>
      <c r="Q53" s="91"/>
      <c r="R53" s="91"/>
      <c r="S53" s="91"/>
      <c r="T53" s="91"/>
      <c r="U53" s="91"/>
      <c r="V53" s="91"/>
      <c r="W53" s="91"/>
      <c r="X53" s="91"/>
      <c r="Y53" s="91"/>
      <c r="Z53" s="91"/>
      <c r="AA53" s="91"/>
      <c r="AB53" s="91"/>
      <c r="AC53" s="87">
        <f t="shared" si="36"/>
        <v>0</v>
      </c>
      <c r="AD53" s="92"/>
      <c r="AE53" s="92"/>
      <c r="AF53" s="1296"/>
      <c r="AG53" s="92"/>
      <c r="AH53" s="92"/>
      <c r="AI53" s="92"/>
      <c r="AJ53" s="92"/>
      <c r="AK53" s="92"/>
      <c r="AL53" s="92"/>
      <c r="AM53" s="92"/>
      <c r="AN53" s="92"/>
      <c r="AO53" s="92"/>
      <c r="AP53" s="92"/>
      <c r="AQ53" s="92"/>
      <c r="AR53" s="92"/>
      <c r="AS53" s="92"/>
      <c r="AT53" s="93"/>
      <c r="AU53" s="94"/>
      <c r="AV53" s="1844">
        <f t="shared" si="37"/>
        <v>0</v>
      </c>
      <c r="AW53" s="1844">
        <f t="shared" si="38"/>
        <v>0</v>
      </c>
      <c r="AX53" s="184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5"/>
      <c r="C54" s="1296"/>
      <c r="D54" s="80"/>
      <c r="E54" s="87">
        <f t="shared" si="33"/>
        <v>0</v>
      </c>
      <c r="F54" s="88"/>
      <c r="G54" s="89">
        <f t="shared" si="34"/>
        <v>0</v>
      </c>
      <c r="H54" s="90">
        <f t="shared" si="35"/>
        <v>0</v>
      </c>
      <c r="I54" s="1296"/>
      <c r="J54" s="91"/>
      <c r="K54" s="1296"/>
      <c r="L54" s="91"/>
      <c r="M54" s="91"/>
      <c r="N54" s="91"/>
      <c r="O54" s="91"/>
      <c r="P54" s="91"/>
      <c r="Q54" s="91"/>
      <c r="R54" s="91"/>
      <c r="S54" s="91"/>
      <c r="T54" s="91"/>
      <c r="U54" s="91"/>
      <c r="V54" s="91"/>
      <c r="W54" s="91"/>
      <c r="X54" s="91"/>
      <c r="Y54" s="91"/>
      <c r="Z54" s="91"/>
      <c r="AA54" s="91"/>
      <c r="AB54" s="91"/>
      <c r="AC54" s="87">
        <f t="shared" si="36"/>
        <v>0</v>
      </c>
      <c r="AD54" s="92"/>
      <c r="AE54" s="92"/>
      <c r="AF54" s="1296"/>
      <c r="AG54" s="92"/>
      <c r="AH54" s="92"/>
      <c r="AI54" s="92"/>
      <c r="AJ54" s="92"/>
      <c r="AK54" s="92"/>
      <c r="AL54" s="92"/>
      <c r="AM54" s="92"/>
      <c r="AN54" s="92"/>
      <c r="AO54" s="92"/>
      <c r="AP54" s="92"/>
      <c r="AQ54" s="92"/>
      <c r="AR54" s="92"/>
      <c r="AS54" s="92"/>
      <c r="AT54" s="93"/>
      <c r="AU54" s="94"/>
      <c r="AV54" s="1844">
        <f t="shared" si="37"/>
        <v>0</v>
      </c>
      <c r="AW54" s="1844">
        <f t="shared" si="38"/>
        <v>0</v>
      </c>
      <c r="AX54" s="184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7"/>
      <c r="C55" s="1298"/>
      <c r="D55" s="80"/>
      <c r="E55" s="87">
        <f t="shared" si="33"/>
        <v>0</v>
      </c>
      <c r="F55" s="88"/>
      <c r="G55" s="89">
        <f t="shared" si="34"/>
        <v>0</v>
      </c>
      <c r="H55" s="90">
        <f t="shared" si="35"/>
        <v>0</v>
      </c>
      <c r="I55" s="1296"/>
      <c r="J55" s="91"/>
      <c r="K55" s="1296"/>
      <c r="L55" s="91"/>
      <c r="M55" s="1296"/>
      <c r="N55" s="91"/>
      <c r="O55" s="91"/>
      <c r="P55" s="91"/>
      <c r="Q55" s="91"/>
      <c r="R55" s="91"/>
      <c r="S55" s="91"/>
      <c r="T55" s="91"/>
      <c r="U55" s="91"/>
      <c r="V55" s="91"/>
      <c r="W55" s="91"/>
      <c r="X55" s="91"/>
      <c r="Y55" s="91"/>
      <c r="Z55" s="91"/>
      <c r="AA55" s="91"/>
      <c r="AB55" s="91"/>
      <c r="AC55" s="87">
        <f t="shared" si="36"/>
        <v>0</v>
      </c>
      <c r="AD55" s="92"/>
      <c r="AE55" s="92"/>
      <c r="AF55" s="1296"/>
      <c r="AG55" s="92"/>
      <c r="AH55" s="92"/>
      <c r="AI55" s="92"/>
      <c r="AJ55" s="92"/>
      <c r="AK55" s="92"/>
      <c r="AL55" s="92"/>
      <c r="AM55" s="92"/>
      <c r="AN55" s="92"/>
      <c r="AO55" s="92"/>
      <c r="AP55" s="92"/>
      <c r="AQ55" s="92"/>
      <c r="AR55" s="92"/>
      <c r="AS55" s="92"/>
      <c r="AT55" s="93"/>
      <c r="AU55" s="94"/>
      <c r="AV55" s="1844">
        <f t="shared" si="37"/>
        <v>0</v>
      </c>
      <c r="AW55" s="1844">
        <f t="shared" si="38"/>
        <v>0</v>
      </c>
      <c r="AX55" s="184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4">
        <f t="shared" si="37"/>
        <v>0</v>
      </c>
      <c r="AW56" s="1844">
        <f t="shared" si="38"/>
        <v>0</v>
      </c>
      <c r="AX56" s="184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4">
        <f t="shared" si="37"/>
        <v>0</v>
      </c>
      <c r="AW57" s="1844">
        <f t="shared" si="38"/>
        <v>0</v>
      </c>
      <c r="AX57" s="184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4">
        <f t="shared" si="37"/>
        <v>0</v>
      </c>
      <c r="AW58" s="1844">
        <f t="shared" si="38"/>
        <v>0</v>
      </c>
      <c r="AX58" s="184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4">
        <f t="shared" si="37"/>
        <v>0</v>
      </c>
      <c r="AW59" s="1844">
        <f t="shared" si="38"/>
        <v>0</v>
      </c>
      <c r="AX59" s="184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4">
        <f t="shared" si="37"/>
        <v>0</v>
      </c>
      <c r="AW60" s="1844">
        <f t="shared" si="38"/>
        <v>0</v>
      </c>
      <c r="AX60" s="184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4">
        <f t="shared" si="37"/>
        <v>0</v>
      </c>
      <c r="AW61" s="1844">
        <f t="shared" si="38"/>
        <v>0</v>
      </c>
      <c r="AX61" s="184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4">
        <f t="shared" si="37"/>
        <v>0</v>
      </c>
      <c r="AW62" s="1844">
        <f t="shared" si="38"/>
        <v>0</v>
      </c>
      <c r="AX62" s="184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4">
        <f t="shared" si="37"/>
        <v>0</v>
      </c>
      <c r="AW63" s="1844">
        <f t="shared" si="38"/>
        <v>0</v>
      </c>
      <c r="AX63" s="184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4">
        <f t="shared" si="37"/>
        <v>0</v>
      </c>
      <c r="AW64" s="1844">
        <f t="shared" si="38"/>
        <v>0</v>
      </c>
      <c r="AX64" s="184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4">
        <f t="shared" si="37"/>
        <v>0</v>
      </c>
      <c r="AW65" s="1844">
        <f t="shared" si="38"/>
        <v>0</v>
      </c>
      <c r="AX65" s="184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4">
        <f t="shared" si="37"/>
        <v>0</v>
      </c>
      <c r="AW66" s="1844">
        <f t="shared" si="38"/>
        <v>0</v>
      </c>
      <c r="AX66" s="184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4">
        <f t="shared" si="37"/>
        <v>0</v>
      </c>
      <c r="AW67" s="1844">
        <f t="shared" si="38"/>
        <v>0</v>
      </c>
      <c r="AX67" s="184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4">
        <f t="shared" si="37"/>
        <v>0</v>
      </c>
      <c r="AW68" s="1844">
        <f t="shared" si="38"/>
        <v>0</v>
      </c>
      <c r="AX68" s="184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4">
        <f t="shared" si="37"/>
        <v>0</v>
      </c>
      <c r="AW69" s="1844">
        <f t="shared" si="38"/>
        <v>0</v>
      </c>
      <c r="AX69" s="184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4">
        <f t="shared" si="37"/>
        <v>0</v>
      </c>
      <c r="AW70" s="1844">
        <f t="shared" si="38"/>
        <v>0</v>
      </c>
      <c r="AX70" s="184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4">
        <f t="shared" si="37"/>
        <v>0</v>
      </c>
      <c r="AW71" s="1844">
        <f t="shared" si="38"/>
        <v>0</v>
      </c>
      <c r="AX71" s="184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4">
        <f t="shared" si="37"/>
        <v>0</v>
      </c>
      <c r="AW72" s="1844">
        <f t="shared" si="38"/>
        <v>0</v>
      </c>
      <c r="AX72" s="184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4">
        <f t="shared" si="37"/>
        <v>0</v>
      </c>
      <c r="AW73" s="1844">
        <f t="shared" si="38"/>
        <v>0</v>
      </c>
      <c r="AX73" s="184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4">
        <f t="shared" si="37"/>
        <v>0</v>
      </c>
      <c r="AW74" s="1844">
        <f t="shared" si="38"/>
        <v>0</v>
      </c>
      <c r="AX74" s="184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4">
        <f t="shared" si="37"/>
        <v>0</v>
      </c>
      <c r="AW75" s="1844">
        <f t="shared" si="38"/>
        <v>0</v>
      </c>
      <c r="AX75" s="184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4">
        <f t="shared" si="37"/>
        <v>0</v>
      </c>
      <c r="AW76" s="1844">
        <f t="shared" si="38"/>
        <v>0</v>
      </c>
      <c r="AX76" s="184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4">
        <f t="shared" si="37"/>
        <v>0</v>
      </c>
      <c r="AW77" s="1844">
        <f t="shared" si="38"/>
        <v>0</v>
      </c>
      <c r="AX77" s="184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4">
        <f t="shared" si="37"/>
        <v>0</v>
      </c>
      <c r="AW78" s="1844">
        <f t="shared" si="38"/>
        <v>0</v>
      </c>
      <c r="AX78" s="184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4">
        <f t="shared" si="37"/>
        <v>0</v>
      </c>
      <c r="AW79" s="1844">
        <f t="shared" si="38"/>
        <v>0</v>
      </c>
      <c r="AX79" s="184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4">
        <f t="shared" si="37"/>
        <v>0</v>
      </c>
      <c r="AW80" s="1844">
        <f t="shared" si="38"/>
        <v>0</v>
      </c>
      <c r="AX80" s="184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4">
        <f t="shared" si="37"/>
        <v>0</v>
      </c>
      <c r="AW81" s="1844">
        <f t="shared" si="38"/>
        <v>0</v>
      </c>
      <c r="AX81" s="184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4">
        <f t="shared" si="37"/>
        <v>0</v>
      </c>
      <c r="AW82" s="1844">
        <f t="shared" si="38"/>
        <v>0</v>
      </c>
      <c r="AX82" s="184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4">
        <f t="shared" si="37"/>
        <v>0</v>
      </c>
      <c r="AW83" s="1844">
        <f t="shared" si="38"/>
        <v>0</v>
      </c>
      <c r="AX83" s="184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4">
        <f t="shared" si="37"/>
        <v>0</v>
      </c>
      <c r="AW84" s="1844">
        <f t="shared" si="38"/>
        <v>0</v>
      </c>
      <c r="AX84" s="184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4">
        <f t="shared" si="37"/>
        <v>0</v>
      </c>
      <c r="AW85" s="1844">
        <f t="shared" si="38"/>
        <v>0</v>
      </c>
      <c r="AX85" s="184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4">
        <f t="shared" si="37"/>
        <v>0</v>
      </c>
      <c r="AW86" s="1844">
        <f t="shared" si="38"/>
        <v>0</v>
      </c>
      <c r="AX86" s="184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4">
        <f t="shared" si="37"/>
        <v>0</v>
      </c>
      <c r="AW87" s="1844">
        <f t="shared" si="38"/>
        <v>0</v>
      </c>
      <c r="AX87" s="184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4">
        <f t="shared" si="37"/>
        <v>0</v>
      </c>
      <c r="AW88" s="1844">
        <f t="shared" si="38"/>
        <v>0</v>
      </c>
      <c r="AX88" s="184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4">
        <f t="shared" si="37"/>
        <v>0</v>
      </c>
      <c r="AW89" s="1844">
        <f t="shared" si="38"/>
        <v>0</v>
      </c>
      <c r="AX89" s="184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4">
        <f t="shared" si="37"/>
        <v>0</v>
      </c>
      <c r="AW90" s="1844">
        <f t="shared" si="38"/>
        <v>0</v>
      </c>
      <c r="AX90" s="184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4">
        <f t="shared" si="37"/>
        <v>0</v>
      </c>
      <c r="AW91" s="1844">
        <f t="shared" si="38"/>
        <v>0</v>
      </c>
      <c r="AX91" s="184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4">
        <f t="shared" si="37"/>
        <v>0</v>
      </c>
      <c r="AW92" s="1844">
        <f t="shared" si="38"/>
        <v>0</v>
      </c>
      <c r="AX92" s="184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4">
        <f t="shared" si="37"/>
        <v>0</v>
      </c>
      <c r="AW93" s="1844">
        <f t="shared" si="38"/>
        <v>0</v>
      </c>
      <c r="AX93" s="184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4">
        <f t="shared" si="37"/>
        <v>0</v>
      </c>
      <c r="AW94" s="1844">
        <f t="shared" si="38"/>
        <v>0</v>
      </c>
      <c r="AX94" s="184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4">
        <f t="shared" si="37"/>
        <v>0</v>
      </c>
      <c r="AW95" s="1844">
        <f t="shared" si="38"/>
        <v>0</v>
      </c>
      <c r="AX95" s="184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4">
        <f t="shared" si="37"/>
        <v>0</v>
      </c>
      <c r="AW96" s="1844">
        <f t="shared" si="38"/>
        <v>0</v>
      </c>
      <c r="AX96" s="184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4">
        <f t="shared" si="37"/>
        <v>0</v>
      </c>
      <c r="AW97" s="1844">
        <f t="shared" si="38"/>
        <v>0</v>
      </c>
      <c r="AX97" s="184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4">
        <f t="shared" si="37"/>
        <v>0</v>
      </c>
      <c r="AW98" s="1844">
        <f t="shared" si="38"/>
        <v>0</v>
      </c>
      <c r="AX98" s="184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4">
        <f t="shared" si="37"/>
        <v>0</v>
      </c>
      <c r="AW99" s="1844">
        <f t="shared" si="38"/>
        <v>0</v>
      </c>
      <c r="AX99" s="184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4">
        <f t="shared" si="37"/>
        <v>0</v>
      </c>
      <c r="AW100" s="1844">
        <f t="shared" si="38"/>
        <v>0</v>
      </c>
      <c r="AX100" s="184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4">
        <f t="shared" si="37"/>
        <v>0</v>
      </c>
      <c r="AW101" s="1844">
        <f t="shared" si="38"/>
        <v>0</v>
      </c>
      <c r="AX101" s="184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4">
        <f t="shared" si="37"/>
        <v>0</v>
      </c>
      <c r="AW102" s="1844">
        <f t="shared" si="38"/>
        <v>0</v>
      </c>
      <c r="AX102" s="184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4">
        <f t="shared" si="37"/>
        <v>0</v>
      </c>
      <c r="AW103" s="1844">
        <f t="shared" si="38"/>
        <v>0</v>
      </c>
      <c r="AX103" s="184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4">
        <f t="shared" si="37"/>
        <v>0</v>
      </c>
      <c r="AW104" s="1844">
        <f t="shared" si="38"/>
        <v>0</v>
      </c>
      <c r="AX104" s="184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4">
        <f t="shared" si="37"/>
        <v>0</v>
      </c>
      <c r="AW105" s="1844">
        <f t="shared" si="38"/>
        <v>0</v>
      </c>
      <c r="AX105" s="184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4">
        <f t="shared" si="37"/>
        <v>0</v>
      </c>
      <c r="AW106" s="1844">
        <f t="shared" si="38"/>
        <v>0</v>
      </c>
      <c r="AX106" s="184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4">
        <f t="shared" si="37"/>
        <v>0</v>
      </c>
      <c r="AW107" s="1844">
        <f t="shared" si="38"/>
        <v>0</v>
      </c>
      <c r="AX107" s="184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4">
        <f t="shared" si="37"/>
        <v>0</v>
      </c>
      <c r="AW108" s="1844">
        <f t="shared" si="38"/>
        <v>0</v>
      </c>
      <c r="AX108" s="184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4">
        <f t="shared" si="37"/>
        <v>0</v>
      </c>
      <c r="AW109" s="1844">
        <f t="shared" si="38"/>
        <v>0</v>
      </c>
      <c r="AX109" s="184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4">
        <f t="shared" si="37"/>
        <v>0</v>
      </c>
      <c r="AW110" s="1844">
        <f t="shared" si="38"/>
        <v>0</v>
      </c>
      <c r="AX110" s="184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4">
        <f t="shared" si="37"/>
        <v>0</v>
      </c>
      <c r="AW111" s="1844">
        <f t="shared" si="38"/>
        <v>0</v>
      </c>
      <c r="AX111" s="184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4">
        <f t="shared" si="37"/>
        <v>0</v>
      </c>
      <c r="AW112" s="1844">
        <f t="shared" si="38"/>
        <v>0</v>
      </c>
      <c r="AX112" s="184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5"/>
      <c r="C113" s="1296"/>
      <c r="D113" s="80"/>
      <c r="E113" s="87">
        <f t="shared" ref="E113:E144" si="87">IF($C$3="是",ROUND($A$3*G113/$B$3,2),ROUND($A$3*(G113-AT113)/$B$3,2))</f>
        <v>0</v>
      </c>
      <c r="F113" s="88"/>
      <c r="G113" s="89">
        <f t="shared" si="62"/>
        <v>0</v>
      </c>
      <c r="H113" s="90">
        <f t="shared" si="63"/>
        <v>0</v>
      </c>
      <c r="I113" s="1298"/>
      <c r="J113" s="91"/>
      <c r="K113" s="12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9"/>
      <c r="AG113" s="92"/>
      <c r="AH113" s="92"/>
      <c r="AI113" s="92"/>
      <c r="AJ113" s="92"/>
      <c r="AK113" s="92"/>
      <c r="AL113" s="92"/>
      <c r="AM113" s="92"/>
      <c r="AN113" s="1271"/>
      <c r="AO113" s="92"/>
      <c r="AP113" s="92"/>
      <c r="AQ113" s="92"/>
      <c r="AR113" s="92"/>
      <c r="AS113" s="92"/>
      <c r="AT113" s="93"/>
      <c r="AU113" s="94"/>
      <c r="AV113" s="1844">
        <f t="shared" ref="AV113:AV144" si="88">A113</f>
        <v>0</v>
      </c>
      <c r="AW113" s="1844">
        <f t="shared" ref="AW113:AW144" si="89">B113</f>
        <v>0</v>
      </c>
      <c r="AX113" s="184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5"/>
      <c r="C114" s="1296"/>
      <c r="D114" s="80"/>
      <c r="E114" s="87">
        <f t="shared" si="87"/>
        <v>0</v>
      </c>
      <c r="F114" s="88"/>
      <c r="G114" s="89">
        <f t="shared" si="62"/>
        <v>0</v>
      </c>
      <c r="H114" s="90">
        <f t="shared" si="63"/>
        <v>0</v>
      </c>
      <c r="I114" s="1298"/>
      <c r="J114" s="91"/>
      <c r="K114" s="1298"/>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299"/>
      <c r="AG114" s="92"/>
      <c r="AH114" s="92"/>
      <c r="AI114" s="92"/>
      <c r="AJ114" s="92"/>
      <c r="AK114" s="92"/>
      <c r="AL114" s="1271"/>
      <c r="AM114" s="92"/>
      <c r="AN114" s="1271"/>
      <c r="AO114" s="92"/>
      <c r="AP114" s="92"/>
      <c r="AQ114" s="92"/>
      <c r="AR114" s="92"/>
      <c r="AS114" s="92"/>
      <c r="AT114" s="93"/>
      <c r="AU114" s="94"/>
      <c r="AV114" s="1844">
        <f t="shared" si="88"/>
        <v>0</v>
      </c>
      <c r="AW114" s="1844">
        <f t="shared" si="89"/>
        <v>0</v>
      </c>
      <c r="AX114" s="184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5"/>
      <c r="C115" s="1296"/>
      <c r="D115" s="80"/>
      <c r="E115" s="87">
        <f t="shared" si="87"/>
        <v>0</v>
      </c>
      <c r="F115" s="88"/>
      <c r="G115" s="89">
        <f t="shared" si="62"/>
        <v>0</v>
      </c>
      <c r="H115" s="90">
        <f t="shared" si="63"/>
        <v>0</v>
      </c>
      <c r="I115" s="1298"/>
      <c r="J115" s="91"/>
      <c r="K115" s="1298"/>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299"/>
      <c r="AG115" s="92"/>
      <c r="AH115" s="92"/>
      <c r="AI115" s="92"/>
      <c r="AJ115" s="92"/>
      <c r="AK115" s="92"/>
      <c r="AL115" s="1271"/>
      <c r="AM115" s="92"/>
      <c r="AN115" s="1271"/>
      <c r="AO115" s="92"/>
      <c r="AP115" s="92"/>
      <c r="AQ115" s="92"/>
      <c r="AR115" s="92"/>
      <c r="AS115" s="92"/>
      <c r="AT115" s="93"/>
      <c r="AU115" s="94"/>
      <c r="AV115" s="1844">
        <f t="shared" si="88"/>
        <v>0</v>
      </c>
      <c r="AW115" s="1844">
        <f t="shared" si="89"/>
        <v>0</v>
      </c>
      <c r="AX115" s="184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5"/>
      <c r="C116" s="1296"/>
      <c r="D116" s="80"/>
      <c r="E116" s="87">
        <f t="shared" si="87"/>
        <v>0</v>
      </c>
      <c r="F116" s="88"/>
      <c r="G116" s="89">
        <f t="shared" si="62"/>
        <v>0</v>
      </c>
      <c r="H116" s="90">
        <f t="shared" si="63"/>
        <v>0</v>
      </c>
      <c r="I116" s="1298"/>
      <c r="J116" s="91"/>
      <c r="K116" s="1298"/>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299"/>
      <c r="AG116" s="92"/>
      <c r="AH116" s="92"/>
      <c r="AI116" s="92"/>
      <c r="AJ116" s="92"/>
      <c r="AK116" s="92"/>
      <c r="AL116" s="92"/>
      <c r="AM116" s="92"/>
      <c r="AN116" s="1271"/>
      <c r="AO116" s="92"/>
      <c r="AP116" s="92"/>
      <c r="AQ116" s="92"/>
      <c r="AR116" s="92"/>
      <c r="AS116" s="92"/>
      <c r="AT116" s="93"/>
      <c r="AU116" s="94"/>
      <c r="AV116" s="1844">
        <f t="shared" si="88"/>
        <v>0</v>
      </c>
      <c r="AW116" s="1844">
        <f t="shared" si="89"/>
        <v>0</v>
      </c>
      <c r="AX116" s="184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5"/>
      <c r="C117" s="1296"/>
      <c r="D117" s="80"/>
      <c r="E117" s="87">
        <f t="shared" si="87"/>
        <v>0</v>
      </c>
      <c r="F117" s="88"/>
      <c r="G117" s="89">
        <f t="shared" si="62"/>
        <v>0</v>
      </c>
      <c r="H117" s="90">
        <f t="shared" si="63"/>
        <v>0</v>
      </c>
      <c r="I117" s="1298"/>
      <c r="J117" s="91"/>
      <c r="K117" s="12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9"/>
      <c r="AG117" s="92"/>
      <c r="AH117" s="92"/>
      <c r="AI117" s="92"/>
      <c r="AJ117" s="92"/>
      <c r="AK117" s="92"/>
      <c r="AL117" s="92"/>
      <c r="AM117" s="92"/>
      <c r="AN117" s="92"/>
      <c r="AO117" s="92"/>
      <c r="AP117" s="92"/>
      <c r="AQ117" s="92"/>
      <c r="AR117" s="92"/>
      <c r="AS117" s="92"/>
      <c r="AT117" s="93"/>
      <c r="AU117" s="94"/>
      <c r="AV117" s="1844">
        <f t="shared" si="88"/>
        <v>0</v>
      </c>
      <c r="AW117" s="1844">
        <f t="shared" si="89"/>
        <v>0</v>
      </c>
      <c r="AX117" s="184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5"/>
      <c r="C118" s="1296"/>
      <c r="D118" s="80"/>
      <c r="E118" s="87">
        <f t="shared" si="87"/>
        <v>0</v>
      </c>
      <c r="F118" s="88"/>
      <c r="G118" s="89">
        <f t="shared" si="62"/>
        <v>0</v>
      </c>
      <c r="H118" s="90">
        <f t="shared" si="63"/>
        <v>0</v>
      </c>
      <c r="I118" s="1298"/>
      <c r="J118" s="91"/>
      <c r="K118" s="12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9"/>
      <c r="AG118" s="92"/>
      <c r="AH118" s="92"/>
      <c r="AI118" s="92"/>
      <c r="AJ118" s="92"/>
      <c r="AK118" s="92"/>
      <c r="AL118" s="92"/>
      <c r="AM118" s="92"/>
      <c r="AN118" s="92"/>
      <c r="AO118" s="92"/>
      <c r="AP118" s="92"/>
      <c r="AQ118" s="92"/>
      <c r="AR118" s="92"/>
      <c r="AS118" s="92"/>
      <c r="AT118" s="93"/>
      <c r="AU118" s="94"/>
      <c r="AV118" s="1844">
        <f t="shared" si="88"/>
        <v>0</v>
      </c>
      <c r="AW118" s="1844">
        <f t="shared" si="89"/>
        <v>0</v>
      </c>
      <c r="AX118" s="184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5"/>
      <c r="C119" s="1296"/>
      <c r="D119" s="80"/>
      <c r="E119" s="87">
        <f t="shared" si="87"/>
        <v>0</v>
      </c>
      <c r="F119" s="88"/>
      <c r="G119" s="89">
        <f t="shared" si="62"/>
        <v>0</v>
      </c>
      <c r="H119" s="90">
        <f t="shared" si="63"/>
        <v>0</v>
      </c>
      <c r="I119" s="1298"/>
      <c r="J119" s="91"/>
      <c r="K119" s="12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9"/>
      <c r="AG119" s="92"/>
      <c r="AH119" s="92"/>
      <c r="AI119" s="92"/>
      <c r="AJ119" s="92"/>
      <c r="AK119" s="92"/>
      <c r="AL119" s="92"/>
      <c r="AM119" s="92"/>
      <c r="AN119" s="92"/>
      <c r="AO119" s="92"/>
      <c r="AP119" s="92"/>
      <c r="AQ119" s="92"/>
      <c r="AR119" s="92"/>
      <c r="AS119" s="92"/>
      <c r="AT119" s="93"/>
      <c r="AU119" s="94"/>
      <c r="AV119" s="1844">
        <f t="shared" si="88"/>
        <v>0</v>
      </c>
      <c r="AW119" s="1844">
        <f t="shared" si="89"/>
        <v>0</v>
      </c>
      <c r="AX119" s="184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5"/>
      <c r="C120" s="1296"/>
      <c r="D120" s="80"/>
      <c r="E120" s="87">
        <f t="shared" si="87"/>
        <v>0</v>
      </c>
      <c r="F120" s="88"/>
      <c r="G120" s="89">
        <f t="shared" si="62"/>
        <v>0</v>
      </c>
      <c r="H120" s="90">
        <f t="shared" si="63"/>
        <v>0</v>
      </c>
      <c r="I120" s="1298"/>
      <c r="J120" s="91"/>
      <c r="K120" s="12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8"/>
      <c r="AG120" s="92"/>
      <c r="AH120" s="92"/>
      <c r="AI120" s="92"/>
      <c r="AJ120" s="92"/>
      <c r="AK120" s="92"/>
      <c r="AL120" s="92"/>
      <c r="AM120" s="92"/>
      <c r="AN120" s="92"/>
      <c r="AO120" s="92"/>
      <c r="AP120" s="92"/>
      <c r="AQ120" s="92"/>
      <c r="AR120" s="92"/>
      <c r="AS120" s="92"/>
      <c r="AT120" s="93"/>
      <c r="AU120" s="94"/>
      <c r="AV120" s="1844">
        <f t="shared" si="88"/>
        <v>0</v>
      </c>
      <c r="AW120" s="1844">
        <f t="shared" si="89"/>
        <v>0</v>
      </c>
      <c r="AX120" s="184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7"/>
      <c r="C121" s="1298"/>
      <c r="D121" s="80"/>
      <c r="E121" s="87">
        <f t="shared" si="87"/>
        <v>0</v>
      </c>
      <c r="F121" s="88"/>
      <c r="G121" s="89">
        <f t="shared" si="62"/>
        <v>0</v>
      </c>
      <c r="H121" s="90">
        <f t="shared" si="63"/>
        <v>0</v>
      </c>
      <c r="I121" s="1298"/>
      <c r="J121" s="91"/>
      <c r="K121" s="12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8"/>
      <c r="AG121" s="92"/>
      <c r="AH121" s="92"/>
      <c r="AI121" s="92"/>
      <c r="AJ121" s="92"/>
      <c r="AK121" s="92"/>
      <c r="AL121" s="92"/>
      <c r="AM121" s="92"/>
      <c r="AN121" s="92"/>
      <c r="AO121" s="92"/>
      <c r="AP121" s="92"/>
      <c r="AQ121" s="92"/>
      <c r="AR121" s="92"/>
      <c r="AS121" s="92"/>
      <c r="AT121" s="93"/>
      <c r="AU121" s="94"/>
      <c r="AV121" s="1844">
        <f t="shared" si="88"/>
        <v>0</v>
      </c>
      <c r="AW121" s="1844">
        <f t="shared" si="89"/>
        <v>0</v>
      </c>
      <c r="AX121" s="184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5"/>
      <c r="C122" s="1296"/>
      <c r="D122" s="80"/>
      <c r="E122" s="87">
        <f t="shared" si="87"/>
        <v>0</v>
      </c>
      <c r="F122" s="88"/>
      <c r="G122" s="89">
        <f t="shared" si="62"/>
        <v>0</v>
      </c>
      <c r="H122" s="90">
        <f t="shared" si="63"/>
        <v>0</v>
      </c>
      <c r="I122" s="1298"/>
      <c r="J122" s="91"/>
      <c r="K122" s="12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8"/>
      <c r="AG122" s="92"/>
      <c r="AH122" s="92"/>
      <c r="AI122" s="92"/>
      <c r="AJ122" s="92"/>
      <c r="AK122" s="92"/>
      <c r="AL122" s="92"/>
      <c r="AM122" s="92"/>
      <c r="AN122" s="92"/>
      <c r="AO122" s="92"/>
      <c r="AP122" s="92"/>
      <c r="AQ122" s="92"/>
      <c r="AR122" s="92"/>
      <c r="AS122" s="92"/>
      <c r="AT122" s="93"/>
      <c r="AU122" s="94"/>
      <c r="AV122" s="1844">
        <f t="shared" si="88"/>
        <v>0</v>
      </c>
      <c r="AW122" s="1844">
        <f t="shared" si="89"/>
        <v>0</v>
      </c>
      <c r="AX122" s="184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5"/>
      <c r="C123" s="1296"/>
      <c r="D123" s="80"/>
      <c r="E123" s="87">
        <f t="shared" si="87"/>
        <v>0</v>
      </c>
      <c r="F123" s="88"/>
      <c r="G123" s="89">
        <f t="shared" si="62"/>
        <v>0</v>
      </c>
      <c r="H123" s="90">
        <f t="shared" si="63"/>
        <v>0</v>
      </c>
      <c r="I123" s="1298"/>
      <c r="J123" s="91"/>
      <c r="K123" s="12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8"/>
      <c r="AG123" s="92"/>
      <c r="AH123" s="92"/>
      <c r="AI123" s="92"/>
      <c r="AJ123" s="92"/>
      <c r="AK123" s="92"/>
      <c r="AL123" s="92"/>
      <c r="AM123" s="92"/>
      <c r="AN123" s="92"/>
      <c r="AO123" s="92"/>
      <c r="AP123" s="92"/>
      <c r="AQ123" s="92"/>
      <c r="AR123" s="92"/>
      <c r="AS123" s="92"/>
      <c r="AT123" s="93"/>
      <c r="AU123" s="94"/>
      <c r="AV123" s="1844">
        <f t="shared" si="88"/>
        <v>0</v>
      </c>
      <c r="AW123" s="1844">
        <f t="shared" si="89"/>
        <v>0</v>
      </c>
      <c r="AX123" s="184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5"/>
      <c r="C124" s="1296"/>
      <c r="D124" s="80"/>
      <c r="E124" s="87">
        <f t="shared" si="87"/>
        <v>0</v>
      </c>
      <c r="F124" s="88"/>
      <c r="G124" s="89">
        <f t="shared" si="62"/>
        <v>0</v>
      </c>
      <c r="H124" s="90">
        <f t="shared" si="63"/>
        <v>0</v>
      </c>
      <c r="I124" s="1298"/>
      <c r="J124" s="91"/>
      <c r="K124" s="12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8"/>
      <c r="AG124" s="92"/>
      <c r="AH124" s="92"/>
      <c r="AI124" s="92"/>
      <c r="AJ124" s="92"/>
      <c r="AK124" s="92"/>
      <c r="AL124" s="92"/>
      <c r="AM124" s="92"/>
      <c r="AN124" s="92"/>
      <c r="AO124" s="92"/>
      <c r="AP124" s="92"/>
      <c r="AQ124" s="92"/>
      <c r="AR124" s="92"/>
      <c r="AS124" s="92"/>
      <c r="AT124" s="93"/>
      <c r="AU124" s="94"/>
      <c r="AV124" s="1844">
        <f t="shared" si="88"/>
        <v>0</v>
      </c>
      <c r="AW124" s="1844">
        <f t="shared" si="89"/>
        <v>0</v>
      </c>
      <c r="AX124" s="184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5"/>
      <c r="C125" s="1296"/>
      <c r="D125" s="80"/>
      <c r="E125" s="87">
        <f t="shared" si="87"/>
        <v>0</v>
      </c>
      <c r="F125" s="88"/>
      <c r="G125" s="89">
        <f t="shared" si="62"/>
        <v>0</v>
      </c>
      <c r="H125" s="90">
        <f t="shared" si="63"/>
        <v>0</v>
      </c>
      <c r="I125" s="1298"/>
      <c r="J125" s="91"/>
      <c r="K125" s="12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8"/>
      <c r="AG125" s="92"/>
      <c r="AH125" s="92"/>
      <c r="AI125" s="92"/>
      <c r="AJ125" s="92"/>
      <c r="AK125" s="92"/>
      <c r="AL125" s="92"/>
      <c r="AM125" s="92"/>
      <c r="AN125" s="92"/>
      <c r="AO125" s="92"/>
      <c r="AP125" s="92"/>
      <c r="AQ125" s="92"/>
      <c r="AR125" s="92"/>
      <c r="AS125" s="92"/>
      <c r="AT125" s="93"/>
      <c r="AU125" s="94"/>
      <c r="AV125" s="1844">
        <f t="shared" si="88"/>
        <v>0</v>
      </c>
      <c r="AW125" s="1844">
        <f t="shared" si="89"/>
        <v>0</v>
      </c>
      <c r="AX125" s="184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5"/>
      <c r="C126" s="1296"/>
      <c r="D126" s="80"/>
      <c r="E126" s="87">
        <f t="shared" si="87"/>
        <v>0</v>
      </c>
      <c r="F126" s="88"/>
      <c r="G126" s="89">
        <f t="shared" si="62"/>
        <v>0</v>
      </c>
      <c r="H126" s="90">
        <f t="shared" si="63"/>
        <v>0</v>
      </c>
      <c r="I126" s="1298"/>
      <c r="J126" s="91"/>
      <c r="K126" s="12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8"/>
      <c r="AG126" s="92"/>
      <c r="AH126" s="92"/>
      <c r="AI126" s="92"/>
      <c r="AJ126" s="92"/>
      <c r="AK126" s="92"/>
      <c r="AL126" s="92"/>
      <c r="AM126" s="92"/>
      <c r="AN126" s="92"/>
      <c r="AO126" s="92"/>
      <c r="AP126" s="92"/>
      <c r="AQ126" s="92"/>
      <c r="AR126" s="92"/>
      <c r="AS126" s="92"/>
      <c r="AT126" s="93"/>
      <c r="AU126" s="94"/>
      <c r="AV126" s="1844">
        <f t="shared" si="88"/>
        <v>0</v>
      </c>
      <c r="AW126" s="1844">
        <f t="shared" si="89"/>
        <v>0</v>
      </c>
      <c r="AX126" s="184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5"/>
      <c r="C127" s="1296"/>
      <c r="D127" s="80"/>
      <c r="E127" s="87">
        <f t="shared" si="87"/>
        <v>0</v>
      </c>
      <c r="F127" s="88"/>
      <c r="G127" s="89">
        <f t="shared" si="62"/>
        <v>0</v>
      </c>
      <c r="H127" s="90">
        <f t="shared" si="63"/>
        <v>0</v>
      </c>
      <c r="I127" s="1298"/>
      <c r="J127" s="91"/>
      <c r="K127" s="12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8"/>
      <c r="AG127" s="92"/>
      <c r="AH127" s="92"/>
      <c r="AI127" s="92"/>
      <c r="AJ127" s="92"/>
      <c r="AK127" s="92"/>
      <c r="AL127" s="92"/>
      <c r="AM127" s="92"/>
      <c r="AN127" s="92"/>
      <c r="AO127" s="92"/>
      <c r="AP127" s="92"/>
      <c r="AQ127" s="92"/>
      <c r="AR127" s="92"/>
      <c r="AS127" s="92"/>
      <c r="AT127" s="93"/>
      <c r="AU127" s="94"/>
      <c r="AV127" s="1844">
        <f t="shared" si="88"/>
        <v>0</v>
      </c>
      <c r="AW127" s="1844">
        <f t="shared" si="89"/>
        <v>0</v>
      </c>
      <c r="AX127" s="184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5"/>
      <c r="C128" s="1296"/>
      <c r="D128" s="80"/>
      <c r="E128" s="87">
        <f t="shared" si="87"/>
        <v>0</v>
      </c>
      <c r="F128" s="88"/>
      <c r="G128" s="89">
        <f t="shared" si="62"/>
        <v>0</v>
      </c>
      <c r="H128" s="90">
        <f t="shared" si="63"/>
        <v>0</v>
      </c>
      <c r="I128" s="1298"/>
      <c r="J128" s="91"/>
      <c r="K128" s="12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8"/>
      <c r="AG128" s="92"/>
      <c r="AH128" s="92"/>
      <c r="AI128" s="92"/>
      <c r="AJ128" s="92"/>
      <c r="AK128" s="92"/>
      <c r="AL128" s="92"/>
      <c r="AM128" s="92"/>
      <c r="AN128" s="92"/>
      <c r="AO128" s="92"/>
      <c r="AP128" s="92"/>
      <c r="AQ128" s="92"/>
      <c r="AR128" s="92"/>
      <c r="AS128" s="92"/>
      <c r="AT128" s="93"/>
      <c r="AU128" s="94"/>
      <c r="AV128" s="1844">
        <f t="shared" si="88"/>
        <v>0</v>
      </c>
      <c r="AW128" s="1844">
        <f t="shared" si="89"/>
        <v>0</v>
      </c>
      <c r="AX128" s="184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5"/>
      <c r="C129" s="1296"/>
      <c r="D129" s="80"/>
      <c r="E129" s="87">
        <f t="shared" si="87"/>
        <v>0</v>
      </c>
      <c r="F129" s="88"/>
      <c r="G129" s="89">
        <f t="shared" si="62"/>
        <v>0</v>
      </c>
      <c r="H129" s="90">
        <f t="shared" si="63"/>
        <v>0</v>
      </c>
      <c r="I129" s="1298"/>
      <c r="J129" s="91"/>
      <c r="K129" s="12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8"/>
      <c r="AG129" s="92"/>
      <c r="AH129" s="92"/>
      <c r="AI129" s="92"/>
      <c r="AJ129" s="92"/>
      <c r="AK129" s="92"/>
      <c r="AL129" s="92"/>
      <c r="AM129" s="92"/>
      <c r="AN129" s="92"/>
      <c r="AO129" s="92"/>
      <c r="AP129" s="92"/>
      <c r="AQ129" s="92"/>
      <c r="AR129" s="92"/>
      <c r="AS129" s="92"/>
      <c r="AT129" s="93"/>
      <c r="AU129" s="94"/>
      <c r="AV129" s="1844">
        <f t="shared" si="88"/>
        <v>0</v>
      </c>
      <c r="AW129" s="1844">
        <f t="shared" si="89"/>
        <v>0</v>
      </c>
      <c r="AX129" s="184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5"/>
      <c r="C130" s="1296"/>
      <c r="D130" s="80"/>
      <c r="E130" s="87">
        <f t="shared" si="87"/>
        <v>0</v>
      </c>
      <c r="F130" s="88"/>
      <c r="G130" s="89">
        <f t="shared" si="62"/>
        <v>0</v>
      </c>
      <c r="H130" s="90">
        <f t="shared" si="63"/>
        <v>0</v>
      </c>
      <c r="I130" s="1298"/>
      <c r="J130" s="91"/>
      <c r="K130" s="12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8"/>
      <c r="AG130" s="92"/>
      <c r="AH130" s="92"/>
      <c r="AI130" s="92"/>
      <c r="AJ130" s="92"/>
      <c r="AK130" s="92"/>
      <c r="AL130" s="92"/>
      <c r="AM130" s="92"/>
      <c r="AN130" s="92"/>
      <c r="AO130" s="92"/>
      <c r="AP130" s="92"/>
      <c r="AQ130" s="92"/>
      <c r="AR130" s="92"/>
      <c r="AS130" s="92"/>
      <c r="AT130" s="93"/>
      <c r="AU130" s="94"/>
      <c r="AV130" s="1844">
        <f t="shared" si="88"/>
        <v>0</v>
      </c>
      <c r="AW130" s="1844">
        <f t="shared" si="89"/>
        <v>0</v>
      </c>
      <c r="AX130" s="184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5"/>
      <c r="C131" s="1296"/>
      <c r="D131" s="80"/>
      <c r="E131" s="87">
        <f t="shared" si="87"/>
        <v>0</v>
      </c>
      <c r="F131" s="88"/>
      <c r="G131" s="89">
        <f t="shared" si="62"/>
        <v>0</v>
      </c>
      <c r="H131" s="90">
        <f t="shared" si="63"/>
        <v>0</v>
      </c>
      <c r="I131" s="1298"/>
      <c r="J131" s="91"/>
      <c r="K131" s="12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8"/>
      <c r="AG131" s="92"/>
      <c r="AH131" s="92"/>
      <c r="AI131" s="92"/>
      <c r="AJ131" s="92"/>
      <c r="AK131" s="92"/>
      <c r="AL131" s="92"/>
      <c r="AM131" s="92"/>
      <c r="AN131" s="92"/>
      <c r="AO131" s="92"/>
      <c r="AP131" s="92"/>
      <c r="AQ131" s="92"/>
      <c r="AR131" s="92"/>
      <c r="AS131" s="92"/>
      <c r="AT131" s="93"/>
      <c r="AU131" s="94"/>
      <c r="AV131" s="1844">
        <f t="shared" si="88"/>
        <v>0</v>
      </c>
      <c r="AW131" s="1844">
        <f t="shared" si="89"/>
        <v>0</v>
      </c>
      <c r="AX131" s="184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5"/>
      <c r="C132" s="1296"/>
      <c r="D132" s="80"/>
      <c r="E132" s="87">
        <f t="shared" si="87"/>
        <v>0</v>
      </c>
      <c r="F132" s="88"/>
      <c r="G132" s="89">
        <f t="shared" si="62"/>
        <v>0</v>
      </c>
      <c r="H132" s="90">
        <f t="shared" si="63"/>
        <v>0</v>
      </c>
      <c r="I132" s="1298"/>
      <c r="J132" s="91"/>
      <c r="K132" s="12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8"/>
      <c r="AG132" s="92"/>
      <c r="AH132" s="92"/>
      <c r="AI132" s="92"/>
      <c r="AJ132" s="92"/>
      <c r="AK132" s="92"/>
      <c r="AL132" s="92"/>
      <c r="AM132" s="92"/>
      <c r="AN132" s="92"/>
      <c r="AO132" s="92"/>
      <c r="AP132" s="92"/>
      <c r="AQ132" s="92"/>
      <c r="AR132" s="92"/>
      <c r="AS132" s="92"/>
      <c r="AT132" s="93"/>
      <c r="AU132" s="94"/>
      <c r="AV132" s="1844">
        <f t="shared" si="88"/>
        <v>0</v>
      </c>
      <c r="AW132" s="1844">
        <f t="shared" si="89"/>
        <v>0</v>
      </c>
      <c r="AX132" s="184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5"/>
      <c r="C133" s="1296"/>
      <c r="D133" s="80"/>
      <c r="E133" s="87">
        <f t="shared" si="87"/>
        <v>0</v>
      </c>
      <c r="F133" s="88"/>
      <c r="G133" s="89">
        <f t="shared" si="62"/>
        <v>0</v>
      </c>
      <c r="H133" s="90">
        <f t="shared" si="63"/>
        <v>0</v>
      </c>
      <c r="I133" s="1298"/>
      <c r="J133" s="91"/>
      <c r="K133" s="12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8"/>
      <c r="AG133" s="92"/>
      <c r="AH133" s="92"/>
      <c r="AI133" s="92"/>
      <c r="AJ133" s="92"/>
      <c r="AK133" s="92"/>
      <c r="AL133" s="92"/>
      <c r="AM133" s="92"/>
      <c r="AN133" s="92"/>
      <c r="AO133" s="92"/>
      <c r="AP133" s="92"/>
      <c r="AQ133" s="92"/>
      <c r="AR133" s="92"/>
      <c r="AS133" s="92"/>
      <c r="AT133" s="93"/>
      <c r="AU133" s="94"/>
      <c r="AV133" s="1844">
        <f t="shared" si="88"/>
        <v>0</v>
      </c>
      <c r="AW133" s="1844">
        <f t="shared" si="89"/>
        <v>0</v>
      </c>
      <c r="AX133" s="184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5"/>
      <c r="C134" s="1296"/>
      <c r="D134" s="80"/>
      <c r="E134" s="87">
        <f t="shared" si="87"/>
        <v>0</v>
      </c>
      <c r="F134" s="88"/>
      <c r="G134" s="89">
        <f t="shared" si="62"/>
        <v>0</v>
      </c>
      <c r="H134" s="90">
        <f t="shared" si="63"/>
        <v>0</v>
      </c>
      <c r="I134" s="1298"/>
      <c r="J134" s="91"/>
      <c r="K134" s="12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8"/>
      <c r="AG134" s="92"/>
      <c r="AH134" s="92"/>
      <c r="AI134" s="92"/>
      <c r="AJ134" s="92"/>
      <c r="AK134" s="92"/>
      <c r="AL134" s="92"/>
      <c r="AM134" s="92"/>
      <c r="AN134" s="92"/>
      <c r="AO134" s="92"/>
      <c r="AP134" s="92"/>
      <c r="AQ134" s="92"/>
      <c r="AR134" s="92"/>
      <c r="AS134" s="92"/>
      <c r="AT134" s="93"/>
      <c r="AU134" s="94"/>
      <c r="AV134" s="1844">
        <f t="shared" si="88"/>
        <v>0</v>
      </c>
      <c r="AW134" s="1844">
        <f t="shared" si="89"/>
        <v>0</v>
      </c>
      <c r="AX134" s="184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5"/>
      <c r="C135" s="1296"/>
      <c r="D135" s="80"/>
      <c r="E135" s="87">
        <f t="shared" si="87"/>
        <v>0</v>
      </c>
      <c r="F135" s="88"/>
      <c r="G135" s="89">
        <f t="shared" si="62"/>
        <v>0</v>
      </c>
      <c r="H135" s="90">
        <f t="shared" si="63"/>
        <v>0</v>
      </c>
      <c r="I135" s="1298"/>
      <c r="J135" s="91"/>
      <c r="K135" s="12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8"/>
      <c r="AG135" s="92"/>
      <c r="AH135" s="92"/>
      <c r="AI135" s="92"/>
      <c r="AJ135" s="92"/>
      <c r="AK135" s="92"/>
      <c r="AL135" s="92"/>
      <c r="AM135" s="92"/>
      <c r="AN135" s="92"/>
      <c r="AO135" s="92"/>
      <c r="AP135" s="92"/>
      <c r="AQ135" s="92"/>
      <c r="AR135" s="92"/>
      <c r="AS135" s="92"/>
      <c r="AT135" s="93"/>
      <c r="AU135" s="94"/>
      <c r="AV135" s="1844">
        <f t="shared" si="88"/>
        <v>0</v>
      </c>
      <c r="AW135" s="1844">
        <f t="shared" si="89"/>
        <v>0</v>
      </c>
      <c r="AX135" s="184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5"/>
      <c r="C136" s="1296"/>
      <c r="D136" s="80"/>
      <c r="E136" s="87">
        <f t="shared" si="87"/>
        <v>0</v>
      </c>
      <c r="F136" s="88"/>
      <c r="G136" s="89">
        <f t="shared" si="62"/>
        <v>0</v>
      </c>
      <c r="H136" s="90">
        <f t="shared" si="63"/>
        <v>0</v>
      </c>
      <c r="I136" s="1298"/>
      <c r="J136" s="91"/>
      <c r="K136" s="12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8"/>
      <c r="AG136" s="92"/>
      <c r="AH136" s="92"/>
      <c r="AI136" s="92"/>
      <c r="AJ136" s="92"/>
      <c r="AK136" s="92"/>
      <c r="AL136" s="92"/>
      <c r="AM136" s="92"/>
      <c r="AN136" s="92"/>
      <c r="AO136" s="92"/>
      <c r="AP136" s="92"/>
      <c r="AQ136" s="92"/>
      <c r="AR136" s="92"/>
      <c r="AS136" s="92"/>
      <c r="AT136" s="93"/>
      <c r="AU136" s="94"/>
      <c r="AV136" s="1844">
        <f t="shared" si="88"/>
        <v>0</v>
      </c>
      <c r="AW136" s="1844">
        <f t="shared" si="89"/>
        <v>0</v>
      </c>
      <c r="AX136" s="184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5"/>
      <c r="C137" s="1296"/>
      <c r="D137" s="80"/>
      <c r="E137" s="87">
        <f t="shared" si="87"/>
        <v>0</v>
      </c>
      <c r="F137" s="88"/>
      <c r="G137" s="89">
        <f t="shared" si="62"/>
        <v>0</v>
      </c>
      <c r="H137" s="90">
        <f t="shared" si="63"/>
        <v>0</v>
      </c>
      <c r="I137" s="1298"/>
      <c r="J137" s="91"/>
      <c r="K137" s="12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8"/>
      <c r="AG137" s="92"/>
      <c r="AH137" s="92"/>
      <c r="AI137" s="92"/>
      <c r="AJ137" s="92"/>
      <c r="AK137" s="92"/>
      <c r="AL137" s="92"/>
      <c r="AM137" s="92"/>
      <c r="AN137" s="92"/>
      <c r="AO137" s="92"/>
      <c r="AP137" s="92"/>
      <c r="AQ137" s="92"/>
      <c r="AR137" s="92"/>
      <c r="AS137" s="92"/>
      <c r="AT137" s="93"/>
      <c r="AU137" s="94"/>
      <c r="AV137" s="1844">
        <f t="shared" si="88"/>
        <v>0</v>
      </c>
      <c r="AW137" s="1844">
        <f t="shared" si="89"/>
        <v>0</v>
      </c>
      <c r="AX137" s="184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5"/>
      <c r="C138" s="1296"/>
      <c r="D138" s="80"/>
      <c r="E138" s="87">
        <f t="shared" si="87"/>
        <v>0</v>
      </c>
      <c r="F138" s="88"/>
      <c r="G138" s="89">
        <f t="shared" si="62"/>
        <v>0</v>
      </c>
      <c r="H138" s="90">
        <f t="shared" si="63"/>
        <v>0</v>
      </c>
      <c r="I138" s="1298"/>
      <c r="J138" s="91"/>
      <c r="K138" s="12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8"/>
      <c r="AG138" s="92"/>
      <c r="AH138" s="92"/>
      <c r="AI138" s="92"/>
      <c r="AJ138" s="92"/>
      <c r="AK138" s="92"/>
      <c r="AL138" s="92"/>
      <c r="AM138" s="92"/>
      <c r="AN138" s="92"/>
      <c r="AO138" s="92"/>
      <c r="AP138" s="92"/>
      <c r="AQ138" s="92"/>
      <c r="AR138" s="92"/>
      <c r="AS138" s="92"/>
      <c r="AT138" s="93"/>
      <c r="AU138" s="94"/>
      <c r="AV138" s="1844">
        <f t="shared" si="88"/>
        <v>0</v>
      </c>
      <c r="AW138" s="1844">
        <f t="shared" si="89"/>
        <v>0</v>
      </c>
      <c r="AX138" s="184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5"/>
      <c r="C139" s="1296"/>
      <c r="D139" s="80"/>
      <c r="E139" s="87">
        <f t="shared" si="87"/>
        <v>0</v>
      </c>
      <c r="F139" s="88"/>
      <c r="G139" s="89">
        <f t="shared" si="62"/>
        <v>0</v>
      </c>
      <c r="H139" s="90">
        <f t="shared" si="63"/>
        <v>0</v>
      </c>
      <c r="I139" s="1298"/>
      <c r="J139" s="91"/>
      <c r="K139" s="12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6"/>
      <c r="AG139" s="92"/>
      <c r="AH139" s="92"/>
      <c r="AI139" s="92"/>
      <c r="AJ139" s="92"/>
      <c r="AK139" s="92"/>
      <c r="AL139" s="92"/>
      <c r="AM139" s="92"/>
      <c r="AN139" s="92"/>
      <c r="AO139" s="92"/>
      <c r="AP139" s="92"/>
      <c r="AQ139" s="92"/>
      <c r="AR139" s="92"/>
      <c r="AS139" s="92"/>
      <c r="AT139" s="93"/>
      <c r="AU139" s="94"/>
      <c r="AV139" s="1844">
        <f t="shared" si="88"/>
        <v>0</v>
      </c>
      <c r="AW139" s="1844">
        <f t="shared" si="89"/>
        <v>0</v>
      </c>
      <c r="AX139" s="184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5"/>
      <c r="C140" s="1296"/>
      <c r="D140" s="80"/>
      <c r="E140" s="87">
        <f t="shared" si="87"/>
        <v>0</v>
      </c>
      <c r="F140" s="88"/>
      <c r="G140" s="89">
        <f t="shared" si="62"/>
        <v>0</v>
      </c>
      <c r="H140" s="90">
        <f t="shared" si="63"/>
        <v>0</v>
      </c>
      <c r="I140" s="1296"/>
      <c r="J140" s="91"/>
      <c r="K140" s="12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6"/>
      <c r="AG140" s="92"/>
      <c r="AH140" s="92"/>
      <c r="AI140" s="92"/>
      <c r="AJ140" s="92"/>
      <c r="AK140" s="92"/>
      <c r="AL140" s="92"/>
      <c r="AM140" s="92"/>
      <c r="AN140" s="92"/>
      <c r="AO140" s="92"/>
      <c r="AP140" s="92"/>
      <c r="AQ140" s="92"/>
      <c r="AR140" s="92"/>
      <c r="AS140" s="92"/>
      <c r="AT140" s="93"/>
      <c r="AU140" s="94"/>
      <c r="AV140" s="1844">
        <f t="shared" si="88"/>
        <v>0</v>
      </c>
      <c r="AW140" s="1844">
        <f t="shared" si="89"/>
        <v>0</v>
      </c>
      <c r="AX140" s="184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5"/>
      <c r="C141" s="1296"/>
      <c r="D141" s="80"/>
      <c r="E141" s="87">
        <f t="shared" si="87"/>
        <v>0</v>
      </c>
      <c r="F141" s="88"/>
      <c r="G141" s="89">
        <f t="shared" si="62"/>
        <v>0</v>
      </c>
      <c r="H141" s="90">
        <f t="shared" si="63"/>
        <v>0</v>
      </c>
      <c r="I141" s="1296"/>
      <c r="J141" s="91"/>
      <c r="K141" s="12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6"/>
      <c r="AG141" s="92"/>
      <c r="AH141" s="92"/>
      <c r="AI141" s="92"/>
      <c r="AJ141" s="92"/>
      <c r="AK141" s="92"/>
      <c r="AL141" s="92"/>
      <c r="AM141" s="92"/>
      <c r="AN141" s="92"/>
      <c r="AO141" s="92"/>
      <c r="AP141" s="92"/>
      <c r="AQ141" s="92"/>
      <c r="AR141" s="92"/>
      <c r="AS141" s="92"/>
      <c r="AT141" s="93"/>
      <c r="AU141" s="94"/>
      <c r="AV141" s="1844">
        <f t="shared" si="88"/>
        <v>0</v>
      </c>
      <c r="AW141" s="1844">
        <f t="shared" si="89"/>
        <v>0</v>
      </c>
      <c r="AX141" s="184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5"/>
      <c r="C142" s="1296"/>
      <c r="D142" s="80"/>
      <c r="E142" s="87">
        <f t="shared" si="87"/>
        <v>0</v>
      </c>
      <c r="F142" s="88"/>
      <c r="G142" s="89">
        <f t="shared" ref="G142:G173" si="91">H142+AC142+AT142</f>
        <v>0</v>
      </c>
      <c r="H142" s="90">
        <f t="shared" ref="H142:H173" si="92">SUMIF(I$12:AB$12,"总值",I142:AB142)</f>
        <v>0</v>
      </c>
      <c r="I142" s="1296"/>
      <c r="J142" s="91"/>
      <c r="K142" s="12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6"/>
      <c r="AG142" s="92"/>
      <c r="AH142" s="92"/>
      <c r="AI142" s="92"/>
      <c r="AJ142" s="92"/>
      <c r="AK142" s="92"/>
      <c r="AL142" s="92"/>
      <c r="AM142" s="92"/>
      <c r="AN142" s="92"/>
      <c r="AO142" s="92"/>
      <c r="AP142" s="92"/>
      <c r="AQ142" s="92"/>
      <c r="AR142" s="92"/>
      <c r="AS142" s="92"/>
      <c r="AT142" s="93"/>
      <c r="AU142" s="94"/>
      <c r="AV142" s="1844">
        <f t="shared" si="88"/>
        <v>0</v>
      </c>
      <c r="AW142" s="1844">
        <f t="shared" si="89"/>
        <v>0</v>
      </c>
      <c r="AX142" s="184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5"/>
      <c r="C143" s="1296"/>
      <c r="D143" s="80"/>
      <c r="E143" s="87">
        <f t="shared" si="87"/>
        <v>0</v>
      </c>
      <c r="F143" s="88"/>
      <c r="G143" s="89">
        <f t="shared" si="91"/>
        <v>0</v>
      </c>
      <c r="H143" s="90">
        <f t="shared" si="92"/>
        <v>0</v>
      </c>
      <c r="I143" s="1296"/>
      <c r="J143" s="91"/>
      <c r="K143" s="12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6"/>
      <c r="AG143" s="92"/>
      <c r="AH143" s="92"/>
      <c r="AI143" s="92"/>
      <c r="AJ143" s="92"/>
      <c r="AK143" s="92"/>
      <c r="AL143" s="92"/>
      <c r="AM143" s="92"/>
      <c r="AN143" s="92"/>
      <c r="AO143" s="92"/>
      <c r="AP143" s="92"/>
      <c r="AQ143" s="92"/>
      <c r="AR143" s="92"/>
      <c r="AS143" s="92"/>
      <c r="AT143" s="93"/>
      <c r="AU143" s="94"/>
      <c r="AV143" s="1844">
        <f t="shared" si="88"/>
        <v>0</v>
      </c>
      <c r="AW143" s="1844">
        <f t="shared" si="89"/>
        <v>0</v>
      </c>
      <c r="AX143" s="184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5"/>
      <c r="C144" s="1296"/>
      <c r="D144" s="80"/>
      <c r="E144" s="87">
        <f t="shared" si="87"/>
        <v>0</v>
      </c>
      <c r="F144" s="88"/>
      <c r="G144" s="89">
        <f t="shared" si="91"/>
        <v>0</v>
      </c>
      <c r="H144" s="90">
        <f t="shared" si="92"/>
        <v>0</v>
      </c>
      <c r="I144" s="1296"/>
      <c r="J144" s="91"/>
      <c r="K144" s="12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6"/>
      <c r="AG144" s="92"/>
      <c r="AH144" s="92"/>
      <c r="AI144" s="92"/>
      <c r="AJ144" s="92"/>
      <c r="AK144" s="92"/>
      <c r="AL144" s="92"/>
      <c r="AM144" s="92"/>
      <c r="AN144" s="92"/>
      <c r="AO144" s="92"/>
      <c r="AP144" s="92"/>
      <c r="AQ144" s="92"/>
      <c r="AR144" s="92"/>
      <c r="AS144" s="92"/>
      <c r="AT144" s="93"/>
      <c r="AU144" s="94"/>
      <c r="AV144" s="1844">
        <f t="shared" si="88"/>
        <v>0</v>
      </c>
      <c r="AW144" s="1844">
        <f t="shared" si="89"/>
        <v>0</v>
      </c>
      <c r="AX144" s="184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5"/>
      <c r="C145" s="1296"/>
      <c r="D145" s="80"/>
      <c r="E145" s="87">
        <f t="shared" ref="E145:E176" si="116">IF($C$3="是",ROUND($A$3*G145/$B$3,2),ROUND($A$3*(G145-AT145)/$B$3,2))</f>
        <v>0</v>
      </c>
      <c r="F145" s="88"/>
      <c r="G145" s="89">
        <f t="shared" si="91"/>
        <v>0</v>
      </c>
      <c r="H145" s="90">
        <f t="shared" si="92"/>
        <v>0</v>
      </c>
      <c r="I145" s="1296"/>
      <c r="J145" s="91"/>
      <c r="K145" s="12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6"/>
      <c r="AG145" s="92"/>
      <c r="AH145" s="92"/>
      <c r="AI145" s="92"/>
      <c r="AJ145" s="92"/>
      <c r="AK145" s="92"/>
      <c r="AL145" s="92"/>
      <c r="AM145" s="92"/>
      <c r="AN145" s="92"/>
      <c r="AO145" s="92"/>
      <c r="AP145" s="92"/>
      <c r="AQ145" s="92"/>
      <c r="AR145" s="92"/>
      <c r="AS145" s="92"/>
      <c r="AT145" s="93"/>
      <c r="AU145" s="94"/>
      <c r="AV145" s="1844">
        <f t="shared" ref="AV145:AV176" si="117">A145</f>
        <v>0</v>
      </c>
      <c r="AW145" s="1844">
        <f t="shared" ref="AW145:AW176" si="118">B145</f>
        <v>0</v>
      </c>
      <c r="AX145" s="184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5"/>
      <c r="C146" s="1296"/>
      <c r="D146" s="80"/>
      <c r="E146" s="87">
        <f t="shared" si="116"/>
        <v>0</v>
      </c>
      <c r="F146" s="88"/>
      <c r="G146" s="89">
        <f t="shared" si="91"/>
        <v>0</v>
      </c>
      <c r="H146" s="90">
        <f t="shared" si="92"/>
        <v>0</v>
      </c>
      <c r="I146" s="1296"/>
      <c r="J146" s="91"/>
      <c r="K146" s="12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6"/>
      <c r="AG146" s="92"/>
      <c r="AH146" s="92"/>
      <c r="AI146" s="92"/>
      <c r="AJ146" s="92"/>
      <c r="AK146" s="92"/>
      <c r="AL146" s="92"/>
      <c r="AM146" s="92"/>
      <c r="AN146" s="92"/>
      <c r="AO146" s="92"/>
      <c r="AP146" s="92"/>
      <c r="AQ146" s="92"/>
      <c r="AR146" s="92"/>
      <c r="AS146" s="92"/>
      <c r="AT146" s="93"/>
      <c r="AU146" s="94"/>
      <c r="AV146" s="1844">
        <f t="shared" si="117"/>
        <v>0</v>
      </c>
      <c r="AW146" s="1844">
        <f t="shared" si="118"/>
        <v>0</v>
      </c>
      <c r="AX146" s="184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7"/>
      <c r="C147" s="1298"/>
      <c r="D147" s="80"/>
      <c r="E147" s="87">
        <f t="shared" si="116"/>
        <v>0</v>
      </c>
      <c r="F147" s="88"/>
      <c r="G147" s="89">
        <f t="shared" si="91"/>
        <v>0</v>
      </c>
      <c r="H147" s="90">
        <f t="shared" si="92"/>
        <v>0</v>
      </c>
      <c r="I147" s="1296"/>
      <c r="J147" s="91"/>
      <c r="K147" s="1296"/>
      <c r="L147" s="91"/>
      <c r="M147" s="1296"/>
      <c r="N147" s="91"/>
      <c r="O147" s="91"/>
      <c r="P147" s="91"/>
      <c r="Q147" s="91"/>
      <c r="R147" s="91"/>
      <c r="S147" s="91"/>
      <c r="T147" s="91"/>
      <c r="U147" s="91"/>
      <c r="V147" s="91"/>
      <c r="W147" s="91"/>
      <c r="X147" s="91"/>
      <c r="Y147" s="91"/>
      <c r="Z147" s="91"/>
      <c r="AA147" s="91"/>
      <c r="AB147" s="91"/>
      <c r="AC147" s="87">
        <f t="shared" si="93"/>
        <v>0</v>
      </c>
      <c r="AD147" s="92"/>
      <c r="AE147" s="92"/>
      <c r="AF147" s="1296"/>
      <c r="AG147" s="92"/>
      <c r="AH147" s="92"/>
      <c r="AI147" s="92"/>
      <c r="AJ147" s="92"/>
      <c r="AK147" s="92"/>
      <c r="AL147" s="92"/>
      <c r="AM147" s="92"/>
      <c r="AN147" s="92"/>
      <c r="AO147" s="92"/>
      <c r="AP147" s="92"/>
      <c r="AQ147" s="92"/>
      <c r="AR147" s="92"/>
      <c r="AS147" s="92"/>
      <c r="AT147" s="93"/>
      <c r="AU147" s="94"/>
      <c r="AV147" s="1844">
        <f t="shared" si="117"/>
        <v>0</v>
      </c>
      <c r="AW147" s="1844">
        <f t="shared" si="118"/>
        <v>0</v>
      </c>
      <c r="AX147" s="184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4">
        <f t="shared" si="117"/>
        <v>0</v>
      </c>
      <c r="AW148" s="1844">
        <f t="shared" si="118"/>
        <v>0</v>
      </c>
      <c r="AX148" s="184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4">
        <f t="shared" si="117"/>
        <v>0</v>
      </c>
      <c r="AW149" s="1844">
        <f t="shared" si="118"/>
        <v>0</v>
      </c>
      <c r="AX149" s="184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4">
        <f t="shared" si="117"/>
        <v>0</v>
      </c>
      <c r="AW150" s="1844">
        <f t="shared" si="118"/>
        <v>0</v>
      </c>
      <c r="AX150" s="184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4">
        <f t="shared" si="117"/>
        <v>0</v>
      </c>
      <c r="AW151" s="1844">
        <f t="shared" si="118"/>
        <v>0</v>
      </c>
      <c r="AX151" s="184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4">
        <f t="shared" si="117"/>
        <v>0</v>
      </c>
      <c r="AW152" s="1844">
        <f t="shared" si="118"/>
        <v>0</v>
      </c>
      <c r="AX152" s="184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4">
        <f t="shared" si="117"/>
        <v>0</v>
      </c>
      <c r="AW153" s="1844">
        <f t="shared" si="118"/>
        <v>0</v>
      </c>
      <c r="AX153" s="184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4">
        <f t="shared" si="117"/>
        <v>0</v>
      </c>
      <c r="AW154" s="1844">
        <f t="shared" si="118"/>
        <v>0</v>
      </c>
      <c r="AX154" s="184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4">
        <f t="shared" si="117"/>
        <v>0</v>
      </c>
      <c r="AW155" s="1844">
        <f t="shared" si="118"/>
        <v>0</v>
      </c>
      <c r="AX155" s="184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4">
        <f t="shared" si="117"/>
        <v>0</v>
      </c>
      <c r="AW156" s="1844">
        <f t="shared" si="118"/>
        <v>0</v>
      </c>
      <c r="AX156" s="184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4">
        <f t="shared" si="117"/>
        <v>0</v>
      </c>
      <c r="AW157" s="1844">
        <f t="shared" si="118"/>
        <v>0</v>
      </c>
      <c r="AX157" s="184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4">
        <f t="shared" si="117"/>
        <v>0</v>
      </c>
      <c r="AW158" s="1844">
        <f t="shared" si="118"/>
        <v>0</v>
      </c>
      <c r="AX158" s="184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4">
        <f t="shared" si="117"/>
        <v>0</v>
      </c>
      <c r="AW159" s="1844">
        <f t="shared" si="118"/>
        <v>0</v>
      </c>
      <c r="AX159" s="184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4">
        <f t="shared" si="117"/>
        <v>0</v>
      </c>
      <c r="AW160" s="1844">
        <f t="shared" si="118"/>
        <v>0</v>
      </c>
      <c r="AX160" s="184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4">
        <f t="shared" si="117"/>
        <v>0</v>
      </c>
      <c r="AW161" s="1844">
        <f t="shared" si="118"/>
        <v>0</v>
      </c>
      <c r="AX161" s="184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4">
        <f t="shared" si="117"/>
        <v>0</v>
      </c>
      <c r="AW162" s="1844">
        <f t="shared" si="118"/>
        <v>0</v>
      </c>
      <c r="AX162" s="184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4">
        <f t="shared" si="117"/>
        <v>0</v>
      </c>
      <c r="AW163" s="1844">
        <f t="shared" si="118"/>
        <v>0</v>
      </c>
      <c r="AX163" s="184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4">
        <f t="shared" si="117"/>
        <v>0</v>
      </c>
      <c r="AW164" s="1844">
        <f t="shared" si="118"/>
        <v>0</v>
      </c>
      <c r="AX164" s="184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4">
        <f t="shared" si="117"/>
        <v>0</v>
      </c>
      <c r="AW165" s="1844">
        <f t="shared" si="118"/>
        <v>0</v>
      </c>
      <c r="AX165" s="184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4">
        <f t="shared" si="117"/>
        <v>0</v>
      </c>
      <c r="AW166" s="1844">
        <f t="shared" si="118"/>
        <v>0</v>
      </c>
      <c r="AX166" s="184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4">
        <f t="shared" si="117"/>
        <v>0</v>
      </c>
      <c r="AW167" s="1844">
        <f t="shared" si="118"/>
        <v>0</v>
      </c>
      <c r="AX167" s="184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4">
        <f t="shared" si="117"/>
        <v>0</v>
      </c>
      <c r="AW168" s="1844">
        <f t="shared" si="118"/>
        <v>0</v>
      </c>
      <c r="AX168" s="184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4">
        <f t="shared" si="117"/>
        <v>0</v>
      </c>
      <c r="AW169" s="1844">
        <f t="shared" si="118"/>
        <v>0</v>
      </c>
      <c r="AX169" s="184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4">
        <f t="shared" si="117"/>
        <v>0</v>
      </c>
      <c r="AW170" s="1844">
        <f t="shared" si="118"/>
        <v>0</v>
      </c>
      <c r="AX170" s="184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4">
        <f t="shared" si="117"/>
        <v>0</v>
      </c>
      <c r="AW171" s="1844">
        <f t="shared" si="118"/>
        <v>0</v>
      </c>
      <c r="AX171" s="184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4">
        <f t="shared" si="117"/>
        <v>0</v>
      </c>
      <c r="AW172" s="1844">
        <f t="shared" si="118"/>
        <v>0</v>
      </c>
      <c r="AX172" s="184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4">
        <f t="shared" si="117"/>
        <v>0</v>
      </c>
      <c r="AW173" s="1844">
        <f t="shared" si="118"/>
        <v>0</v>
      </c>
      <c r="AX173" s="184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4">
        <f t="shared" si="117"/>
        <v>0</v>
      </c>
      <c r="AW174" s="1844">
        <f t="shared" si="118"/>
        <v>0</v>
      </c>
      <c r="AX174" s="184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4">
        <f t="shared" si="117"/>
        <v>0</v>
      </c>
      <c r="AW175" s="1844">
        <f t="shared" si="118"/>
        <v>0</v>
      </c>
      <c r="AX175" s="184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4">
        <f t="shared" si="117"/>
        <v>0</v>
      </c>
      <c r="AW176" s="1844">
        <f t="shared" si="118"/>
        <v>0</v>
      </c>
      <c r="AX176" s="184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4">
        <f t="shared" ref="AV177:AV204" si="146">A177</f>
        <v>0</v>
      </c>
      <c r="AW177" s="1844">
        <f t="shared" ref="AW177:AW204" si="147">B177</f>
        <v>0</v>
      </c>
      <c r="AX177" s="184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4">
        <f t="shared" si="146"/>
        <v>0</v>
      </c>
      <c r="AW178" s="1844">
        <f t="shared" si="147"/>
        <v>0</v>
      </c>
      <c r="AX178" s="184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4">
        <f t="shared" si="146"/>
        <v>0</v>
      </c>
      <c r="AW179" s="1844">
        <f t="shared" si="147"/>
        <v>0</v>
      </c>
      <c r="AX179" s="184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4">
        <f t="shared" si="146"/>
        <v>0</v>
      </c>
      <c r="AW180" s="1844">
        <f t="shared" si="147"/>
        <v>0</v>
      </c>
      <c r="AX180" s="184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4">
        <f t="shared" si="146"/>
        <v>0</v>
      </c>
      <c r="AW181" s="1844">
        <f t="shared" si="147"/>
        <v>0</v>
      </c>
      <c r="AX181" s="184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4">
        <f t="shared" si="146"/>
        <v>0</v>
      </c>
      <c r="AW182" s="1844">
        <f t="shared" si="147"/>
        <v>0</v>
      </c>
      <c r="AX182" s="184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4">
        <f t="shared" si="146"/>
        <v>0</v>
      </c>
      <c r="AW183" s="1844">
        <f t="shared" si="147"/>
        <v>0</v>
      </c>
      <c r="AX183" s="184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4">
        <f t="shared" si="146"/>
        <v>0</v>
      </c>
      <c r="AW184" s="1844">
        <f t="shared" si="147"/>
        <v>0</v>
      </c>
      <c r="AX184" s="184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4">
        <f t="shared" si="146"/>
        <v>0</v>
      </c>
      <c r="AW185" s="1844">
        <f t="shared" si="147"/>
        <v>0</v>
      </c>
      <c r="AX185" s="184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4">
        <f t="shared" si="146"/>
        <v>0</v>
      </c>
      <c r="AW186" s="1844">
        <f t="shared" si="147"/>
        <v>0</v>
      </c>
      <c r="AX186" s="184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4">
        <f t="shared" si="146"/>
        <v>0</v>
      </c>
      <c r="AW187" s="1844">
        <f t="shared" si="147"/>
        <v>0</v>
      </c>
      <c r="AX187" s="184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4">
        <f t="shared" si="146"/>
        <v>0</v>
      </c>
      <c r="AW188" s="1844">
        <f t="shared" si="147"/>
        <v>0</v>
      </c>
      <c r="AX188" s="184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4">
        <f t="shared" si="146"/>
        <v>0</v>
      </c>
      <c r="AW189" s="1844">
        <f t="shared" si="147"/>
        <v>0</v>
      </c>
      <c r="AX189" s="184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4">
        <f t="shared" si="146"/>
        <v>0</v>
      </c>
      <c r="AW190" s="1844">
        <f t="shared" si="147"/>
        <v>0</v>
      </c>
      <c r="AX190" s="184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4">
        <f t="shared" si="146"/>
        <v>0</v>
      </c>
      <c r="AW191" s="1844">
        <f t="shared" si="147"/>
        <v>0</v>
      </c>
      <c r="AX191" s="184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4">
        <f t="shared" si="146"/>
        <v>0</v>
      </c>
      <c r="AW192" s="1844">
        <f t="shared" si="147"/>
        <v>0</v>
      </c>
      <c r="AX192" s="184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4">
        <f t="shared" si="146"/>
        <v>0</v>
      </c>
      <c r="AW193" s="1844">
        <f t="shared" si="147"/>
        <v>0</v>
      </c>
      <c r="AX193" s="184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4">
        <f t="shared" si="146"/>
        <v>0</v>
      </c>
      <c r="AW194" s="1844">
        <f t="shared" si="147"/>
        <v>0</v>
      </c>
      <c r="AX194" s="184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4">
        <f t="shared" si="146"/>
        <v>0</v>
      </c>
      <c r="AW195" s="1844">
        <f t="shared" si="147"/>
        <v>0</v>
      </c>
      <c r="AX195" s="184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4">
        <f t="shared" si="146"/>
        <v>0</v>
      </c>
      <c r="AW196" s="1844">
        <f t="shared" si="147"/>
        <v>0</v>
      </c>
      <c r="AX196" s="184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4">
        <f t="shared" si="146"/>
        <v>0</v>
      </c>
      <c r="AW197" s="1844">
        <f t="shared" si="147"/>
        <v>0</v>
      </c>
      <c r="AX197" s="184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4">
        <f t="shared" si="146"/>
        <v>0</v>
      </c>
      <c r="AW198" s="1844">
        <f t="shared" si="147"/>
        <v>0</v>
      </c>
      <c r="AX198" s="184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4">
        <f t="shared" si="146"/>
        <v>0</v>
      </c>
      <c r="AW199" s="1844">
        <f t="shared" si="147"/>
        <v>0</v>
      </c>
      <c r="AX199" s="184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4">
        <f t="shared" si="146"/>
        <v>0</v>
      </c>
      <c r="AW200" s="1844">
        <f t="shared" si="147"/>
        <v>0</v>
      </c>
      <c r="AX200" s="184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4">
        <f t="shared" si="146"/>
        <v>0</v>
      </c>
      <c r="AW201" s="1844">
        <f t="shared" si="147"/>
        <v>0</v>
      </c>
      <c r="AX201" s="184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4">
        <f t="shared" si="146"/>
        <v>0</v>
      </c>
      <c r="AW202" s="1844">
        <f t="shared" si="147"/>
        <v>0</v>
      </c>
      <c r="AX202" s="184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4">
        <f t="shared" si="146"/>
        <v>0</v>
      </c>
      <c r="AW203" s="1844">
        <f t="shared" si="147"/>
        <v>0</v>
      </c>
      <c r="AX203" s="184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4">
        <f t="shared" si="146"/>
        <v>0</v>
      </c>
      <c r="AW204" s="1844">
        <f t="shared" si="147"/>
        <v>0</v>
      </c>
      <c r="AX204" s="184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5"/>
      <c r="C205" s="1296"/>
      <c r="D205" s="80"/>
      <c r="E205" s="87">
        <f t="shared" ref="E205:E296" si="149">IF($C$3="是",ROUND($A$3*G205/$B$3,2),ROUND($A$3*(G205-AT205)/$B$3,2))</f>
        <v>0</v>
      </c>
      <c r="F205" s="88"/>
      <c r="G205" s="89">
        <f t="shared" ref="G205:G293" si="150">H205+AC205+AT205</f>
        <v>0</v>
      </c>
      <c r="H205" s="90">
        <f t="shared" ref="H205:H293" si="151">SUMIF(I$12:AB$12,"总值",I205:AB205)</f>
        <v>0</v>
      </c>
      <c r="I205" s="1298"/>
      <c r="J205" s="91"/>
      <c r="K205" s="12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9"/>
      <c r="AG205" s="92"/>
      <c r="AH205" s="92"/>
      <c r="AI205" s="92"/>
      <c r="AJ205" s="92"/>
      <c r="AK205" s="92"/>
      <c r="AL205" s="92"/>
      <c r="AM205" s="92"/>
      <c r="AN205" s="1271"/>
      <c r="AO205" s="92"/>
      <c r="AP205" s="92"/>
      <c r="AQ205" s="92"/>
      <c r="AR205" s="92"/>
      <c r="AS205" s="92"/>
      <c r="AT205" s="93"/>
      <c r="AU205" s="94"/>
      <c r="AV205" s="1844">
        <f t="shared" ref="AV205:AV296" si="153">A205</f>
        <v>0</v>
      </c>
      <c r="AW205" s="1844">
        <f t="shared" ref="AW205:AW296" si="154">B205</f>
        <v>0</v>
      </c>
      <c r="AX205" s="184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5"/>
      <c r="C206" s="1296"/>
      <c r="D206" s="80"/>
      <c r="E206" s="87">
        <f t="shared" si="149"/>
        <v>0</v>
      </c>
      <c r="F206" s="88"/>
      <c r="G206" s="89">
        <f t="shared" si="150"/>
        <v>0</v>
      </c>
      <c r="H206" s="90">
        <f t="shared" si="151"/>
        <v>0</v>
      </c>
      <c r="I206" s="1298"/>
      <c r="J206" s="91"/>
      <c r="K206" s="1298"/>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299"/>
      <c r="AG206" s="92"/>
      <c r="AH206" s="92"/>
      <c r="AI206" s="92"/>
      <c r="AJ206" s="92"/>
      <c r="AK206" s="92"/>
      <c r="AL206" s="1271"/>
      <c r="AM206" s="92"/>
      <c r="AN206" s="1271"/>
      <c r="AO206" s="92"/>
      <c r="AP206" s="92"/>
      <c r="AQ206" s="92"/>
      <c r="AR206" s="92"/>
      <c r="AS206" s="92"/>
      <c r="AT206" s="93"/>
      <c r="AU206" s="94"/>
      <c r="AV206" s="1844">
        <f t="shared" si="153"/>
        <v>0</v>
      </c>
      <c r="AW206" s="1844">
        <f t="shared" si="154"/>
        <v>0</v>
      </c>
      <c r="AX206" s="184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5"/>
      <c r="C207" s="1296"/>
      <c r="D207" s="80"/>
      <c r="E207" s="87">
        <f t="shared" si="149"/>
        <v>0</v>
      </c>
      <c r="F207" s="88"/>
      <c r="G207" s="89">
        <f t="shared" si="150"/>
        <v>0</v>
      </c>
      <c r="H207" s="90">
        <f t="shared" si="151"/>
        <v>0</v>
      </c>
      <c r="I207" s="1298"/>
      <c r="J207" s="91"/>
      <c r="K207" s="1298"/>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299"/>
      <c r="AG207" s="92"/>
      <c r="AH207" s="92"/>
      <c r="AI207" s="92"/>
      <c r="AJ207" s="92"/>
      <c r="AK207" s="92"/>
      <c r="AL207" s="1271"/>
      <c r="AM207" s="92"/>
      <c r="AN207" s="1271"/>
      <c r="AO207" s="92"/>
      <c r="AP207" s="92"/>
      <c r="AQ207" s="92"/>
      <c r="AR207" s="92"/>
      <c r="AS207" s="92"/>
      <c r="AT207" s="93"/>
      <c r="AU207" s="94"/>
      <c r="AV207" s="1844">
        <f t="shared" si="153"/>
        <v>0</v>
      </c>
      <c r="AW207" s="1844">
        <f t="shared" si="154"/>
        <v>0</v>
      </c>
      <c r="AX207" s="184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5"/>
      <c r="C208" s="1296"/>
      <c r="D208" s="80"/>
      <c r="E208" s="87">
        <f t="shared" si="149"/>
        <v>0</v>
      </c>
      <c r="F208" s="88"/>
      <c r="G208" s="89">
        <f t="shared" si="150"/>
        <v>0</v>
      </c>
      <c r="H208" s="90">
        <f t="shared" si="151"/>
        <v>0</v>
      </c>
      <c r="I208" s="1298"/>
      <c r="J208" s="91"/>
      <c r="K208" s="1298"/>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299"/>
      <c r="AG208" s="92"/>
      <c r="AH208" s="92"/>
      <c r="AI208" s="92"/>
      <c r="AJ208" s="92"/>
      <c r="AK208" s="92"/>
      <c r="AL208" s="92"/>
      <c r="AM208" s="92"/>
      <c r="AN208" s="1271"/>
      <c r="AO208" s="92"/>
      <c r="AP208" s="92"/>
      <c r="AQ208" s="92"/>
      <c r="AR208" s="92"/>
      <c r="AS208" s="92"/>
      <c r="AT208" s="93"/>
      <c r="AU208" s="94"/>
      <c r="AV208" s="1844">
        <f t="shared" si="153"/>
        <v>0</v>
      </c>
      <c r="AW208" s="1844">
        <f t="shared" si="154"/>
        <v>0</v>
      </c>
      <c r="AX208" s="184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5"/>
      <c r="C209" s="1296"/>
      <c r="D209" s="80"/>
      <c r="E209" s="87">
        <f t="shared" si="149"/>
        <v>0</v>
      </c>
      <c r="F209" s="88"/>
      <c r="G209" s="89">
        <f t="shared" si="150"/>
        <v>0</v>
      </c>
      <c r="H209" s="90">
        <f t="shared" si="151"/>
        <v>0</v>
      </c>
      <c r="I209" s="1298"/>
      <c r="J209" s="91"/>
      <c r="K209" s="12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9"/>
      <c r="AG209" s="92"/>
      <c r="AH209" s="92"/>
      <c r="AI209" s="92"/>
      <c r="AJ209" s="92"/>
      <c r="AK209" s="92"/>
      <c r="AL209" s="92"/>
      <c r="AM209" s="92"/>
      <c r="AN209" s="92"/>
      <c r="AO209" s="92"/>
      <c r="AP209" s="92"/>
      <c r="AQ209" s="92"/>
      <c r="AR209" s="92"/>
      <c r="AS209" s="92"/>
      <c r="AT209" s="93"/>
      <c r="AU209" s="94"/>
      <c r="AV209" s="1844">
        <f t="shared" si="153"/>
        <v>0</v>
      </c>
      <c r="AW209" s="1844">
        <f t="shared" si="154"/>
        <v>0</v>
      </c>
      <c r="AX209" s="184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5"/>
      <c r="C210" s="1296"/>
      <c r="D210" s="80"/>
      <c r="E210" s="87">
        <f t="shared" si="149"/>
        <v>0</v>
      </c>
      <c r="F210" s="88"/>
      <c r="G210" s="89">
        <f t="shared" si="150"/>
        <v>0</v>
      </c>
      <c r="H210" s="90">
        <f t="shared" si="151"/>
        <v>0</v>
      </c>
      <c r="I210" s="1298"/>
      <c r="J210" s="91"/>
      <c r="K210" s="12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9"/>
      <c r="AG210" s="92"/>
      <c r="AH210" s="92"/>
      <c r="AI210" s="92"/>
      <c r="AJ210" s="92"/>
      <c r="AK210" s="92"/>
      <c r="AL210" s="92"/>
      <c r="AM210" s="92"/>
      <c r="AN210" s="92"/>
      <c r="AO210" s="92"/>
      <c r="AP210" s="92"/>
      <c r="AQ210" s="92"/>
      <c r="AR210" s="92"/>
      <c r="AS210" s="92"/>
      <c r="AT210" s="93"/>
      <c r="AU210" s="94"/>
      <c r="AV210" s="1844">
        <f t="shared" si="153"/>
        <v>0</v>
      </c>
      <c r="AW210" s="1844">
        <f t="shared" si="154"/>
        <v>0</v>
      </c>
      <c r="AX210" s="184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5"/>
      <c r="C211" s="1296"/>
      <c r="D211" s="80"/>
      <c r="E211" s="87">
        <f t="shared" si="149"/>
        <v>0</v>
      </c>
      <c r="F211" s="88"/>
      <c r="G211" s="89">
        <f t="shared" si="150"/>
        <v>0</v>
      </c>
      <c r="H211" s="90">
        <f t="shared" si="151"/>
        <v>0</v>
      </c>
      <c r="I211" s="1298"/>
      <c r="J211" s="91"/>
      <c r="K211" s="12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9"/>
      <c r="AG211" s="92"/>
      <c r="AH211" s="92"/>
      <c r="AI211" s="92"/>
      <c r="AJ211" s="92"/>
      <c r="AK211" s="92"/>
      <c r="AL211" s="92"/>
      <c r="AM211" s="92"/>
      <c r="AN211" s="92"/>
      <c r="AO211" s="92"/>
      <c r="AP211" s="92"/>
      <c r="AQ211" s="92"/>
      <c r="AR211" s="92"/>
      <c r="AS211" s="92"/>
      <c r="AT211" s="93"/>
      <c r="AU211" s="94"/>
      <c r="AV211" s="1844">
        <f t="shared" si="153"/>
        <v>0</v>
      </c>
      <c r="AW211" s="1844">
        <f t="shared" si="154"/>
        <v>0</v>
      </c>
      <c r="AX211" s="184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5"/>
      <c r="C212" s="1296"/>
      <c r="D212" s="80"/>
      <c r="E212" s="87">
        <f t="shared" si="149"/>
        <v>0</v>
      </c>
      <c r="F212" s="88"/>
      <c r="G212" s="89">
        <f t="shared" si="150"/>
        <v>0</v>
      </c>
      <c r="H212" s="90">
        <f t="shared" si="151"/>
        <v>0</v>
      </c>
      <c r="I212" s="1298"/>
      <c r="J212" s="91"/>
      <c r="K212" s="12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8"/>
      <c r="AG212" s="92"/>
      <c r="AH212" s="92"/>
      <c r="AI212" s="92"/>
      <c r="AJ212" s="92"/>
      <c r="AK212" s="92"/>
      <c r="AL212" s="92"/>
      <c r="AM212" s="92"/>
      <c r="AN212" s="92"/>
      <c r="AO212" s="92"/>
      <c r="AP212" s="92"/>
      <c r="AQ212" s="92"/>
      <c r="AR212" s="92"/>
      <c r="AS212" s="92"/>
      <c r="AT212" s="93"/>
      <c r="AU212" s="94"/>
      <c r="AV212" s="1844">
        <f t="shared" si="153"/>
        <v>0</v>
      </c>
      <c r="AW212" s="1844">
        <f t="shared" si="154"/>
        <v>0</v>
      </c>
      <c r="AX212" s="184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7"/>
      <c r="C213" s="1298"/>
      <c r="D213" s="80"/>
      <c r="E213" s="87">
        <f t="shared" si="149"/>
        <v>0</v>
      </c>
      <c r="F213" s="88"/>
      <c r="G213" s="89">
        <f t="shared" si="150"/>
        <v>0</v>
      </c>
      <c r="H213" s="90">
        <f t="shared" si="151"/>
        <v>0</v>
      </c>
      <c r="I213" s="1298"/>
      <c r="J213" s="91"/>
      <c r="K213" s="12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8"/>
      <c r="AG213" s="92"/>
      <c r="AH213" s="92"/>
      <c r="AI213" s="92"/>
      <c r="AJ213" s="92"/>
      <c r="AK213" s="92"/>
      <c r="AL213" s="92"/>
      <c r="AM213" s="92"/>
      <c r="AN213" s="92"/>
      <c r="AO213" s="92"/>
      <c r="AP213" s="92"/>
      <c r="AQ213" s="92"/>
      <c r="AR213" s="92"/>
      <c r="AS213" s="92"/>
      <c r="AT213" s="93"/>
      <c r="AU213" s="94"/>
      <c r="AV213" s="1844">
        <f t="shared" si="153"/>
        <v>0</v>
      </c>
      <c r="AW213" s="1844">
        <f t="shared" si="154"/>
        <v>0</v>
      </c>
      <c r="AX213" s="184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5"/>
      <c r="C214" s="1296"/>
      <c r="D214" s="80"/>
      <c r="E214" s="87">
        <f t="shared" si="149"/>
        <v>0</v>
      </c>
      <c r="F214" s="88"/>
      <c r="G214" s="89">
        <f t="shared" si="150"/>
        <v>0</v>
      </c>
      <c r="H214" s="90">
        <f t="shared" si="151"/>
        <v>0</v>
      </c>
      <c r="I214" s="1298"/>
      <c r="J214" s="91"/>
      <c r="K214" s="12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8"/>
      <c r="AG214" s="92"/>
      <c r="AH214" s="92"/>
      <c r="AI214" s="92"/>
      <c r="AJ214" s="92"/>
      <c r="AK214" s="92"/>
      <c r="AL214" s="92"/>
      <c r="AM214" s="92"/>
      <c r="AN214" s="92"/>
      <c r="AO214" s="92"/>
      <c r="AP214" s="92"/>
      <c r="AQ214" s="92"/>
      <c r="AR214" s="92"/>
      <c r="AS214" s="92"/>
      <c r="AT214" s="93"/>
      <c r="AU214" s="94"/>
      <c r="AV214" s="1844">
        <f t="shared" si="153"/>
        <v>0</v>
      </c>
      <c r="AW214" s="1844">
        <f t="shared" si="154"/>
        <v>0</v>
      </c>
      <c r="AX214" s="184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5"/>
      <c r="C215" s="1296"/>
      <c r="D215" s="80"/>
      <c r="E215" s="87">
        <f t="shared" si="149"/>
        <v>0</v>
      </c>
      <c r="F215" s="88"/>
      <c r="G215" s="89">
        <f t="shared" si="150"/>
        <v>0</v>
      </c>
      <c r="H215" s="90">
        <f t="shared" si="151"/>
        <v>0</v>
      </c>
      <c r="I215" s="1298"/>
      <c r="J215" s="91"/>
      <c r="K215" s="12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8"/>
      <c r="AG215" s="92"/>
      <c r="AH215" s="92"/>
      <c r="AI215" s="92"/>
      <c r="AJ215" s="92"/>
      <c r="AK215" s="92"/>
      <c r="AL215" s="92"/>
      <c r="AM215" s="92"/>
      <c r="AN215" s="92"/>
      <c r="AO215" s="92"/>
      <c r="AP215" s="92"/>
      <c r="AQ215" s="92"/>
      <c r="AR215" s="92"/>
      <c r="AS215" s="92"/>
      <c r="AT215" s="93"/>
      <c r="AU215" s="94"/>
      <c r="AV215" s="1844">
        <f t="shared" si="153"/>
        <v>0</v>
      </c>
      <c r="AW215" s="1844">
        <f t="shared" si="154"/>
        <v>0</v>
      </c>
      <c r="AX215" s="184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5"/>
      <c r="C216" s="1296"/>
      <c r="D216" s="80"/>
      <c r="E216" s="87">
        <f t="shared" si="149"/>
        <v>0</v>
      </c>
      <c r="F216" s="88"/>
      <c r="G216" s="89">
        <f t="shared" si="150"/>
        <v>0</v>
      </c>
      <c r="H216" s="90">
        <f t="shared" si="151"/>
        <v>0</v>
      </c>
      <c r="I216" s="1298"/>
      <c r="J216" s="91"/>
      <c r="K216" s="12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8"/>
      <c r="AG216" s="92"/>
      <c r="AH216" s="92"/>
      <c r="AI216" s="92"/>
      <c r="AJ216" s="92"/>
      <c r="AK216" s="92"/>
      <c r="AL216" s="92"/>
      <c r="AM216" s="92"/>
      <c r="AN216" s="92"/>
      <c r="AO216" s="92"/>
      <c r="AP216" s="92"/>
      <c r="AQ216" s="92"/>
      <c r="AR216" s="92"/>
      <c r="AS216" s="92"/>
      <c r="AT216" s="93"/>
      <c r="AU216" s="94"/>
      <c r="AV216" s="1844">
        <f t="shared" si="153"/>
        <v>0</v>
      </c>
      <c r="AW216" s="1844">
        <f t="shared" si="154"/>
        <v>0</v>
      </c>
      <c r="AX216" s="184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5"/>
      <c r="C217" s="1296"/>
      <c r="D217" s="80"/>
      <c r="E217" s="87">
        <f t="shared" si="149"/>
        <v>0</v>
      </c>
      <c r="F217" s="88"/>
      <c r="G217" s="89">
        <f t="shared" si="150"/>
        <v>0</v>
      </c>
      <c r="H217" s="90">
        <f t="shared" si="151"/>
        <v>0</v>
      </c>
      <c r="I217" s="1298"/>
      <c r="J217" s="91"/>
      <c r="K217" s="12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8"/>
      <c r="AG217" s="92"/>
      <c r="AH217" s="92"/>
      <c r="AI217" s="92"/>
      <c r="AJ217" s="92"/>
      <c r="AK217" s="92"/>
      <c r="AL217" s="92"/>
      <c r="AM217" s="92"/>
      <c r="AN217" s="92"/>
      <c r="AO217" s="92"/>
      <c r="AP217" s="92"/>
      <c r="AQ217" s="92"/>
      <c r="AR217" s="92"/>
      <c r="AS217" s="92"/>
      <c r="AT217" s="93"/>
      <c r="AU217" s="94"/>
      <c r="AV217" s="1844">
        <f t="shared" si="153"/>
        <v>0</v>
      </c>
      <c r="AW217" s="1844">
        <f t="shared" si="154"/>
        <v>0</v>
      </c>
      <c r="AX217" s="184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5"/>
      <c r="C218" s="1296"/>
      <c r="D218" s="80"/>
      <c r="E218" s="87">
        <f t="shared" si="149"/>
        <v>0</v>
      </c>
      <c r="F218" s="88"/>
      <c r="G218" s="89">
        <f t="shared" si="150"/>
        <v>0</v>
      </c>
      <c r="H218" s="90">
        <f t="shared" si="151"/>
        <v>0</v>
      </c>
      <c r="I218" s="1298"/>
      <c r="J218" s="91"/>
      <c r="K218" s="12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8"/>
      <c r="AG218" s="92"/>
      <c r="AH218" s="92"/>
      <c r="AI218" s="92"/>
      <c r="AJ218" s="92"/>
      <c r="AK218" s="92"/>
      <c r="AL218" s="92"/>
      <c r="AM218" s="92"/>
      <c r="AN218" s="92"/>
      <c r="AO218" s="92"/>
      <c r="AP218" s="92"/>
      <c r="AQ218" s="92"/>
      <c r="AR218" s="92"/>
      <c r="AS218" s="92"/>
      <c r="AT218" s="93"/>
      <c r="AU218" s="94"/>
      <c r="AV218" s="1844">
        <f t="shared" si="153"/>
        <v>0</v>
      </c>
      <c r="AW218" s="1844">
        <f t="shared" si="154"/>
        <v>0</v>
      </c>
      <c r="AX218" s="184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5"/>
      <c r="C219" s="1296"/>
      <c r="D219" s="80"/>
      <c r="E219" s="87">
        <f t="shared" si="149"/>
        <v>0</v>
      </c>
      <c r="F219" s="88"/>
      <c r="G219" s="89">
        <f t="shared" si="150"/>
        <v>0</v>
      </c>
      <c r="H219" s="90">
        <f t="shared" si="151"/>
        <v>0</v>
      </c>
      <c r="I219" s="1298"/>
      <c r="J219" s="91"/>
      <c r="K219" s="12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8"/>
      <c r="AG219" s="92"/>
      <c r="AH219" s="92"/>
      <c r="AI219" s="92"/>
      <c r="AJ219" s="92"/>
      <c r="AK219" s="92"/>
      <c r="AL219" s="92"/>
      <c r="AM219" s="92"/>
      <c r="AN219" s="92"/>
      <c r="AO219" s="92"/>
      <c r="AP219" s="92"/>
      <c r="AQ219" s="92"/>
      <c r="AR219" s="92"/>
      <c r="AS219" s="92"/>
      <c r="AT219" s="93"/>
      <c r="AU219" s="94"/>
      <c r="AV219" s="1844">
        <f t="shared" si="153"/>
        <v>0</v>
      </c>
      <c r="AW219" s="1844">
        <f t="shared" si="154"/>
        <v>0</v>
      </c>
      <c r="AX219" s="184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5"/>
      <c r="C220" s="1296"/>
      <c r="D220" s="80"/>
      <c r="E220" s="87">
        <f t="shared" si="149"/>
        <v>0</v>
      </c>
      <c r="F220" s="88"/>
      <c r="G220" s="89">
        <f t="shared" si="150"/>
        <v>0</v>
      </c>
      <c r="H220" s="90">
        <f t="shared" si="151"/>
        <v>0</v>
      </c>
      <c r="I220" s="1298"/>
      <c r="J220" s="91"/>
      <c r="K220" s="12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8"/>
      <c r="AG220" s="92"/>
      <c r="AH220" s="92"/>
      <c r="AI220" s="92"/>
      <c r="AJ220" s="92"/>
      <c r="AK220" s="92"/>
      <c r="AL220" s="92"/>
      <c r="AM220" s="92"/>
      <c r="AN220" s="92"/>
      <c r="AO220" s="92"/>
      <c r="AP220" s="92"/>
      <c r="AQ220" s="92"/>
      <c r="AR220" s="92"/>
      <c r="AS220" s="92"/>
      <c r="AT220" s="93"/>
      <c r="AU220" s="94"/>
      <c r="AV220" s="1844">
        <f t="shared" si="153"/>
        <v>0</v>
      </c>
      <c r="AW220" s="1844">
        <f t="shared" si="154"/>
        <v>0</v>
      </c>
      <c r="AX220" s="184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5"/>
      <c r="C221" s="1296"/>
      <c r="D221" s="80"/>
      <c r="E221" s="87">
        <f t="shared" si="149"/>
        <v>0</v>
      </c>
      <c r="F221" s="88"/>
      <c r="G221" s="89">
        <f t="shared" si="150"/>
        <v>0</v>
      </c>
      <c r="H221" s="90">
        <f t="shared" si="151"/>
        <v>0</v>
      </c>
      <c r="I221" s="1298"/>
      <c r="J221" s="91"/>
      <c r="K221" s="12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8"/>
      <c r="AG221" s="92"/>
      <c r="AH221" s="92"/>
      <c r="AI221" s="92"/>
      <c r="AJ221" s="92"/>
      <c r="AK221" s="92"/>
      <c r="AL221" s="92"/>
      <c r="AM221" s="92"/>
      <c r="AN221" s="92"/>
      <c r="AO221" s="92"/>
      <c r="AP221" s="92"/>
      <c r="AQ221" s="92"/>
      <c r="AR221" s="92"/>
      <c r="AS221" s="92"/>
      <c r="AT221" s="93"/>
      <c r="AU221" s="94"/>
      <c r="AV221" s="1844">
        <f t="shared" si="153"/>
        <v>0</v>
      </c>
      <c r="AW221" s="1844">
        <f t="shared" si="154"/>
        <v>0</v>
      </c>
      <c r="AX221" s="184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5"/>
      <c r="C222" s="1296"/>
      <c r="D222" s="80"/>
      <c r="E222" s="87">
        <f t="shared" si="149"/>
        <v>0</v>
      </c>
      <c r="F222" s="88"/>
      <c r="G222" s="89">
        <f t="shared" si="150"/>
        <v>0</v>
      </c>
      <c r="H222" s="90">
        <f t="shared" si="151"/>
        <v>0</v>
      </c>
      <c r="I222" s="1298"/>
      <c r="J222" s="91"/>
      <c r="K222" s="12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8"/>
      <c r="AG222" s="92"/>
      <c r="AH222" s="92"/>
      <c r="AI222" s="92"/>
      <c r="AJ222" s="92"/>
      <c r="AK222" s="92"/>
      <c r="AL222" s="92"/>
      <c r="AM222" s="92"/>
      <c r="AN222" s="92"/>
      <c r="AO222" s="92"/>
      <c r="AP222" s="92"/>
      <c r="AQ222" s="92"/>
      <c r="AR222" s="92"/>
      <c r="AS222" s="92"/>
      <c r="AT222" s="93"/>
      <c r="AU222" s="94"/>
      <c r="AV222" s="1844">
        <f t="shared" si="153"/>
        <v>0</v>
      </c>
      <c r="AW222" s="1844">
        <f t="shared" si="154"/>
        <v>0</v>
      </c>
      <c r="AX222" s="184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5"/>
      <c r="C223" s="1296"/>
      <c r="D223" s="80"/>
      <c r="E223" s="87">
        <f t="shared" si="149"/>
        <v>0</v>
      </c>
      <c r="F223" s="88"/>
      <c r="G223" s="89">
        <f t="shared" si="150"/>
        <v>0</v>
      </c>
      <c r="H223" s="90">
        <f t="shared" si="151"/>
        <v>0</v>
      </c>
      <c r="I223" s="1298"/>
      <c r="J223" s="91"/>
      <c r="K223" s="12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8"/>
      <c r="AG223" s="92"/>
      <c r="AH223" s="92"/>
      <c r="AI223" s="92"/>
      <c r="AJ223" s="92"/>
      <c r="AK223" s="92"/>
      <c r="AL223" s="92"/>
      <c r="AM223" s="92"/>
      <c r="AN223" s="92"/>
      <c r="AO223" s="92"/>
      <c r="AP223" s="92"/>
      <c r="AQ223" s="92"/>
      <c r="AR223" s="92"/>
      <c r="AS223" s="92"/>
      <c r="AT223" s="93"/>
      <c r="AU223" s="94"/>
      <c r="AV223" s="1844">
        <f t="shared" si="153"/>
        <v>0</v>
      </c>
      <c r="AW223" s="1844">
        <f t="shared" si="154"/>
        <v>0</v>
      </c>
      <c r="AX223" s="184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5"/>
      <c r="C224" s="1296"/>
      <c r="D224" s="80"/>
      <c r="E224" s="87">
        <f t="shared" si="149"/>
        <v>0</v>
      </c>
      <c r="F224" s="88"/>
      <c r="G224" s="89">
        <f t="shared" si="150"/>
        <v>0</v>
      </c>
      <c r="H224" s="90">
        <f t="shared" si="151"/>
        <v>0</v>
      </c>
      <c r="I224" s="1298"/>
      <c r="J224" s="91"/>
      <c r="K224" s="12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8"/>
      <c r="AG224" s="92"/>
      <c r="AH224" s="92"/>
      <c r="AI224" s="92"/>
      <c r="AJ224" s="92"/>
      <c r="AK224" s="92"/>
      <c r="AL224" s="92"/>
      <c r="AM224" s="92"/>
      <c r="AN224" s="92"/>
      <c r="AO224" s="92"/>
      <c r="AP224" s="92"/>
      <c r="AQ224" s="92"/>
      <c r="AR224" s="92"/>
      <c r="AS224" s="92"/>
      <c r="AT224" s="93"/>
      <c r="AU224" s="94"/>
      <c r="AV224" s="1844">
        <f t="shared" si="153"/>
        <v>0</v>
      </c>
      <c r="AW224" s="1844">
        <f t="shared" si="154"/>
        <v>0</v>
      </c>
      <c r="AX224" s="184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5"/>
      <c r="C225" s="1296"/>
      <c r="D225" s="80"/>
      <c r="E225" s="87">
        <f t="shared" si="149"/>
        <v>0</v>
      </c>
      <c r="F225" s="88"/>
      <c r="G225" s="89">
        <f t="shared" si="150"/>
        <v>0</v>
      </c>
      <c r="H225" s="90">
        <f t="shared" si="151"/>
        <v>0</v>
      </c>
      <c r="I225" s="1298"/>
      <c r="J225" s="91"/>
      <c r="K225" s="12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8"/>
      <c r="AG225" s="92"/>
      <c r="AH225" s="92"/>
      <c r="AI225" s="92"/>
      <c r="AJ225" s="92"/>
      <c r="AK225" s="92"/>
      <c r="AL225" s="92"/>
      <c r="AM225" s="92"/>
      <c r="AN225" s="92"/>
      <c r="AO225" s="92"/>
      <c r="AP225" s="92"/>
      <c r="AQ225" s="92"/>
      <c r="AR225" s="92"/>
      <c r="AS225" s="92"/>
      <c r="AT225" s="93"/>
      <c r="AU225" s="94"/>
      <c r="AV225" s="1844">
        <f t="shared" si="153"/>
        <v>0</v>
      </c>
      <c r="AW225" s="1844">
        <f t="shared" si="154"/>
        <v>0</v>
      </c>
      <c r="AX225" s="184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5"/>
      <c r="C226" s="1296"/>
      <c r="D226" s="80"/>
      <c r="E226" s="87">
        <f t="shared" si="149"/>
        <v>0</v>
      </c>
      <c r="F226" s="88"/>
      <c r="G226" s="89">
        <f t="shared" si="150"/>
        <v>0</v>
      </c>
      <c r="H226" s="90">
        <f t="shared" si="151"/>
        <v>0</v>
      </c>
      <c r="I226" s="1298"/>
      <c r="J226" s="91"/>
      <c r="K226" s="12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8"/>
      <c r="AG226" s="92"/>
      <c r="AH226" s="92"/>
      <c r="AI226" s="92"/>
      <c r="AJ226" s="92"/>
      <c r="AK226" s="92"/>
      <c r="AL226" s="92"/>
      <c r="AM226" s="92"/>
      <c r="AN226" s="92"/>
      <c r="AO226" s="92"/>
      <c r="AP226" s="92"/>
      <c r="AQ226" s="92"/>
      <c r="AR226" s="92"/>
      <c r="AS226" s="92"/>
      <c r="AT226" s="93"/>
      <c r="AU226" s="94"/>
      <c r="AV226" s="1844">
        <f t="shared" si="153"/>
        <v>0</v>
      </c>
      <c r="AW226" s="1844">
        <f t="shared" si="154"/>
        <v>0</v>
      </c>
      <c r="AX226" s="184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5"/>
      <c r="C227" s="1296"/>
      <c r="D227" s="80"/>
      <c r="E227" s="87">
        <f t="shared" si="149"/>
        <v>0</v>
      </c>
      <c r="F227" s="88"/>
      <c r="G227" s="89">
        <f t="shared" si="150"/>
        <v>0</v>
      </c>
      <c r="H227" s="90">
        <f t="shared" si="151"/>
        <v>0</v>
      </c>
      <c r="I227" s="1298"/>
      <c r="J227" s="91"/>
      <c r="K227" s="12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8"/>
      <c r="AG227" s="92"/>
      <c r="AH227" s="92"/>
      <c r="AI227" s="92"/>
      <c r="AJ227" s="92"/>
      <c r="AK227" s="92"/>
      <c r="AL227" s="92"/>
      <c r="AM227" s="92"/>
      <c r="AN227" s="92"/>
      <c r="AO227" s="92"/>
      <c r="AP227" s="92"/>
      <c r="AQ227" s="92"/>
      <c r="AR227" s="92"/>
      <c r="AS227" s="92"/>
      <c r="AT227" s="93"/>
      <c r="AU227" s="94"/>
      <c r="AV227" s="1844">
        <f t="shared" si="153"/>
        <v>0</v>
      </c>
      <c r="AW227" s="1844">
        <f t="shared" si="154"/>
        <v>0</v>
      </c>
      <c r="AX227" s="184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5"/>
      <c r="C228" s="1296"/>
      <c r="D228" s="80"/>
      <c r="E228" s="87">
        <f t="shared" si="149"/>
        <v>0</v>
      </c>
      <c r="F228" s="88"/>
      <c r="G228" s="89">
        <f t="shared" si="150"/>
        <v>0</v>
      </c>
      <c r="H228" s="90">
        <f t="shared" si="151"/>
        <v>0</v>
      </c>
      <c r="I228" s="1298"/>
      <c r="J228" s="91"/>
      <c r="K228" s="12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8"/>
      <c r="AG228" s="92"/>
      <c r="AH228" s="92"/>
      <c r="AI228" s="92"/>
      <c r="AJ228" s="92"/>
      <c r="AK228" s="92"/>
      <c r="AL228" s="92"/>
      <c r="AM228" s="92"/>
      <c r="AN228" s="92"/>
      <c r="AO228" s="92"/>
      <c r="AP228" s="92"/>
      <c r="AQ228" s="92"/>
      <c r="AR228" s="92"/>
      <c r="AS228" s="92"/>
      <c r="AT228" s="93"/>
      <c r="AU228" s="94"/>
      <c r="AV228" s="1844">
        <f t="shared" si="153"/>
        <v>0</v>
      </c>
      <c r="AW228" s="1844">
        <f t="shared" si="154"/>
        <v>0</v>
      </c>
      <c r="AX228" s="184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5"/>
      <c r="C229" s="1296"/>
      <c r="D229" s="80"/>
      <c r="E229" s="87">
        <f t="shared" si="149"/>
        <v>0</v>
      </c>
      <c r="F229" s="88"/>
      <c r="G229" s="89">
        <f t="shared" si="150"/>
        <v>0</v>
      </c>
      <c r="H229" s="90">
        <f t="shared" si="151"/>
        <v>0</v>
      </c>
      <c r="I229" s="1298"/>
      <c r="J229" s="91"/>
      <c r="K229" s="12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8"/>
      <c r="AG229" s="92"/>
      <c r="AH229" s="92"/>
      <c r="AI229" s="92"/>
      <c r="AJ229" s="92"/>
      <c r="AK229" s="92"/>
      <c r="AL229" s="92"/>
      <c r="AM229" s="92"/>
      <c r="AN229" s="92"/>
      <c r="AO229" s="92"/>
      <c r="AP229" s="92"/>
      <c r="AQ229" s="92"/>
      <c r="AR229" s="92"/>
      <c r="AS229" s="92"/>
      <c r="AT229" s="93"/>
      <c r="AU229" s="94"/>
      <c r="AV229" s="1844">
        <f t="shared" si="153"/>
        <v>0</v>
      </c>
      <c r="AW229" s="1844">
        <f t="shared" si="154"/>
        <v>0</v>
      </c>
      <c r="AX229" s="184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5"/>
      <c r="C230" s="1296"/>
      <c r="D230" s="80"/>
      <c r="E230" s="87">
        <f t="shared" si="149"/>
        <v>0</v>
      </c>
      <c r="F230" s="88"/>
      <c r="G230" s="89">
        <f t="shared" si="150"/>
        <v>0</v>
      </c>
      <c r="H230" s="90">
        <f t="shared" si="151"/>
        <v>0</v>
      </c>
      <c r="I230" s="1298"/>
      <c r="J230" s="91"/>
      <c r="K230" s="12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8"/>
      <c r="AG230" s="92"/>
      <c r="AH230" s="92"/>
      <c r="AI230" s="92"/>
      <c r="AJ230" s="92"/>
      <c r="AK230" s="92"/>
      <c r="AL230" s="92"/>
      <c r="AM230" s="92"/>
      <c r="AN230" s="92"/>
      <c r="AO230" s="92"/>
      <c r="AP230" s="92"/>
      <c r="AQ230" s="92"/>
      <c r="AR230" s="92"/>
      <c r="AS230" s="92"/>
      <c r="AT230" s="93"/>
      <c r="AU230" s="94"/>
      <c r="AV230" s="1844">
        <f t="shared" si="153"/>
        <v>0</v>
      </c>
      <c r="AW230" s="1844">
        <f t="shared" si="154"/>
        <v>0</v>
      </c>
      <c r="AX230" s="184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5"/>
      <c r="C231" s="1296"/>
      <c r="D231" s="80"/>
      <c r="E231" s="87">
        <f t="shared" si="149"/>
        <v>0</v>
      </c>
      <c r="F231" s="88"/>
      <c r="G231" s="89">
        <f t="shared" si="150"/>
        <v>0</v>
      </c>
      <c r="H231" s="90">
        <f t="shared" si="151"/>
        <v>0</v>
      </c>
      <c r="I231" s="1298"/>
      <c r="J231" s="91"/>
      <c r="K231" s="12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6"/>
      <c r="AG231" s="92"/>
      <c r="AH231" s="92"/>
      <c r="AI231" s="92"/>
      <c r="AJ231" s="92"/>
      <c r="AK231" s="92"/>
      <c r="AL231" s="92"/>
      <c r="AM231" s="92"/>
      <c r="AN231" s="92"/>
      <c r="AO231" s="92"/>
      <c r="AP231" s="92"/>
      <c r="AQ231" s="92"/>
      <c r="AR231" s="92"/>
      <c r="AS231" s="92"/>
      <c r="AT231" s="93"/>
      <c r="AU231" s="94"/>
      <c r="AV231" s="1844">
        <f t="shared" si="153"/>
        <v>0</v>
      </c>
      <c r="AW231" s="1844">
        <f t="shared" si="154"/>
        <v>0</v>
      </c>
      <c r="AX231" s="184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5"/>
      <c r="C232" s="1296"/>
      <c r="D232" s="80"/>
      <c r="E232" s="87">
        <f t="shared" si="149"/>
        <v>0</v>
      </c>
      <c r="F232" s="88"/>
      <c r="G232" s="89">
        <f t="shared" si="150"/>
        <v>0</v>
      </c>
      <c r="H232" s="90">
        <f t="shared" si="151"/>
        <v>0</v>
      </c>
      <c r="I232" s="1296"/>
      <c r="J232" s="91"/>
      <c r="K232" s="12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6"/>
      <c r="AG232" s="92"/>
      <c r="AH232" s="92"/>
      <c r="AI232" s="92"/>
      <c r="AJ232" s="92"/>
      <c r="AK232" s="92"/>
      <c r="AL232" s="92"/>
      <c r="AM232" s="92"/>
      <c r="AN232" s="92"/>
      <c r="AO232" s="92"/>
      <c r="AP232" s="92"/>
      <c r="AQ232" s="92"/>
      <c r="AR232" s="92"/>
      <c r="AS232" s="92"/>
      <c r="AT232" s="93"/>
      <c r="AU232" s="94"/>
      <c r="AV232" s="1844">
        <f t="shared" si="153"/>
        <v>0</v>
      </c>
      <c r="AW232" s="1844">
        <f t="shared" si="154"/>
        <v>0</v>
      </c>
      <c r="AX232" s="184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5"/>
      <c r="C233" s="1296"/>
      <c r="D233" s="80"/>
      <c r="E233" s="87">
        <f t="shared" si="149"/>
        <v>0</v>
      </c>
      <c r="F233" s="88"/>
      <c r="G233" s="89">
        <f t="shared" si="150"/>
        <v>0</v>
      </c>
      <c r="H233" s="90">
        <f t="shared" si="151"/>
        <v>0</v>
      </c>
      <c r="I233" s="1296"/>
      <c r="J233" s="91"/>
      <c r="K233" s="12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6"/>
      <c r="AG233" s="92"/>
      <c r="AH233" s="92"/>
      <c r="AI233" s="92"/>
      <c r="AJ233" s="92"/>
      <c r="AK233" s="92"/>
      <c r="AL233" s="92"/>
      <c r="AM233" s="92"/>
      <c r="AN233" s="92"/>
      <c r="AO233" s="92"/>
      <c r="AP233" s="92"/>
      <c r="AQ233" s="92"/>
      <c r="AR233" s="92"/>
      <c r="AS233" s="92"/>
      <c r="AT233" s="93"/>
      <c r="AU233" s="94"/>
      <c r="AV233" s="1844">
        <f t="shared" si="153"/>
        <v>0</v>
      </c>
      <c r="AW233" s="1844">
        <f t="shared" si="154"/>
        <v>0</v>
      </c>
      <c r="AX233" s="184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5"/>
      <c r="C234" s="1296"/>
      <c r="D234" s="80"/>
      <c r="E234" s="87">
        <f t="shared" si="149"/>
        <v>0</v>
      </c>
      <c r="F234" s="88"/>
      <c r="G234" s="89">
        <f t="shared" si="150"/>
        <v>0</v>
      </c>
      <c r="H234" s="90">
        <f t="shared" si="151"/>
        <v>0</v>
      </c>
      <c r="I234" s="1296"/>
      <c r="J234" s="91"/>
      <c r="K234" s="12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6"/>
      <c r="AG234" s="92"/>
      <c r="AH234" s="92"/>
      <c r="AI234" s="92"/>
      <c r="AJ234" s="92"/>
      <c r="AK234" s="92"/>
      <c r="AL234" s="92"/>
      <c r="AM234" s="92"/>
      <c r="AN234" s="92"/>
      <c r="AO234" s="92"/>
      <c r="AP234" s="92"/>
      <c r="AQ234" s="92"/>
      <c r="AR234" s="92"/>
      <c r="AS234" s="92"/>
      <c r="AT234" s="93"/>
      <c r="AU234" s="94"/>
      <c r="AV234" s="1844">
        <f t="shared" si="153"/>
        <v>0</v>
      </c>
      <c r="AW234" s="1844">
        <f t="shared" si="154"/>
        <v>0</v>
      </c>
      <c r="AX234" s="184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5"/>
      <c r="C235" s="1296"/>
      <c r="D235" s="80"/>
      <c r="E235" s="87">
        <f t="shared" si="149"/>
        <v>0</v>
      </c>
      <c r="F235" s="88"/>
      <c r="G235" s="89">
        <f t="shared" si="150"/>
        <v>0</v>
      </c>
      <c r="H235" s="90">
        <f t="shared" si="151"/>
        <v>0</v>
      </c>
      <c r="I235" s="1296"/>
      <c r="J235" s="91"/>
      <c r="K235" s="12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6"/>
      <c r="AG235" s="92"/>
      <c r="AH235" s="92"/>
      <c r="AI235" s="92"/>
      <c r="AJ235" s="92"/>
      <c r="AK235" s="92"/>
      <c r="AL235" s="92"/>
      <c r="AM235" s="92"/>
      <c r="AN235" s="92"/>
      <c r="AO235" s="92"/>
      <c r="AP235" s="92"/>
      <c r="AQ235" s="92"/>
      <c r="AR235" s="92"/>
      <c r="AS235" s="92"/>
      <c r="AT235" s="93"/>
      <c r="AU235" s="94"/>
      <c r="AV235" s="1844">
        <f t="shared" si="153"/>
        <v>0</v>
      </c>
      <c r="AW235" s="1844">
        <f t="shared" si="154"/>
        <v>0</v>
      </c>
      <c r="AX235" s="184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5"/>
      <c r="C236" s="1296"/>
      <c r="D236" s="80"/>
      <c r="E236" s="87">
        <f t="shared" si="149"/>
        <v>0</v>
      </c>
      <c r="F236" s="88"/>
      <c r="G236" s="89">
        <f t="shared" si="150"/>
        <v>0</v>
      </c>
      <c r="H236" s="90">
        <f t="shared" si="151"/>
        <v>0</v>
      </c>
      <c r="I236" s="1296"/>
      <c r="J236" s="91"/>
      <c r="K236" s="12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6"/>
      <c r="AG236" s="92"/>
      <c r="AH236" s="92"/>
      <c r="AI236" s="92"/>
      <c r="AJ236" s="92"/>
      <c r="AK236" s="92"/>
      <c r="AL236" s="92"/>
      <c r="AM236" s="92"/>
      <c r="AN236" s="92"/>
      <c r="AO236" s="92"/>
      <c r="AP236" s="92"/>
      <c r="AQ236" s="92"/>
      <c r="AR236" s="92"/>
      <c r="AS236" s="92"/>
      <c r="AT236" s="93"/>
      <c r="AU236" s="94"/>
      <c r="AV236" s="1844">
        <f t="shared" si="153"/>
        <v>0</v>
      </c>
      <c r="AW236" s="1844">
        <f t="shared" si="154"/>
        <v>0</v>
      </c>
      <c r="AX236" s="184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5"/>
      <c r="C237" s="1296"/>
      <c r="D237" s="80"/>
      <c r="E237" s="87">
        <f t="shared" si="149"/>
        <v>0</v>
      </c>
      <c r="F237" s="88"/>
      <c r="G237" s="89">
        <f t="shared" si="150"/>
        <v>0</v>
      </c>
      <c r="H237" s="90">
        <f t="shared" si="151"/>
        <v>0</v>
      </c>
      <c r="I237" s="1296"/>
      <c r="J237" s="91"/>
      <c r="K237" s="12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6"/>
      <c r="AG237" s="92"/>
      <c r="AH237" s="92"/>
      <c r="AI237" s="92"/>
      <c r="AJ237" s="92"/>
      <c r="AK237" s="92"/>
      <c r="AL237" s="92"/>
      <c r="AM237" s="92"/>
      <c r="AN237" s="92"/>
      <c r="AO237" s="92"/>
      <c r="AP237" s="92"/>
      <c r="AQ237" s="92"/>
      <c r="AR237" s="92"/>
      <c r="AS237" s="92"/>
      <c r="AT237" s="93"/>
      <c r="AU237" s="94"/>
      <c r="AV237" s="1844">
        <f t="shared" si="153"/>
        <v>0</v>
      </c>
      <c r="AW237" s="1844">
        <f t="shared" si="154"/>
        <v>0</v>
      </c>
      <c r="AX237" s="184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5"/>
      <c r="C238" s="1296"/>
      <c r="D238" s="80"/>
      <c r="E238" s="87">
        <f t="shared" si="149"/>
        <v>0</v>
      </c>
      <c r="F238" s="88"/>
      <c r="G238" s="89">
        <f t="shared" si="150"/>
        <v>0</v>
      </c>
      <c r="H238" s="90">
        <f t="shared" si="151"/>
        <v>0</v>
      </c>
      <c r="I238" s="1296"/>
      <c r="J238" s="91"/>
      <c r="K238" s="12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6"/>
      <c r="AG238" s="92"/>
      <c r="AH238" s="92"/>
      <c r="AI238" s="92"/>
      <c r="AJ238" s="92"/>
      <c r="AK238" s="92"/>
      <c r="AL238" s="92"/>
      <c r="AM238" s="92"/>
      <c r="AN238" s="92"/>
      <c r="AO238" s="92"/>
      <c r="AP238" s="92"/>
      <c r="AQ238" s="92"/>
      <c r="AR238" s="92"/>
      <c r="AS238" s="92"/>
      <c r="AT238" s="93"/>
      <c r="AU238" s="94"/>
      <c r="AV238" s="1844">
        <f t="shared" si="153"/>
        <v>0</v>
      </c>
      <c r="AW238" s="1844">
        <f t="shared" si="154"/>
        <v>0</v>
      </c>
      <c r="AX238" s="184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7"/>
      <c r="C239" s="1298"/>
      <c r="D239" s="80"/>
      <c r="E239" s="87">
        <f t="shared" si="149"/>
        <v>0</v>
      </c>
      <c r="F239" s="88"/>
      <c r="G239" s="89">
        <f t="shared" si="150"/>
        <v>0</v>
      </c>
      <c r="H239" s="90">
        <f t="shared" si="151"/>
        <v>0</v>
      </c>
      <c r="I239" s="1296"/>
      <c r="J239" s="91"/>
      <c r="K239" s="1296"/>
      <c r="L239" s="91"/>
      <c r="M239" s="1296"/>
      <c r="N239" s="91"/>
      <c r="O239" s="91"/>
      <c r="P239" s="91"/>
      <c r="Q239" s="91"/>
      <c r="R239" s="91"/>
      <c r="S239" s="91"/>
      <c r="T239" s="91"/>
      <c r="U239" s="91"/>
      <c r="V239" s="91"/>
      <c r="W239" s="91"/>
      <c r="X239" s="91"/>
      <c r="Y239" s="91"/>
      <c r="Z239" s="91"/>
      <c r="AA239" s="91"/>
      <c r="AB239" s="91"/>
      <c r="AC239" s="87">
        <f t="shared" si="152"/>
        <v>0</v>
      </c>
      <c r="AD239" s="92"/>
      <c r="AE239" s="92"/>
      <c r="AF239" s="1296"/>
      <c r="AG239" s="92"/>
      <c r="AH239" s="92"/>
      <c r="AI239" s="92"/>
      <c r="AJ239" s="92"/>
      <c r="AK239" s="92"/>
      <c r="AL239" s="92"/>
      <c r="AM239" s="92"/>
      <c r="AN239" s="92"/>
      <c r="AO239" s="92"/>
      <c r="AP239" s="92"/>
      <c r="AQ239" s="92"/>
      <c r="AR239" s="92"/>
      <c r="AS239" s="92"/>
      <c r="AT239" s="93"/>
      <c r="AU239" s="94"/>
      <c r="AV239" s="1844">
        <f t="shared" si="153"/>
        <v>0</v>
      </c>
      <c r="AW239" s="1844">
        <f t="shared" si="154"/>
        <v>0</v>
      </c>
      <c r="AX239" s="184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4">
        <f t="shared" si="153"/>
        <v>0</v>
      </c>
      <c r="AW240" s="1844">
        <f t="shared" si="154"/>
        <v>0</v>
      </c>
      <c r="AX240" s="184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4">
        <f t="shared" si="153"/>
        <v>0</v>
      </c>
      <c r="AW241" s="1844">
        <f t="shared" si="154"/>
        <v>0</v>
      </c>
      <c r="AX241" s="184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4">
        <f t="shared" si="153"/>
        <v>0</v>
      </c>
      <c r="AW242" s="1844">
        <f t="shared" si="154"/>
        <v>0</v>
      </c>
      <c r="AX242" s="184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4">
        <f t="shared" si="153"/>
        <v>0</v>
      </c>
      <c r="AW243" s="1844">
        <f t="shared" si="154"/>
        <v>0</v>
      </c>
      <c r="AX243" s="184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4">
        <f t="shared" si="153"/>
        <v>0</v>
      </c>
      <c r="AW244" s="1844">
        <f t="shared" si="154"/>
        <v>0</v>
      </c>
      <c r="AX244" s="184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4">
        <f t="shared" si="153"/>
        <v>0</v>
      </c>
      <c r="AW245" s="1844">
        <f t="shared" si="154"/>
        <v>0</v>
      </c>
      <c r="AX245" s="184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4">
        <f t="shared" si="153"/>
        <v>0</v>
      </c>
      <c r="AW246" s="1844">
        <f t="shared" si="154"/>
        <v>0</v>
      </c>
      <c r="AX246" s="184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4">
        <f t="shared" si="153"/>
        <v>0</v>
      </c>
      <c r="AW247" s="1844">
        <f t="shared" si="154"/>
        <v>0</v>
      </c>
      <c r="AX247" s="184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4">
        <f t="shared" si="153"/>
        <v>0</v>
      </c>
      <c r="AW248" s="1844">
        <f t="shared" si="154"/>
        <v>0</v>
      </c>
      <c r="AX248" s="184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4">
        <f t="shared" si="153"/>
        <v>0</v>
      </c>
      <c r="AW249" s="1844">
        <f t="shared" si="154"/>
        <v>0</v>
      </c>
      <c r="AX249" s="184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4">
        <f t="shared" si="153"/>
        <v>0</v>
      </c>
      <c r="AW250" s="1844">
        <f t="shared" si="154"/>
        <v>0</v>
      </c>
      <c r="AX250" s="184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4">
        <f t="shared" si="153"/>
        <v>0</v>
      </c>
      <c r="AW251" s="1844">
        <f t="shared" si="154"/>
        <v>0</v>
      </c>
      <c r="AX251" s="184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4">
        <f t="shared" si="153"/>
        <v>0</v>
      </c>
      <c r="AW252" s="1844">
        <f t="shared" si="154"/>
        <v>0</v>
      </c>
      <c r="AX252" s="184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4">
        <f t="shared" si="153"/>
        <v>0</v>
      </c>
      <c r="AW253" s="1844">
        <f t="shared" si="154"/>
        <v>0</v>
      </c>
      <c r="AX253" s="184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4">
        <f t="shared" si="153"/>
        <v>0</v>
      </c>
      <c r="AW254" s="1844">
        <f t="shared" si="154"/>
        <v>0</v>
      </c>
      <c r="AX254" s="184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4">
        <f t="shared" si="153"/>
        <v>0</v>
      </c>
      <c r="AW255" s="1844">
        <f t="shared" si="154"/>
        <v>0</v>
      </c>
      <c r="AX255" s="184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4">
        <f t="shared" si="153"/>
        <v>0</v>
      </c>
      <c r="AW256" s="1844">
        <f t="shared" si="154"/>
        <v>0</v>
      </c>
      <c r="AX256" s="184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4">
        <f t="shared" si="153"/>
        <v>0</v>
      </c>
      <c r="AW257" s="1844">
        <f t="shared" si="154"/>
        <v>0</v>
      </c>
      <c r="AX257" s="184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4">
        <f t="shared" si="153"/>
        <v>0</v>
      </c>
      <c r="AW258" s="1844">
        <f t="shared" si="154"/>
        <v>0</v>
      </c>
      <c r="AX258" s="184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4">
        <f t="shared" si="153"/>
        <v>0</v>
      </c>
      <c r="AW259" s="1844">
        <f t="shared" si="154"/>
        <v>0</v>
      </c>
      <c r="AX259" s="184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4">
        <f t="shared" si="153"/>
        <v>0</v>
      </c>
      <c r="AW260" s="1844">
        <f t="shared" si="154"/>
        <v>0</v>
      </c>
      <c r="AX260" s="184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4">
        <f t="shared" si="153"/>
        <v>0</v>
      </c>
      <c r="AW261" s="1844">
        <f t="shared" si="154"/>
        <v>0</v>
      </c>
      <c r="AX261" s="184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4">
        <f t="shared" si="153"/>
        <v>0</v>
      </c>
      <c r="AW262" s="1844">
        <f t="shared" si="154"/>
        <v>0</v>
      </c>
      <c r="AX262" s="184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4">
        <f t="shared" si="153"/>
        <v>0</v>
      </c>
      <c r="AW263" s="1844">
        <f t="shared" si="154"/>
        <v>0</v>
      </c>
      <c r="AX263" s="184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4">
        <f t="shared" si="153"/>
        <v>0</v>
      </c>
      <c r="AW264" s="1844">
        <f t="shared" si="154"/>
        <v>0</v>
      </c>
      <c r="AX264" s="184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4">
        <f t="shared" si="153"/>
        <v>0</v>
      </c>
      <c r="AW265" s="1844">
        <f t="shared" si="154"/>
        <v>0</v>
      </c>
      <c r="AX265" s="184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4">
        <f t="shared" si="153"/>
        <v>0</v>
      </c>
      <c r="AW266" s="1844">
        <f t="shared" si="154"/>
        <v>0</v>
      </c>
      <c r="AX266" s="184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4">
        <f t="shared" si="153"/>
        <v>0</v>
      </c>
      <c r="AW267" s="1844">
        <f t="shared" si="154"/>
        <v>0</v>
      </c>
      <c r="AX267" s="184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4">
        <f t="shared" si="153"/>
        <v>0</v>
      </c>
      <c r="AW268" s="1844">
        <f t="shared" si="154"/>
        <v>0</v>
      </c>
      <c r="AX268" s="184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4">
        <f t="shared" si="153"/>
        <v>0</v>
      </c>
      <c r="AW269" s="1844">
        <f t="shared" si="154"/>
        <v>0</v>
      </c>
      <c r="AX269" s="184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4">
        <f t="shared" si="153"/>
        <v>0</v>
      </c>
      <c r="AW270" s="1844">
        <f t="shared" si="154"/>
        <v>0</v>
      </c>
      <c r="AX270" s="184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4">
        <f t="shared" si="153"/>
        <v>0</v>
      </c>
      <c r="AW271" s="1844">
        <f t="shared" si="154"/>
        <v>0</v>
      </c>
      <c r="AX271" s="184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4">
        <f t="shared" si="153"/>
        <v>0</v>
      </c>
      <c r="AW272" s="1844">
        <f t="shared" si="154"/>
        <v>0</v>
      </c>
      <c r="AX272" s="184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4">
        <f t="shared" si="153"/>
        <v>0</v>
      </c>
      <c r="AW273" s="1844">
        <f t="shared" si="154"/>
        <v>0</v>
      </c>
      <c r="AX273" s="184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4">
        <f t="shared" si="153"/>
        <v>0</v>
      </c>
      <c r="AW274" s="1844">
        <f t="shared" si="154"/>
        <v>0</v>
      </c>
      <c r="AX274" s="184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4">
        <f t="shared" si="153"/>
        <v>0</v>
      </c>
      <c r="AW275" s="1844">
        <f t="shared" si="154"/>
        <v>0</v>
      </c>
      <c r="AX275" s="184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4">
        <f t="shared" si="153"/>
        <v>0</v>
      </c>
      <c r="AW276" s="1844">
        <f t="shared" si="154"/>
        <v>0</v>
      </c>
      <c r="AX276" s="184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4">
        <f t="shared" si="153"/>
        <v>0</v>
      </c>
      <c r="AW277" s="1844">
        <f t="shared" si="154"/>
        <v>0</v>
      </c>
      <c r="AX277" s="184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4">
        <f t="shared" si="153"/>
        <v>0</v>
      </c>
      <c r="AW278" s="1844">
        <f t="shared" si="154"/>
        <v>0</v>
      </c>
      <c r="AX278" s="184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4">
        <f t="shared" si="153"/>
        <v>0</v>
      </c>
      <c r="AW279" s="1844">
        <f t="shared" si="154"/>
        <v>0</v>
      </c>
      <c r="AX279" s="184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4">
        <f t="shared" si="153"/>
        <v>0</v>
      </c>
      <c r="AW280" s="1844">
        <f t="shared" si="154"/>
        <v>0</v>
      </c>
      <c r="AX280" s="184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4">
        <f t="shared" si="153"/>
        <v>0</v>
      </c>
      <c r="AW281" s="1844">
        <f t="shared" si="154"/>
        <v>0</v>
      </c>
      <c r="AX281" s="184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4">
        <f t="shared" si="153"/>
        <v>0</v>
      </c>
      <c r="AW282" s="1844">
        <f t="shared" si="154"/>
        <v>0</v>
      </c>
      <c r="AX282" s="184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4">
        <f t="shared" si="153"/>
        <v>0</v>
      </c>
      <c r="AW283" s="1844">
        <f t="shared" si="154"/>
        <v>0</v>
      </c>
      <c r="AX283" s="184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4">
        <f t="shared" si="153"/>
        <v>0</v>
      </c>
      <c r="AW284" s="1844">
        <f t="shared" si="154"/>
        <v>0</v>
      </c>
      <c r="AX284" s="184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4">
        <f t="shared" si="153"/>
        <v>0</v>
      </c>
      <c r="AW285" s="1844">
        <f t="shared" si="154"/>
        <v>0</v>
      </c>
      <c r="AX285" s="184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4">
        <f t="shared" si="153"/>
        <v>0</v>
      </c>
      <c r="AW286" s="1844">
        <f t="shared" si="154"/>
        <v>0</v>
      </c>
      <c r="AX286" s="184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4">
        <f t="shared" si="153"/>
        <v>0</v>
      </c>
      <c r="AW287" s="1844">
        <f t="shared" si="154"/>
        <v>0</v>
      </c>
      <c r="AX287" s="184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4">
        <f t="shared" si="153"/>
        <v>0</v>
      </c>
      <c r="AW288" s="1844">
        <f t="shared" si="154"/>
        <v>0</v>
      </c>
      <c r="AX288" s="184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4">
        <f t="shared" si="153"/>
        <v>0</v>
      </c>
      <c r="AW289" s="1844">
        <f t="shared" si="154"/>
        <v>0</v>
      </c>
      <c r="AX289" s="184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4">
        <f t="shared" si="153"/>
        <v>0</v>
      </c>
      <c r="AW290" s="1844">
        <f t="shared" si="154"/>
        <v>0</v>
      </c>
      <c r="AX290" s="184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4">
        <f t="shared" si="153"/>
        <v>0</v>
      </c>
      <c r="AW291" s="1844">
        <f t="shared" si="154"/>
        <v>0</v>
      </c>
      <c r="AX291" s="184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4">
        <f t="shared" si="153"/>
        <v>0</v>
      </c>
      <c r="AW292" s="1844">
        <f t="shared" si="154"/>
        <v>0</v>
      </c>
      <c r="AX292" s="184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4">
        <f t="shared" si="153"/>
        <v>0</v>
      </c>
      <c r="AW293" s="1844">
        <f t="shared" si="154"/>
        <v>0</v>
      </c>
      <c r="AX293" s="184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4">
        <f t="shared" si="153"/>
        <v>0</v>
      </c>
      <c r="AW294" s="1844">
        <f t="shared" si="154"/>
        <v>0</v>
      </c>
      <c r="AX294" s="184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4">
        <f t="shared" si="153"/>
        <v>0</v>
      </c>
      <c r="AW295" s="1844">
        <f t="shared" si="154"/>
        <v>0</v>
      </c>
      <c r="AX295" s="184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4">
        <f t="shared" si="153"/>
        <v>0</v>
      </c>
      <c r="AW296" s="1844">
        <f t="shared" si="154"/>
        <v>0</v>
      </c>
      <c r="AX296" s="184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5"/>
      <c r="C297" s="1296"/>
      <c r="D297" s="80"/>
      <c r="E297" s="87">
        <f t="shared" ref="E297:E328" si="203">IF($C$3="是",ROUND($A$3*G297/$B$3,2),ROUND($A$3*(G297-AT297)/$B$3,2))</f>
        <v>0</v>
      </c>
      <c r="F297" s="88"/>
      <c r="G297" s="89">
        <f t="shared" si="178"/>
        <v>0</v>
      </c>
      <c r="H297" s="90">
        <f t="shared" si="179"/>
        <v>0</v>
      </c>
      <c r="I297" s="1298"/>
      <c r="J297" s="91"/>
      <c r="K297" s="12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9"/>
      <c r="AG297" s="92"/>
      <c r="AH297" s="92"/>
      <c r="AI297" s="92"/>
      <c r="AJ297" s="92"/>
      <c r="AK297" s="92"/>
      <c r="AL297" s="92"/>
      <c r="AM297" s="92"/>
      <c r="AN297" s="1271"/>
      <c r="AO297" s="92"/>
      <c r="AP297" s="92"/>
      <c r="AQ297" s="92"/>
      <c r="AR297" s="92"/>
      <c r="AS297" s="92"/>
      <c r="AT297" s="93"/>
      <c r="AU297" s="94"/>
      <c r="AV297" s="1844">
        <f t="shared" ref="AV297:AV328" si="204">A297</f>
        <v>0</v>
      </c>
      <c r="AW297" s="1844">
        <f t="shared" ref="AW297:AW328" si="205">B297</f>
        <v>0</v>
      </c>
      <c r="AX297" s="184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5"/>
      <c r="C298" s="1296"/>
      <c r="D298" s="80"/>
      <c r="E298" s="87">
        <f t="shared" si="203"/>
        <v>0</v>
      </c>
      <c r="F298" s="88"/>
      <c r="G298" s="89">
        <f t="shared" si="178"/>
        <v>0</v>
      </c>
      <c r="H298" s="90">
        <f t="shared" si="179"/>
        <v>0</v>
      </c>
      <c r="I298" s="1298"/>
      <c r="J298" s="91"/>
      <c r="K298" s="1298"/>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299"/>
      <c r="AG298" s="92"/>
      <c r="AH298" s="92"/>
      <c r="AI298" s="92"/>
      <c r="AJ298" s="92"/>
      <c r="AK298" s="92"/>
      <c r="AL298" s="1271"/>
      <c r="AM298" s="92"/>
      <c r="AN298" s="1271"/>
      <c r="AO298" s="92"/>
      <c r="AP298" s="92"/>
      <c r="AQ298" s="92"/>
      <c r="AR298" s="92"/>
      <c r="AS298" s="92"/>
      <c r="AT298" s="93"/>
      <c r="AU298" s="94"/>
      <c r="AV298" s="1844">
        <f t="shared" si="204"/>
        <v>0</v>
      </c>
      <c r="AW298" s="1844">
        <f t="shared" si="205"/>
        <v>0</v>
      </c>
      <c r="AX298" s="184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5"/>
      <c r="C299" s="1296"/>
      <c r="D299" s="80"/>
      <c r="E299" s="87">
        <f t="shared" si="203"/>
        <v>0</v>
      </c>
      <c r="F299" s="88"/>
      <c r="G299" s="89">
        <f t="shared" si="178"/>
        <v>0</v>
      </c>
      <c r="H299" s="90">
        <f t="shared" si="179"/>
        <v>0</v>
      </c>
      <c r="I299" s="1298"/>
      <c r="J299" s="91"/>
      <c r="K299" s="1298"/>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299"/>
      <c r="AG299" s="92"/>
      <c r="AH299" s="92"/>
      <c r="AI299" s="92"/>
      <c r="AJ299" s="92"/>
      <c r="AK299" s="92"/>
      <c r="AL299" s="1271"/>
      <c r="AM299" s="92"/>
      <c r="AN299" s="1271"/>
      <c r="AO299" s="92"/>
      <c r="AP299" s="92"/>
      <c r="AQ299" s="92"/>
      <c r="AR299" s="92"/>
      <c r="AS299" s="92"/>
      <c r="AT299" s="93"/>
      <c r="AU299" s="94"/>
      <c r="AV299" s="1844">
        <f t="shared" si="204"/>
        <v>0</v>
      </c>
      <c r="AW299" s="1844">
        <f t="shared" si="205"/>
        <v>0</v>
      </c>
      <c r="AX299" s="184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5"/>
      <c r="C300" s="1296"/>
      <c r="D300" s="80"/>
      <c r="E300" s="87">
        <f t="shared" si="203"/>
        <v>0</v>
      </c>
      <c r="F300" s="88"/>
      <c r="G300" s="89">
        <f t="shared" si="178"/>
        <v>0</v>
      </c>
      <c r="H300" s="90">
        <f t="shared" si="179"/>
        <v>0</v>
      </c>
      <c r="I300" s="1298"/>
      <c r="J300" s="91"/>
      <c r="K300" s="1298"/>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299"/>
      <c r="AG300" s="92"/>
      <c r="AH300" s="92"/>
      <c r="AI300" s="92"/>
      <c r="AJ300" s="92"/>
      <c r="AK300" s="92"/>
      <c r="AL300" s="92"/>
      <c r="AM300" s="92"/>
      <c r="AN300" s="1271"/>
      <c r="AO300" s="92"/>
      <c r="AP300" s="92"/>
      <c r="AQ300" s="92"/>
      <c r="AR300" s="92"/>
      <c r="AS300" s="92"/>
      <c r="AT300" s="93"/>
      <c r="AU300" s="94"/>
      <c r="AV300" s="1844">
        <f t="shared" si="204"/>
        <v>0</v>
      </c>
      <c r="AW300" s="1844">
        <f t="shared" si="205"/>
        <v>0</v>
      </c>
      <c r="AX300" s="184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5"/>
      <c r="C301" s="1296"/>
      <c r="D301" s="80"/>
      <c r="E301" s="87">
        <f t="shared" si="203"/>
        <v>0</v>
      </c>
      <c r="F301" s="88"/>
      <c r="G301" s="89">
        <f t="shared" si="178"/>
        <v>0</v>
      </c>
      <c r="H301" s="90">
        <f t="shared" si="179"/>
        <v>0</v>
      </c>
      <c r="I301" s="1298"/>
      <c r="J301" s="91"/>
      <c r="K301" s="12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9"/>
      <c r="AG301" s="92"/>
      <c r="AH301" s="92"/>
      <c r="AI301" s="92"/>
      <c r="AJ301" s="92"/>
      <c r="AK301" s="92"/>
      <c r="AL301" s="92"/>
      <c r="AM301" s="92"/>
      <c r="AN301" s="92"/>
      <c r="AO301" s="92"/>
      <c r="AP301" s="92"/>
      <c r="AQ301" s="92"/>
      <c r="AR301" s="92"/>
      <c r="AS301" s="92"/>
      <c r="AT301" s="93"/>
      <c r="AU301" s="94"/>
      <c r="AV301" s="1844">
        <f t="shared" si="204"/>
        <v>0</v>
      </c>
      <c r="AW301" s="1844">
        <f t="shared" si="205"/>
        <v>0</v>
      </c>
      <c r="AX301" s="184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5"/>
      <c r="C302" s="1296"/>
      <c r="D302" s="80"/>
      <c r="E302" s="87">
        <f t="shared" si="203"/>
        <v>0</v>
      </c>
      <c r="F302" s="88"/>
      <c r="G302" s="89">
        <f t="shared" si="178"/>
        <v>0</v>
      </c>
      <c r="H302" s="90">
        <f t="shared" si="179"/>
        <v>0</v>
      </c>
      <c r="I302" s="1298"/>
      <c r="J302" s="91"/>
      <c r="K302" s="12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9"/>
      <c r="AG302" s="92"/>
      <c r="AH302" s="92"/>
      <c r="AI302" s="92"/>
      <c r="AJ302" s="92"/>
      <c r="AK302" s="92"/>
      <c r="AL302" s="92"/>
      <c r="AM302" s="92"/>
      <c r="AN302" s="92"/>
      <c r="AO302" s="92"/>
      <c r="AP302" s="92"/>
      <c r="AQ302" s="92"/>
      <c r="AR302" s="92"/>
      <c r="AS302" s="92"/>
      <c r="AT302" s="93"/>
      <c r="AU302" s="94"/>
      <c r="AV302" s="1844">
        <f t="shared" si="204"/>
        <v>0</v>
      </c>
      <c r="AW302" s="1844">
        <f t="shared" si="205"/>
        <v>0</v>
      </c>
      <c r="AX302" s="184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5"/>
      <c r="C303" s="1296"/>
      <c r="D303" s="80"/>
      <c r="E303" s="87">
        <f t="shared" si="203"/>
        <v>0</v>
      </c>
      <c r="F303" s="88"/>
      <c r="G303" s="89">
        <f t="shared" si="178"/>
        <v>0</v>
      </c>
      <c r="H303" s="90">
        <f t="shared" si="179"/>
        <v>0</v>
      </c>
      <c r="I303" s="1298"/>
      <c r="J303" s="91"/>
      <c r="K303" s="12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9"/>
      <c r="AG303" s="92"/>
      <c r="AH303" s="92"/>
      <c r="AI303" s="92"/>
      <c r="AJ303" s="92"/>
      <c r="AK303" s="92"/>
      <c r="AL303" s="92"/>
      <c r="AM303" s="92"/>
      <c r="AN303" s="92"/>
      <c r="AO303" s="92"/>
      <c r="AP303" s="92"/>
      <c r="AQ303" s="92"/>
      <c r="AR303" s="92"/>
      <c r="AS303" s="92"/>
      <c r="AT303" s="93"/>
      <c r="AU303" s="94"/>
      <c r="AV303" s="1844">
        <f t="shared" si="204"/>
        <v>0</v>
      </c>
      <c r="AW303" s="1844">
        <f t="shared" si="205"/>
        <v>0</v>
      </c>
      <c r="AX303" s="184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5"/>
      <c r="C304" s="1296"/>
      <c r="D304" s="80"/>
      <c r="E304" s="87">
        <f t="shared" si="203"/>
        <v>0</v>
      </c>
      <c r="F304" s="88"/>
      <c r="G304" s="89">
        <f t="shared" si="178"/>
        <v>0</v>
      </c>
      <c r="H304" s="90">
        <f t="shared" si="179"/>
        <v>0</v>
      </c>
      <c r="I304" s="1298"/>
      <c r="J304" s="91"/>
      <c r="K304" s="12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8"/>
      <c r="AG304" s="92"/>
      <c r="AH304" s="92"/>
      <c r="AI304" s="92"/>
      <c r="AJ304" s="92"/>
      <c r="AK304" s="92"/>
      <c r="AL304" s="92"/>
      <c r="AM304" s="92"/>
      <c r="AN304" s="92"/>
      <c r="AO304" s="92"/>
      <c r="AP304" s="92"/>
      <c r="AQ304" s="92"/>
      <c r="AR304" s="92"/>
      <c r="AS304" s="92"/>
      <c r="AT304" s="93"/>
      <c r="AU304" s="94"/>
      <c r="AV304" s="1844">
        <f t="shared" si="204"/>
        <v>0</v>
      </c>
      <c r="AW304" s="1844">
        <f t="shared" si="205"/>
        <v>0</v>
      </c>
      <c r="AX304" s="184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7"/>
      <c r="C305" s="1298"/>
      <c r="D305" s="80"/>
      <c r="E305" s="87">
        <f t="shared" si="203"/>
        <v>0</v>
      </c>
      <c r="F305" s="88"/>
      <c r="G305" s="89">
        <f t="shared" si="178"/>
        <v>0</v>
      </c>
      <c r="H305" s="90">
        <f t="shared" si="179"/>
        <v>0</v>
      </c>
      <c r="I305" s="1298"/>
      <c r="J305" s="91"/>
      <c r="K305" s="12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8"/>
      <c r="AG305" s="92"/>
      <c r="AH305" s="92"/>
      <c r="AI305" s="92"/>
      <c r="AJ305" s="92"/>
      <c r="AK305" s="92"/>
      <c r="AL305" s="92"/>
      <c r="AM305" s="92"/>
      <c r="AN305" s="92"/>
      <c r="AO305" s="92"/>
      <c r="AP305" s="92"/>
      <c r="AQ305" s="92"/>
      <c r="AR305" s="92"/>
      <c r="AS305" s="92"/>
      <c r="AT305" s="93"/>
      <c r="AU305" s="94"/>
      <c r="AV305" s="1844">
        <f t="shared" si="204"/>
        <v>0</v>
      </c>
      <c r="AW305" s="1844">
        <f t="shared" si="205"/>
        <v>0</v>
      </c>
      <c r="AX305" s="184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5"/>
      <c r="C306" s="1296"/>
      <c r="D306" s="80"/>
      <c r="E306" s="87">
        <f t="shared" si="203"/>
        <v>0</v>
      </c>
      <c r="F306" s="88"/>
      <c r="G306" s="89">
        <f t="shared" si="178"/>
        <v>0</v>
      </c>
      <c r="H306" s="90">
        <f t="shared" si="179"/>
        <v>0</v>
      </c>
      <c r="I306" s="1298"/>
      <c r="J306" s="91"/>
      <c r="K306" s="12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8"/>
      <c r="AG306" s="92"/>
      <c r="AH306" s="92"/>
      <c r="AI306" s="92"/>
      <c r="AJ306" s="92"/>
      <c r="AK306" s="92"/>
      <c r="AL306" s="92"/>
      <c r="AM306" s="92"/>
      <c r="AN306" s="92"/>
      <c r="AO306" s="92"/>
      <c r="AP306" s="92"/>
      <c r="AQ306" s="92"/>
      <c r="AR306" s="92"/>
      <c r="AS306" s="92"/>
      <c r="AT306" s="93"/>
      <c r="AU306" s="94"/>
      <c r="AV306" s="1844">
        <f t="shared" si="204"/>
        <v>0</v>
      </c>
      <c r="AW306" s="1844">
        <f t="shared" si="205"/>
        <v>0</v>
      </c>
      <c r="AX306" s="184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5"/>
      <c r="C307" s="1296"/>
      <c r="D307" s="80"/>
      <c r="E307" s="87">
        <f t="shared" si="203"/>
        <v>0</v>
      </c>
      <c r="F307" s="88"/>
      <c r="G307" s="89">
        <f t="shared" si="178"/>
        <v>0</v>
      </c>
      <c r="H307" s="90">
        <f t="shared" si="179"/>
        <v>0</v>
      </c>
      <c r="I307" s="1298"/>
      <c r="J307" s="91"/>
      <c r="K307" s="12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8"/>
      <c r="AG307" s="92"/>
      <c r="AH307" s="92"/>
      <c r="AI307" s="92"/>
      <c r="AJ307" s="92"/>
      <c r="AK307" s="92"/>
      <c r="AL307" s="92"/>
      <c r="AM307" s="92"/>
      <c r="AN307" s="92"/>
      <c r="AO307" s="92"/>
      <c r="AP307" s="92"/>
      <c r="AQ307" s="92"/>
      <c r="AR307" s="92"/>
      <c r="AS307" s="92"/>
      <c r="AT307" s="93"/>
      <c r="AU307" s="94"/>
      <c r="AV307" s="1844">
        <f t="shared" si="204"/>
        <v>0</v>
      </c>
      <c r="AW307" s="1844">
        <f t="shared" si="205"/>
        <v>0</v>
      </c>
      <c r="AX307" s="184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5"/>
      <c r="C308" s="1296"/>
      <c r="D308" s="80"/>
      <c r="E308" s="87">
        <f t="shared" si="203"/>
        <v>0</v>
      </c>
      <c r="F308" s="88"/>
      <c r="G308" s="89">
        <f t="shared" si="178"/>
        <v>0</v>
      </c>
      <c r="H308" s="90">
        <f t="shared" si="179"/>
        <v>0</v>
      </c>
      <c r="I308" s="1298"/>
      <c r="J308" s="91"/>
      <c r="K308" s="12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8"/>
      <c r="AG308" s="92"/>
      <c r="AH308" s="92"/>
      <c r="AI308" s="92"/>
      <c r="AJ308" s="92"/>
      <c r="AK308" s="92"/>
      <c r="AL308" s="92"/>
      <c r="AM308" s="92"/>
      <c r="AN308" s="92"/>
      <c r="AO308" s="92"/>
      <c r="AP308" s="92"/>
      <c r="AQ308" s="92"/>
      <c r="AR308" s="92"/>
      <c r="AS308" s="92"/>
      <c r="AT308" s="93"/>
      <c r="AU308" s="94"/>
      <c r="AV308" s="1844">
        <f t="shared" si="204"/>
        <v>0</v>
      </c>
      <c r="AW308" s="1844">
        <f t="shared" si="205"/>
        <v>0</v>
      </c>
      <c r="AX308" s="184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5"/>
      <c r="C309" s="1296"/>
      <c r="D309" s="80"/>
      <c r="E309" s="87">
        <f t="shared" si="203"/>
        <v>0</v>
      </c>
      <c r="F309" s="88"/>
      <c r="G309" s="89">
        <f t="shared" si="178"/>
        <v>0</v>
      </c>
      <c r="H309" s="90">
        <f t="shared" si="179"/>
        <v>0</v>
      </c>
      <c r="I309" s="1298"/>
      <c r="J309" s="91"/>
      <c r="K309" s="12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8"/>
      <c r="AG309" s="92"/>
      <c r="AH309" s="92"/>
      <c r="AI309" s="92"/>
      <c r="AJ309" s="92"/>
      <c r="AK309" s="92"/>
      <c r="AL309" s="92"/>
      <c r="AM309" s="92"/>
      <c r="AN309" s="92"/>
      <c r="AO309" s="92"/>
      <c r="AP309" s="92"/>
      <c r="AQ309" s="92"/>
      <c r="AR309" s="92"/>
      <c r="AS309" s="92"/>
      <c r="AT309" s="93"/>
      <c r="AU309" s="94"/>
      <c r="AV309" s="1844">
        <f t="shared" si="204"/>
        <v>0</v>
      </c>
      <c r="AW309" s="1844">
        <f t="shared" si="205"/>
        <v>0</v>
      </c>
      <c r="AX309" s="184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5"/>
      <c r="C310" s="1296"/>
      <c r="D310" s="80"/>
      <c r="E310" s="87">
        <f t="shared" si="203"/>
        <v>0</v>
      </c>
      <c r="F310" s="88"/>
      <c r="G310" s="89">
        <f t="shared" si="178"/>
        <v>0</v>
      </c>
      <c r="H310" s="90">
        <f t="shared" si="179"/>
        <v>0</v>
      </c>
      <c r="I310" s="1298"/>
      <c r="J310" s="91"/>
      <c r="K310" s="12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8"/>
      <c r="AG310" s="92"/>
      <c r="AH310" s="92"/>
      <c r="AI310" s="92"/>
      <c r="AJ310" s="92"/>
      <c r="AK310" s="92"/>
      <c r="AL310" s="92"/>
      <c r="AM310" s="92"/>
      <c r="AN310" s="92"/>
      <c r="AO310" s="92"/>
      <c r="AP310" s="92"/>
      <c r="AQ310" s="92"/>
      <c r="AR310" s="92"/>
      <c r="AS310" s="92"/>
      <c r="AT310" s="93"/>
      <c r="AU310" s="94"/>
      <c r="AV310" s="1844">
        <f t="shared" si="204"/>
        <v>0</v>
      </c>
      <c r="AW310" s="1844">
        <f t="shared" si="205"/>
        <v>0</v>
      </c>
      <c r="AX310" s="184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5"/>
      <c r="C311" s="1296"/>
      <c r="D311" s="80"/>
      <c r="E311" s="87">
        <f t="shared" si="203"/>
        <v>0</v>
      </c>
      <c r="F311" s="88"/>
      <c r="G311" s="89">
        <f t="shared" si="178"/>
        <v>0</v>
      </c>
      <c r="H311" s="90">
        <f t="shared" si="179"/>
        <v>0</v>
      </c>
      <c r="I311" s="1298"/>
      <c r="J311" s="91"/>
      <c r="K311" s="12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8"/>
      <c r="AG311" s="92"/>
      <c r="AH311" s="92"/>
      <c r="AI311" s="92"/>
      <c r="AJ311" s="92"/>
      <c r="AK311" s="92"/>
      <c r="AL311" s="92"/>
      <c r="AM311" s="92"/>
      <c r="AN311" s="92"/>
      <c r="AO311" s="92"/>
      <c r="AP311" s="92"/>
      <c r="AQ311" s="92"/>
      <c r="AR311" s="92"/>
      <c r="AS311" s="92"/>
      <c r="AT311" s="93"/>
      <c r="AU311" s="94"/>
      <c r="AV311" s="1844">
        <f t="shared" si="204"/>
        <v>0</v>
      </c>
      <c r="AW311" s="1844">
        <f t="shared" si="205"/>
        <v>0</v>
      </c>
      <c r="AX311" s="184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5"/>
      <c r="C312" s="1296"/>
      <c r="D312" s="80"/>
      <c r="E312" s="87">
        <f t="shared" si="203"/>
        <v>0</v>
      </c>
      <c r="F312" s="88"/>
      <c r="G312" s="89">
        <f t="shared" si="178"/>
        <v>0</v>
      </c>
      <c r="H312" s="90">
        <f t="shared" si="179"/>
        <v>0</v>
      </c>
      <c r="I312" s="1298"/>
      <c r="J312" s="91"/>
      <c r="K312" s="12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8"/>
      <c r="AG312" s="92"/>
      <c r="AH312" s="92"/>
      <c r="AI312" s="92"/>
      <c r="AJ312" s="92"/>
      <c r="AK312" s="92"/>
      <c r="AL312" s="92"/>
      <c r="AM312" s="92"/>
      <c r="AN312" s="92"/>
      <c r="AO312" s="92"/>
      <c r="AP312" s="92"/>
      <c r="AQ312" s="92"/>
      <c r="AR312" s="92"/>
      <c r="AS312" s="92"/>
      <c r="AT312" s="93"/>
      <c r="AU312" s="94"/>
      <c r="AV312" s="1844">
        <f t="shared" si="204"/>
        <v>0</v>
      </c>
      <c r="AW312" s="1844">
        <f t="shared" si="205"/>
        <v>0</v>
      </c>
      <c r="AX312" s="184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5"/>
      <c r="C313" s="1296"/>
      <c r="D313" s="80"/>
      <c r="E313" s="87">
        <f t="shared" si="203"/>
        <v>0</v>
      </c>
      <c r="F313" s="88"/>
      <c r="G313" s="89">
        <f t="shared" si="178"/>
        <v>0</v>
      </c>
      <c r="H313" s="90">
        <f t="shared" si="179"/>
        <v>0</v>
      </c>
      <c r="I313" s="1298"/>
      <c r="J313" s="91"/>
      <c r="K313" s="12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8"/>
      <c r="AG313" s="92"/>
      <c r="AH313" s="92"/>
      <c r="AI313" s="92"/>
      <c r="AJ313" s="92"/>
      <c r="AK313" s="92"/>
      <c r="AL313" s="92"/>
      <c r="AM313" s="92"/>
      <c r="AN313" s="92"/>
      <c r="AO313" s="92"/>
      <c r="AP313" s="92"/>
      <c r="AQ313" s="92"/>
      <c r="AR313" s="92"/>
      <c r="AS313" s="92"/>
      <c r="AT313" s="93"/>
      <c r="AU313" s="94"/>
      <c r="AV313" s="1844">
        <f t="shared" si="204"/>
        <v>0</v>
      </c>
      <c r="AW313" s="1844">
        <f t="shared" si="205"/>
        <v>0</v>
      </c>
      <c r="AX313" s="184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5"/>
      <c r="C314" s="1296"/>
      <c r="D314" s="80"/>
      <c r="E314" s="87">
        <f t="shared" si="203"/>
        <v>0</v>
      </c>
      <c r="F314" s="88"/>
      <c r="G314" s="89">
        <f t="shared" si="178"/>
        <v>0</v>
      </c>
      <c r="H314" s="90">
        <f t="shared" si="179"/>
        <v>0</v>
      </c>
      <c r="I314" s="1298"/>
      <c r="J314" s="91"/>
      <c r="K314" s="12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8"/>
      <c r="AG314" s="92"/>
      <c r="AH314" s="92"/>
      <c r="AI314" s="92"/>
      <c r="AJ314" s="92"/>
      <c r="AK314" s="92"/>
      <c r="AL314" s="92"/>
      <c r="AM314" s="92"/>
      <c r="AN314" s="92"/>
      <c r="AO314" s="92"/>
      <c r="AP314" s="92"/>
      <c r="AQ314" s="92"/>
      <c r="AR314" s="92"/>
      <c r="AS314" s="92"/>
      <c r="AT314" s="93"/>
      <c r="AU314" s="94"/>
      <c r="AV314" s="1844">
        <f t="shared" si="204"/>
        <v>0</v>
      </c>
      <c r="AW314" s="1844">
        <f t="shared" si="205"/>
        <v>0</v>
      </c>
      <c r="AX314" s="184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5"/>
      <c r="C315" s="1296"/>
      <c r="D315" s="80"/>
      <c r="E315" s="87">
        <f t="shared" si="203"/>
        <v>0</v>
      </c>
      <c r="F315" s="88"/>
      <c r="G315" s="89">
        <f t="shared" si="178"/>
        <v>0</v>
      </c>
      <c r="H315" s="90">
        <f t="shared" si="179"/>
        <v>0</v>
      </c>
      <c r="I315" s="1298"/>
      <c r="J315" s="91"/>
      <c r="K315" s="12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8"/>
      <c r="AG315" s="92"/>
      <c r="AH315" s="92"/>
      <c r="AI315" s="92"/>
      <c r="AJ315" s="92"/>
      <c r="AK315" s="92"/>
      <c r="AL315" s="92"/>
      <c r="AM315" s="92"/>
      <c r="AN315" s="92"/>
      <c r="AO315" s="92"/>
      <c r="AP315" s="92"/>
      <c r="AQ315" s="92"/>
      <c r="AR315" s="92"/>
      <c r="AS315" s="92"/>
      <c r="AT315" s="93"/>
      <c r="AU315" s="94"/>
      <c r="AV315" s="1844">
        <f t="shared" si="204"/>
        <v>0</v>
      </c>
      <c r="AW315" s="1844">
        <f t="shared" si="205"/>
        <v>0</v>
      </c>
      <c r="AX315" s="184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5"/>
      <c r="C316" s="1296"/>
      <c r="D316" s="80"/>
      <c r="E316" s="87">
        <f t="shared" si="203"/>
        <v>0</v>
      </c>
      <c r="F316" s="88"/>
      <c r="G316" s="89">
        <f t="shared" si="178"/>
        <v>0</v>
      </c>
      <c r="H316" s="90">
        <f t="shared" si="179"/>
        <v>0</v>
      </c>
      <c r="I316" s="1298"/>
      <c r="J316" s="91"/>
      <c r="K316" s="12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8"/>
      <c r="AG316" s="92"/>
      <c r="AH316" s="92"/>
      <c r="AI316" s="92"/>
      <c r="AJ316" s="92"/>
      <c r="AK316" s="92"/>
      <c r="AL316" s="92"/>
      <c r="AM316" s="92"/>
      <c r="AN316" s="92"/>
      <c r="AO316" s="92"/>
      <c r="AP316" s="92"/>
      <c r="AQ316" s="92"/>
      <c r="AR316" s="92"/>
      <c r="AS316" s="92"/>
      <c r="AT316" s="93"/>
      <c r="AU316" s="94"/>
      <c r="AV316" s="1844">
        <f t="shared" si="204"/>
        <v>0</v>
      </c>
      <c r="AW316" s="1844">
        <f t="shared" si="205"/>
        <v>0</v>
      </c>
      <c r="AX316" s="184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5"/>
      <c r="C317" s="1296"/>
      <c r="D317" s="80"/>
      <c r="E317" s="87">
        <f t="shared" si="203"/>
        <v>0</v>
      </c>
      <c r="F317" s="88"/>
      <c r="G317" s="89">
        <f t="shared" si="178"/>
        <v>0</v>
      </c>
      <c r="H317" s="90">
        <f t="shared" si="179"/>
        <v>0</v>
      </c>
      <c r="I317" s="1298"/>
      <c r="J317" s="91"/>
      <c r="K317" s="12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8"/>
      <c r="AG317" s="92"/>
      <c r="AH317" s="92"/>
      <c r="AI317" s="92"/>
      <c r="AJ317" s="92"/>
      <c r="AK317" s="92"/>
      <c r="AL317" s="92"/>
      <c r="AM317" s="92"/>
      <c r="AN317" s="92"/>
      <c r="AO317" s="92"/>
      <c r="AP317" s="92"/>
      <c r="AQ317" s="92"/>
      <c r="AR317" s="92"/>
      <c r="AS317" s="92"/>
      <c r="AT317" s="93"/>
      <c r="AU317" s="94"/>
      <c r="AV317" s="1844">
        <f t="shared" si="204"/>
        <v>0</v>
      </c>
      <c r="AW317" s="1844">
        <f t="shared" si="205"/>
        <v>0</v>
      </c>
      <c r="AX317" s="184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5"/>
      <c r="C318" s="1296"/>
      <c r="D318" s="80"/>
      <c r="E318" s="87">
        <f t="shared" si="203"/>
        <v>0</v>
      </c>
      <c r="F318" s="88"/>
      <c r="G318" s="89">
        <f t="shared" si="178"/>
        <v>0</v>
      </c>
      <c r="H318" s="90">
        <f t="shared" si="179"/>
        <v>0</v>
      </c>
      <c r="I318" s="1298"/>
      <c r="J318" s="91"/>
      <c r="K318" s="12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8"/>
      <c r="AG318" s="92"/>
      <c r="AH318" s="92"/>
      <c r="AI318" s="92"/>
      <c r="AJ318" s="92"/>
      <c r="AK318" s="92"/>
      <c r="AL318" s="92"/>
      <c r="AM318" s="92"/>
      <c r="AN318" s="92"/>
      <c r="AO318" s="92"/>
      <c r="AP318" s="92"/>
      <c r="AQ318" s="92"/>
      <c r="AR318" s="92"/>
      <c r="AS318" s="92"/>
      <c r="AT318" s="93"/>
      <c r="AU318" s="94"/>
      <c r="AV318" s="1844">
        <f t="shared" si="204"/>
        <v>0</v>
      </c>
      <c r="AW318" s="1844">
        <f t="shared" si="205"/>
        <v>0</v>
      </c>
      <c r="AX318" s="184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5"/>
      <c r="C319" s="1296"/>
      <c r="D319" s="80"/>
      <c r="E319" s="87">
        <f t="shared" si="203"/>
        <v>0</v>
      </c>
      <c r="F319" s="88"/>
      <c r="G319" s="89">
        <f t="shared" si="178"/>
        <v>0</v>
      </c>
      <c r="H319" s="90">
        <f t="shared" si="179"/>
        <v>0</v>
      </c>
      <c r="I319" s="1298"/>
      <c r="J319" s="91"/>
      <c r="K319" s="12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8"/>
      <c r="AG319" s="92"/>
      <c r="AH319" s="92"/>
      <c r="AI319" s="92"/>
      <c r="AJ319" s="92"/>
      <c r="AK319" s="92"/>
      <c r="AL319" s="92"/>
      <c r="AM319" s="92"/>
      <c r="AN319" s="92"/>
      <c r="AO319" s="92"/>
      <c r="AP319" s="92"/>
      <c r="AQ319" s="92"/>
      <c r="AR319" s="92"/>
      <c r="AS319" s="92"/>
      <c r="AT319" s="93"/>
      <c r="AU319" s="94"/>
      <c r="AV319" s="1844">
        <f t="shared" si="204"/>
        <v>0</v>
      </c>
      <c r="AW319" s="1844">
        <f t="shared" si="205"/>
        <v>0</v>
      </c>
      <c r="AX319" s="184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5"/>
      <c r="C320" s="1296"/>
      <c r="D320" s="80"/>
      <c r="E320" s="87">
        <f t="shared" si="203"/>
        <v>0</v>
      </c>
      <c r="F320" s="88"/>
      <c r="G320" s="89">
        <f t="shared" si="178"/>
        <v>0</v>
      </c>
      <c r="H320" s="90">
        <f t="shared" si="179"/>
        <v>0</v>
      </c>
      <c r="I320" s="1298"/>
      <c r="J320" s="91"/>
      <c r="K320" s="12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8"/>
      <c r="AG320" s="92"/>
      <c r="AH320" s="92"/>
      <c r="AI320" s="92"/>
      <c r="AJ320" s="92"/>
      <c r="AK320" s="92"/>
      <c r="AL320" s="92"/>
      <c r="AM320" s="92"/>
      <c r="AN320" s="92"/>
      <c r="AO320" s="92"/>
      <c r="AP320" s="92"/>
      <c r="AQ320" s="92"/>
      <c r="AR320" s="92"/>
      <c r="AS320" s="92"/>
      <c r="AT320" s="93"/>
      <c r="AU320" s="94"/>
      <c r="AV320" s="1844">
        <f t="shared" si="204"/>
        <v>0</v>
      </c>
      <c r="AW320" s="1844">
        <f t="shared" si="205"/>
        <v>0</v>
      </c>
      <c r="AX320" s="184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5"/>
      <c r="C321" s="1296"/>
      <c r="D321" s="80"/>
      <c r="E321" s="87">
        <f t="shared" si="203"/>
        <v>0</v>
      </c>
      <c r="F321" s="88"/>
      <c r="G321" s="89">
        <f t="shared" si="178"/>
        <v>0</v>
      </c>
      <c r="H321" s="90">
        <f t="shared" si="179"/>
        <v>0</v>
      </c>
      <c r="I321" s="1298"/>
      <c r="J321" s="91"/>
      <c r="K321" s="12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8"/>
      <c r="AG321" s="92"/>
      <c r="AH321" s="92"/>
      <c r="AI321" s="92"/>
      <c r="AJ321" s="92"/>
      <c r="AK321" s="92"/>
      <c r="AL321" s="92"/>
      <c r="AM321" s="92"/>
      <c r="AN321" s="92"/>
      <c r="AO321" s="92"/>
      <c r="AP321" s="92"/>
      <c r="AQ321" s="92"/>
      <c r="AR321" s="92"/>
      <c r="AS321" s="92"/>
      <c r="AT321" s="93"/>
      <c r="AU321" s="94"/>
      <c r="AV321" s="1844">
        <f t="shared" si="204"/>
        <v>0</v>
      </c>
      <c r="AW321" s="1844">
        <f t="shared" si="205"/>
        <v>0</v>
      </c>
      <c r="AX321" s="184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5"/>
      <c r="C322" s="1296"/>
      <c r="D322" s="80"/>
      <c r="E322" s="87">
        <f t="shared" si="203"/>
        <v>0</v>
      </c>
      <c r="F322" s="88"/>
      <c r="G322" s="89">
        <f t="shared" si="178"/>
        <v>0</v>
      </c>
      <c r="H322" s="90">
        <f t="shared" si="179"/>
        <v>0</v>
      </c>
      <c r="I322" s="1298"/>
      <c r="J322" s="91"/>
      <c r="K322" s="12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8"/>
      <c r="AG322" s="92"/>
      <c r="AH322" s="92"/>
      <c r="AI322" s="92"/>
      <c r="AJ322" s="92"/>
      <c r="AK322" s="92"/>
      <c r="AL322" s="92"/>
      <c r="AM322" s="92"/>
      <c r="AN322" s="92"/>
      <c r="AO322" s="92"/>
      <c r="AP322" s="92"/>
      <c r="AQ322" s="92"/>
      <c r="AR322" s="92"/>
      <c r="AS322" s="92"/>
      <c r="AT322" s="93"/>
      <c r="AU322" s="94"/>
      <c r="AV322" s="1844">
        <f t="shared" si="204"/>
        <v>0</v>
      </c>
      <c r="AW322" s="1844">
        <f t="shared" si="205"/>
        <v>0</v>
      </c>
      <c r="AX322" s="184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5"/>
      <c r="C323" s="1296"/>
      <c r="D323" s="80"/>
      <c r="E323" s="87">
        <f t="shared" si="203"/>
        <v>0</v>
      </c>
      <c r="F323" s="88"/>
      <c r="G323" s="89">
        <f t="shared" si="178"/>
        <v>0</v>
      </c>
      <c r="H323" s="90">
        <f t="shared" si="179"/>
        <v>0</v>
      </c>
      <c r="I323" s="1298"/>
      <c r="J323" s="91"/>
      <c r="K323" s="12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6"/>
      <c r="AG323" s="92"/>
      <c r="AH323" s="92"/>
      <c r="AI323" s="92"/>
      <c r="AJ323" s="92"/>
      <c r="AK323" s="92"/>
      <c r="AL323" s="92"/>
      <c r="AM323" s="92"/>
      <c r="AN323" s="92"/>
      <c r="AO323" s="92"/>
      <c r="AP323" s="92"/>
      <c r="AQ323" s="92"/>
      <c r="AR323" s="92"/>
      <c r="AS323" s="92"/>
      <c r="AT323" s="93"/>
      <c r="AU323" s="94"/>
      <c r="AV323" s="1844">
        <f t="shared" si="204"/>
        <v>0</v>
      </c>
      <c r="AW323" s="1844">
        <f t="shared" si="205"/>
        <v>0</v>
      </c>
      <c r="AX323" s="184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5"/>
      <c r="C324" s="1296"/>
      <c r="D324" s="80"/>
      <c r="E324" s="87">
        <f t="shared" si="203"/>
        <v>0</v>
      </c>
      <c r="F324" s="88"/>
      <c r="G324" s="89">
        <f t="shared" si="178"/>
        <v>0</v>
      </c>
      <c r="H324" s="90">
        <f t="shared" si="179"/>
        <v>0</v>
      </c>
      <c r="I324" s="1296"/>
      <c r="J324" s="91"/>
      <c r="K324" s="12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6"/>
      <c r="AG324" s="92"/>
      <c r="AH324" s="92"/>
      <c r="AI324" s="92"/>
      <c r="AJ324" s="92"/>
      <c r="AK324" s="92"/>
      <c r="AL324" s="92"/>
      <c r="AM324" s="92"/>
      <c r="AN324" s="92"/>
      <c r="AO324" s="92"/>
      <c r="AP324" s="92"/>
      <c r="AQ324" s="92"/>
      <c r="AR324" s="92"/>
      <c r="AS324" s="92"/>
      <c r="AT324" s="93"/>
      <c r="AU324" s="94"/>
      <c r="AV324" s="1844">
        <f t="shared" si="204"/>
        <v>0</v>
      </c>
      <c r="AW324" s="1844">
        <f t="shared" si="205"/>
        <v>0</v>
      </c>
      <c r="AX324" s="184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5"/>
      <c r="C325" s="1296"/>
      <c r="D325" s="80"/>
      <c r="E325" s="87">
        <f t="shared" si="203"/>
        <v>0</v>
      </c>
      <c r="F325" s="88"/>
      <c r="G325" s="89">
        <f t="shared" si="178"/>
        <v>0</v>
      </c>
      <c r="H325" s="90">
        <f t="shared" si="179"/>
        <v>0</v>
      </c>
      <c r="I325" s="1296"/>
      <c r="J325" s="91"/>
      <c r="K325" s="12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6"/>
      <c r="AG325" s="92"/>
      <c r="AH325" s="92"/>
      <c r="AI325" s="92"/>
      <c r="AJ325" s="92"/>
      <c r="AK325" s="92"/>
      <c r="AL325" s="92"/>
      <c r="AM325" s="92"/>
      <c r="AN325" s="92"/>
      <c r="AO325" s="92"/>
      <c r="AP325" s="92"/>
      <c r="AQ325" s="92"/>
      <c r="AR325" s="92"/>
      <c r="AS325" s="92"/>
      <c r="AT325" s="93"/>
      <c r="AU325" s="94"/>
      <c r="AV325" s="1844">
        <f t="shared" si="204"/>
        <v>0</v>
      </c>
      <c r="AW325" s="1844">
        <f t="shared" si="205"/>
        <v>0</v>
      </c>
      <c r="AX325" s="184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5"/>
      <c r="C326" s="1296"/>
      <c r="D326" s="80"/>
      <c r="E326" s="87">
        <f t="shared" si="203"/>
        <v>0</v>
      </c>
      <c r="F326" s="88"/>
      <c r="G326" s="89">
        <f t="shared" ref="G326:G357" si="207">H326+AC326+AT326</f>
        <v>0</v>
      </c>
      <c r="H326" s="90">
        <f t="shared" ref="H326:H357" si="208">SUMIF(I$12:AB$12,"总值",I326:AB326)</f>
        <v>0</v>
      </c>
      <c r="I326" s="1296"/>
      <c r="J326" s="91"/>
      <c r="K326" s="12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6"/>
      <c r="AG326" s="92"/>
      <c r="AH326" s="92"/>
      <c r="AI326" s="92"/>
      <c r="AJ326" s="92"/>
      <c r="AK326" s="92"/>
      <c r="AL326" s="92"/>
      <c r="AM326" s="92"/>
      <c r="AN326" s="92"/>
      <c r="AO326" s="92"/>
      <c r="AP326" s="92"/>
      <c r="AQ326" s="92"/>
      <c r="AR326" s="92"/>
      <c r="AS326" s="92"/>
      <c r="AT326" s="93"/>
      <c r="AU326" s="94"/>
      <c r="AV326" s="1844">
        <f t="shared" si="204"/>
        <v>0</v>
      </c>
      <c r="AW326" s="1844">
        <f t="shared" si="205"/>
        <v>0</v>
      </c>
      <c r="AX326" s="184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5"/>
      <c r="C327" s="1296"/>
      <c r="D327" s="80"/>
      <c r="E327" s="87">
        <f t="shared" si="203"/>
        <v>0</v>
      </c>
      <c r="F327" s="88"/>
      <c r="G327" s="89">
        <f t="shared" si="207"/>
        <v>0</v>
      </c>
      <c r="H327" s="90">
        <f t="shared" si="208"/>
        <v>0</v>
      </c>
      <c r="I327" s="1296"/>
      <c r="J327" s="91"/>
      <c r="K327" s="12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6"/>
      <c r="AG327" s="92"/>
      <c r="AH327" s="92"/>
      <c r="AI327" s="92"/>
      <c r="AJ327" s="92"/>
      <c r="AK327" s="92"/>
      <c r="AL327" s="92"/>
      <c r="AM327" s="92"/>
      <c r="AN327" s="92"/>
      <c r="AO327" s="92"/>
      <c r="AP327" s="92"/>
      <c r="AQ327" s="92"/>
      <c r="AR327" s="92"/>
      <c r="AS327" s="92"/>
      <c r="AT327" s="93"/>
      <c r="AU327" s="94"/>
      <c r="AV327" s="1844">
        <f t="shared" si="204"/>
        <v>0</v>
      </c>
      <c r="AW327" s="1844">
        <f t="shared" si="205"/>
        <v>0</v>
      </c>
      <c r="AX327" s="184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5"/>
      <c r="C328" s="1296"/>
      <c r="D328" s="80"/>
      <c r="E328" s="87">
        <f t="shared" si="203"/>
        <v>0</v>
      </c>
      <c r="F328" s="88"/>
      <c r="G328" s="89">
        <f t="shared" si="207"/>
        <v>0</v>
      </c>
      <c r="H328" s="90">
        <f t="shared" si="208"/>
        <v>0</v>
      </c>
      <c r="I328" s="1296"/>
      <c r="J328" s="91"/>
      <c r="K328" s="12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6"/>
      <c r="AG328" s="92"/>
      <c r="AH328" s="92"/>
      <c r="AI328" s="92"/>
      <c r="AJ328" s="92"/>
      <c r="AK328" s="92"/>
      <c r="AL328" s="92"/>
      <c r="AM328" s="92"/>
      <c r="AN328" s="92"/>
      <c r="AO328" s="92"/>
      <c r="AP328" s="92"/>
      <c r="AQ328" s="92"/>
      <c r="AR328" s="92"/>
      <c r="AS328" s="92"/>
      <c r="AT328" s="93"/>
      <c r="AU328" s="94"/>
      <c r="AV328" s="1844">
        <f t="shared" si="204"/>
        <v>0</v>
      </c>
      <c r="AW328" s="1844">
        <f t="shared" si="205"/>
        <v>0</v>
      </c>
      <c r="AX328" s="184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5"/>
      <c r="C329" s="1296"/>
      <c r="D329" s="80"/>
      <c r="E329" s="87">
        <f t="shared" ref="E329:E360" si="232">IF($C$3="是",ROUND($A$3*G329/$B$3,2),ROUND($A$3*(G329-AT329)/$B$3,2))</f>
        <v>0</v>
      </c>
      <c r="F329" s="88"/>
      <c r="G329" s="89">
        <f t="shared" si="207"/>
        <v>0</v>
      </c>
      <c r="H329" s="90">
        <f t="shared" si="208"/>
        <v>0</v>
      </c>
      <c r="I329" s="1296"/>
      <c r="J329" s="91"/>
      <c r="K329" s="12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6"/>
      <c r="AG329" s="92"/>
      <c r="AH329" s="92"/>
      <c r="AI329" s="92"/>
      <c r="AJ329" s="92"/>
      <c r="AK329" s="92"/>
      <c r="AL329" s="92"/>
      <c r="AM329" s="92"/>
      <c r="AN329" s="92"/>
      <c r="AO329" s="92"/>
      <c r="AP329" s="92"/>
      <c r="AQ329" s="92"/>
      <c r="AR329" s="92"/>
      <c r="AS329" s="92"/>
      <c r="AT329" s="93"/>
      <c r="AU329" s="94"/>
      <c r="AV329" s="1844">
        <f t="shared" ref="AV329:AV360" si="233">A329</f>
        <v>0</v>
      </c>
      <c r="AW329" s="1844">
        <f t="shared" ref="AW329:AW360" si="234">B329</f>
        <v>0</v>
      </c>
      <c r="AX329" s="184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5"/>
      <c r="C330" s="1296"/>
      <c r="D330" s="80"/>
      <c r="E330" s="87">
        <f t="shared" si="232"/>
        <v>0</v>
      </c>
      <c r="F330" s="88"/>
      <c r="G330" s="89">
        <f t="shared" si="207"/>
        <v>0</v>
      </c>
      <c r="H330" s="90">
        <f t="shared" si="208"/>
        <v>0</v>
      </c>
      <c r="I330" s="1296"/>
      <c r="J330" s="91"/>
      <c r="K330" s="12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6"/>
      <c r="AG330" s="92"/>
      <c r="AH330" s="92"/>
      <c r="AI330" s="92"/>
      <c r="AJ330" s="92"/>
      <c r="AK330" s="92"/>
      <c r="AL330" s="92"/>
      <c r="AM330" s="92"/>
      <c r="AN330" s="92"/>
      <c r="AO330" s="92"/>
      <c r="AP330" s="92"/>
      <c r="AQ330" s="92"/>
      <c r="AR330" s="92"/>
      <c r="AS330" s="92"/>
      <c r="AT330" s="93"/>
      <c r="AU330" s="94"/>
      <c r="AV330" s="1844">
        <f t="shared" si="233"/>
        <v>0</v>
      </c>
      <c r="AW330" s="1844">
        <f t="shared" si="234"/>
        <v>0</v>
      </c>
      <c r="AX330" s="184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7"/>
      <c r="C331" s="1298"/>
      <c r="D331" s="80"/>
      <c r="E331" s="87">
        <f t="shared" si="232"/>
        <v>0</v>
      </c>
      <c r="F331" s="88"/>
      <c r="G331" s="89">
        <f t="shared" si="207"/>
        <v>0</v>
      </c>
      <c r="H331" s="90">
        <f t="shared" si="208"/>
        <v>0</v>
      </c>
      <c r="I331" s="1296"/>
      <c r="J331" s="91"/>
      <c r="K331" s="1296"/>
      <c r="L331" s="91"/>
      <c r="M331" s="1296"/>
      <c r="N331" s="91"/>
      <c r="O331" s="91"/>
      <c r="P331" s="91"/>
      <c r="Q331" s="91"/>
      <c r="R331" s="91"/>
      <c r="S331" s="91"/>
      <c r="T331" s="91"/>
      <c r="U331" s="91"/>
      <c r="V331" s="91"/>
      <c r="W331" s="91"/>
      <c r="X331" s="91"/>
      <c r="Y331" s="91"/>
      <c r="Z331" s="91"/>
      <c r="AA331" s="91"/>
      <c r="AB331" s="91"/>
      <c r="AC331" s="87">
        <f t="shared" si="209"/>
        <v>0</v>
      </c>
      <c r="AD331" s="92"/>
      <c r="AE331" s="92"/>
      <c r="AF331" s="1296"/>
      <c r="AG331" s="92"/>
      <c r="AH331" s="92"/>
      <c r="AI331" s="92"/>
      <c r="AJ331" s="92"/>
      <c r="AK331" s="92"/>
      <c r="AL331" s="92"/>
      <c r="AM331" s="92"/>
      <c r="AN331" s="92"/>
      <c r="AO331" s="92"/>
      <c r="AP331" s="92"/>
      <c r="AQ331" s="92"/>
      <c r="AR331" s="92"/>
      <c r="AS331" s="92"/>
      <c r="AT331" s="93"/>
      <c r="AU331" s="94"/>
      <c r="AV331" s="1844">
        <f t="shared" si="233"/>
        <v>0</v>
      </c>
      <c r="AW331" s="1844">
        <f t="shared" si="234"/>
        <v>0</v>
      </c>
      <c r="AX331" s="184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4">
        <f t="shared" si="233"/>
        <v>0</v>
      </c>
      <c r="AW332" s="1844">
        <f t="shared" si="234"/>
        <v>0</v>
      </c>
      <c r="AX332" s="184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4">
        <f t="shared" si="233"/>
        <v>0</v>
      </c>
      <c r="AW333" s="1844">
        <f t="shared" si="234"/>
        <v>0</v>
      </c>
      <c r="AX333" s="184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4">
        <f t="shared" si="233"/>
        <v>0</v>
      </c>
      <c r="AW334" s="1844">
        <f t="shared" si="234"/>
        <v>0</v>
      </c>
      <c r="AX334" s="184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4">
        <f t="shared" si="233"/>
        <v>0</v>
      </c>
      <c r="AW335" s="1844">
        <f t="shared" si="234"/>
        <v>0</v>
      </c>
      <c r="AX335" s="184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4">
        <f t="shared" si="233"/>
        <v>0</v>
      </c>
      <c r="AW336" s="1844">
        <f t="shared" si="234"/>
        <v>0</v>
      </c>
      <c r="AX336" s="184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4">
        <f t="shared" si="233"/>
        <v>0</v>
      </c>
      <c r="AW337" s="1844">
        <f t="shared" si="234"/>
        <v>0</v>
      </c>
      <c r="AX337" s="184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4">
        <f t="shared" si="233"/>
        <v>0</v>
      </c>
      <c r="AW338" s="1844">
        <f t="shared" si="234"/>
        <v>0</v>
      </c>
      <c r="AX338" s="184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4">
        <f t="shared" si="233"/>
        <v>0</v>
      </c>
      <c r="AW339" s="1844">
        <f t="shared" si="234"/>
        <v>0</v>
      </c>
      <c r="AX339" s="184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4">
        <f t="shared" si="233"/>
        <v>0</v>
      </c>
      <c r="AW340" s="1844">
        <f t="shared" si="234"/>
        <v>0</v>
      </c>
      <c r="AX340" s="184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4">
        <f t="shared" si="233"/>
        <v>0</v>
      </c>
      <c r="AW341" s="1844">
        <f t="shared" si="234"/>
        <v>0</v>
      </c>
      <c r="AX341" s="184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4">
        <f t="shared" si="233"/>
        <v>0</v>
      </c>
      <c r="AW342" s="1844">
        <f t="shared" si="234"/>
        <v>0</v>
      </c>
      <c r="AX342" s="184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4">
        <f t="shared" si="233"/>
        <v>0</v>
      </c>
      <c r="AW343" s="1844">
        <f t="shared" si="234"/>
        <v>0</v>
      </c>
      <c r="AX343" s="184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4">
        <f t="shared" si="233"/>
        <v>0</v>
      </c>
      <c r="AW344" s="1844">
        <f t="shared" si="234"/>
        <v>0</v>
      </c>
      <c r="AX344" s="184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4">
        <f t="shared" si="233"/>
        <v>0</v>
      </c>
      <c r="AW345" s="1844">
        <f t="shared" si="234"/>
        <v>0</v>
      </c>
      <c r="AX345" s="184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4">
        <f t="shared" si="233"/>
        <v>0</v>
      </c>
      <c r="AW346" s="1844">
        <f t="shared" si="234"/>
        <v>0</v>
      </c>
      <c r="AX346" s="184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4">
        <f t="shared" si="233"/>
        <v>0</v>
      </c>
      <c r="AW347" s="1844">
        <f t="shared" si="234"/>
        <v>0</v>
      </c>
      <c r="AX347" s="184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4">
        <f t="shared" si="233"/>
        <v>0</v>
      </c>
      <c r="AW348" s="1844">
        <f t="shared" si="234"/>
        <v>0</v>
      </c>
      <c r="AX348" s="184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4">
        <f t="shared" si="233"/>
        <v>0</v>
      </c>
      <c r="AW349" s="1844">
        <f t="shared" si="234"/>
        <v>0</v>
      </c>
      <c r="AX349" s="184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4">
        <f t="shared" si="233"/>
        <v>0</v>
      </c>
      <c r="AW350" s="1844">
        <f t="shared" si="234"/>
        <v>0</v>
      </c>
      <c r="AX350" s="184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4">
        <f t="shared" si="233"/>
        <v>0</v>
      </c>
      <c r="AW351" s="1844">
        <f t="shared" si="234"/>
        <v>0</v>
      </c>
      <c r="AX351" s="184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4">
        <f t="shared" si="233"/>
        <v>0</v>
      </c>
      <c r="AW352" s="1844">
        <f t="shared" si="234"/>
        <v>0</v>
      </c>
      <c r="AX352" s="184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4">
        <f t="shared" si="233"/>
        <v>0</v>
      </c>
      <c r="AW353" s="1844">
        <f t="shared" si="234"/>
        <v>0</v>
      </c>
      <c r="AX353" s="184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4">
        <f t="shared" si="233"/>
        <v>0</v>
      </c>
      <c r="AW354" s="1844">
        <f t="shared" si="234"/>
        <v>0</v>
      </c>
      <c r="AX354" s="184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4">
        <f t="shared" si="233"/>
        <v>0</v>
      </c>
      <c r="AW355" s="1844">
        <f t="shared" si="234"/>
        <v>0</v>
      </c>
      <c r="AX355" s="184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4">
        <f t="shared" si="233"/>
        <v>0</v>
      </c>
      <c r="AW356" s="1844">
        <f t="shared" si="234"/>
        <v>0</v>
      </c>
      <c r="AX356" s="184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4">
        <f t="shared" si="233"/>
        <v>0</v>
      </c>
      <c r="AW357" s="1844">
        <f t="shared" si="234"/>
        <v>0</v>
      </c>
      <c r="AX357" s="184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4">
        <f t="shared" si="233"/>
        <v>0</v>
      </c>
      <c r="AW358" s="1844">
        <f t="shared" si="234"/>
        <v>0</v>
      </c>
      <c r="AX358" s="184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4">
        <f t="shared" si="233"/>
        <v>0</v>
      </c>
      <c r="AW359" s="1844">
        <f t="shared" si="234"/>
        <v>0</v>
      </c>
      <c r="AX359" s="184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4">
        <f t="shared" si="233"/>
        <v>0</v>
      </c>
      <c r="AW360" s="1844">
        <f t="shared" si="234"/>
        <v>0</v>
      </c>
      <c r="AX360" s="184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4">
        <f t="shared" ref="AV361:AV388" si="262">A361</f>
        <v>0</v>
      </c>
      <c r="AW361" s="1844">
        <f t="shared" ref="AW361:AW388" si="263">B361</f>
        <v>0</v>
      </c>
      <c r="AX361" s="184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4">
        <f t="shared" si="262"/>
        <v>0</v>
      </c>
      <c r="AW362" s="1844">
        <f t="shared" si="263"/>
        <v>0</v>
      </c>
      <c r="AX362" s="184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4">
        <f t="shared" si="262"/>
        <v>0</v>
      </c>
      <c r="AW363" s="1844">
        <f t="shared" si="263"/>
        <v>0</v>
      </c>
      <c r="AX363" s="184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4">
        <f t="shared" si="262"/>
        <v>0</v>
      </c>
      <c r="AW364" s="1844">
        <f t="shared" si="263"/>
        <v>0</v>
      </c>
      <c r="AX364" s="184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4">
        <f t="shared" si="262"/>
        <v>0</v>
      </c>
      <c r="AW365" s="1844">
        <f t="shared" si="263"/>
        <v>0</v>
      </c>
      <c r="AX365" s="184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4">
        <f t="shared" si="262"/>
        <v>0</v>
      </c>
      <c r="AW366" s="1844">
        <f t="shared" si="263"/>
        <v>0</v>
      </c>
      <c r="AX366" s="184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4">
        <f t="shared" si="262"/>
        <v>0</v>
      </c>
      <c r="AW367" s="1844">
        <f t="shared" si="263"/>
        <v>0</v>
      </c>
      <c r="AX367" s="184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4">
        <f t="shared" si="262"/>
        <v>0</v>
      </c>
      <c r="AW368" s="1844">
        <f t="shared" si="263"/>
        <v>0</v>
      </c>
      <c r="AX368" s="184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4">
        <f t="shared" si="262"/>
        <v>0</v>
      </c>
      <c r="AW369" s="1844">
        <f t="shared" si="263"/>
        <v>0</v>
      </c>
      <c r="AX369" s="184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4">
        <f t="shared" si="262"/>
        <v>0</v>
      </c>
      <c r="AW370" s="1844">
        <f t="shared" si="263"/>
        <v>0</v>
      </c>
      <c r="AX370" s="184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4">
        <f t="shared" si="262"/>
        <v>0</v>
      </c>
      <c r="AW371" s="1844">
        <f t="shared" si="263"/>
        <v>0</v>
      </c>
      <c r="AX371" s="184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4">
        <f t="shared" si="262"/>
        <v>0</v>
      </c>
      <c r="AW372" s="1844">
        <f t="shared" si="263"/>
        <v>0</v>
      </c>
      <c r="AX372" s="184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4">
        <f t="shared" si="262"/>
        <v>0</v>
      </c>
      <c r="AW373" s="1844">
        <f t="shared" si="263"/>
        <v>0</v>
      </c>
      <c r="AX373" s="184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4">
        <f t="shared" si="262"/>
        <v>0</v>
      </c>
      <c r="AW374" s="1844">
        <f t="shared" si="263"/>
        <v>0</v>
      </c>
      <c r="AX374" s="184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4">
        <f t="shared" si="262"/>
        <v>0</v>
      </c>
      <c r="AW375" s="1844">
        <f t="shared" si="263"/>
        <v>0</v>
      </c>
      <c r="AX375" s="184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4">
        <f t="shared" si="262"/>
        <v>0</v>
      </c>
      <c r="AW376" s="1844">
        <f t="shared" si="263"/>
        <v>0</v>
      </c>
      <c r="AX376" s="184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4">
        <f t="shared" si="262"/>
        <v>0</v>
      </c>
      <c r="AW377" s="1844">
        <f t="shared" si="263"/>
        <v>0</v>
      </c>
      <c r="AX377" s="184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4">
        <f t="shared" si="262"/>
        <v>0</v>
      </c>
      <c r="AW378" s="1844">
        <f t="shared" si="263"/>
        <v>0</v>
      </c>
      <c r="AX378" s="184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4">
        <f t="shared" si="262"/>
        <v>0</v>
      </c>
      <c r="AW379" s="1844">
        <f t="shared" si="263"/>
        <v>0</v>
      </c>
      <c r="AX379" s="184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4">
        <f t="shared" si="262"/>
        <v>0</v>
      </c>
      <c r="AW380" s="1844">
        <f t="shared" si="263"/>
        <v>0</v>
      </c>
      <c r="AX380" s="184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4">
        <f t="shared" si="262"/>
        <v>0</v>
      </c>
      <c r="AW381" s="1844">
        <f t="shared" si="263"/>
        <v>0</v>
      </c>
      <c r="AX381" s="184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4">
        <f t="shared" si="262"/>
        <v>0</v>
      </c>
      <c r="AW382" s="1844">
        <f t="shared" si="263"/>
        <v>0</v>
      </c>
      <c r="AX382" s="184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4">
        <f t="shared" si="262"/>
        <v>0</v>
      </c>
      <c r="AW383" s="1844">
        <f t="shared" si="263"/>
        <v>0</v>
      </c>
      <c r="AX383" s="184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4">
        <f t="shared" si="262"/>
        <v>0</v>
      </c>
      <c r="AW384" s="1844">
        <f t="shared" si="263"/>
        <v>0</v>
      </c>
      <c r="AX384" s="184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4">
        <f t="shared" si="262"/>
        <v>0</v>
      </c>
      <c r="AW385" s="1844">
        <f t="shared" si="263"/>
        <v>0</v>
      </c>
      <c r="AX385" s="184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4">
        <f t="shared" si="262"/>
        <v>0</v>
      </c>
      <c r="AW386" s="1844">
        <f t="shared" si="263"/>
        <v>0</v>
      </c>
      <c r="AX386" s="184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4">
        <f t="shared" si="262"/>
        <v>0</v>
      </c>
      <c r="AW387" s="1844">
        <f t="shared" si="263"/>
        <v>0</v>
      </c>
      <c r="AX387" s="184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4">
        <f t="shared" si="262"/>
        <v>0</v>
      </c>
      <c r="AW388" s="1844">
        <f t="shared" si="263"/>
        <v>0</v>
      </c>
      <c r="AX388" s="184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5"/>
      <c r="C389" s="1296"/>
      <c r="D389" s="80"/>
      <c r="E389" s="87">
        <f t="shared" ref="E389:E480" si="265">IF($C$3="是",ROUND($A$3*G389/$B$3,2),ROUND($A$3*(G389-AT389)/$B$3,2))</f>
        <v>0</v>
      </c>
      <c r="F389" s="88"/>
      <c r="G389" s="89">
        <f t="shared" ref="G389:G477" si="266">H389+AC389+AT389</f>
        <v>0</v>
      </c>
      <c r="H389" s="90">
        <f t="shared" ref="H389:H477" si="267">SUMIF(I$12:AB$12,"总值",I389:AB389)</f>
        <v>0</v>
      </c>
      <c r="I389" s="1298"/>
      <c r="J389" s="91"/>
      <c r="K389" s="12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9"/>
      <c r="AG389" s="92"/>
      <c r="AH389" s="92"/>
      <c r="AI389" s="92"/>
      <c r="AJ389" s="92"/>
      <c r="AK389" s="92"/>
      <c r="AL389" s="92"/>
      <c r="AM389" s="92"/>
      <c r="AN389" s="1271"/>
      <c r="AO389" s="92"/>
      <c r="AP389" s="92"/>
      <c r="AQ389" s="92"/>
      <c r="AR389" s="92"/>
      <c r="AS389" s="92"/>
      <c r="AT389" s="93"/>
      <c r="AU389" s="94"/>
      <c r="AV389" s="1844">
        <f t="shared" ref="AV389:AV480" si="269">A389</f>
        <v>0</v>
      </c>
      <c r="AW389" s="1844">
        <f t="shared" ref="AW389:AW480" si="270">B389</f>
        <v>0</v>
      </c>
      <c r="AX389" s="184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5"/>
      <c r="C390" s="1296"/>
      <c r="D390" s="80"/>
      <c r="E390" s="87">
        <f t="shared" si="265"/>
        <v>0</v>
      </c>
      <c r="F390" s="88"/>
      <c r="G390" s="89">
        <f t="shared" si="266"/>
        <v>0</v>
      </c>
      <c r="H390" s="90">
        <f t="shared" si="267"/>
        <v>0</v>
      </c>
      <c r="I390" s="1298"/>
      <c r="J390" s="91"/>
      <c r="K390" s="1298"/>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299"/>
      <c r="AG390" s="92"/>
      <c r="AH390" s="92"/>
      <c r="AI390" s="92"/>
      <c r="AJ390" s="92"/>
      <c r="AK390" s="92"/>
      <c r="AL390" s="1271"/>
      <c r="AM390" s="92"/>
      <c r="AN390" s="1271"/>
      <c r="AO390" s="92"/>
      <c r="AP390" s="92"/>
      <c r="AQ390" s="92"/>
      <c r="AR390" s="92"/>
      <c r="AS390" s="92"/>
      <c r="AT390" s="93"/>
      <c r="AU390" s="94"/>
      <c r="AV390" s="1844">
        <f t="shared" si="269"/>
        <v>0</v>
      </c>
      <c r="AW390" s="1844">
        <f t="shared" si="270"/>
        <v>0</v>
      </c>
      <c r="AX390" s="184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5"/>
      <c r="C391" s="1296"/>
      <c r="D391" s="80"/>
      <c r="E391" s="87">
        <f t="shared" si="265"/>
        <v>0</v>
      </c>
      <c r="F391" s="88"/>
      <c r="G391" s="89">
        <f t="shared" si="266"/>
        <v>0</v>
      </c>
      <c r="H391" s="90">
        <f t="shared" si="267"/>
        <v>0</v>
      </c>
      <c r="I391" s="1298"/>
      <c r="J391" s="91"/>
      <c r="K391" s="1298"/>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299"/>
      <c r="AG391" s="92"/>
      <c r="AH391" s="92"/>
      <c r="AI391" s="92"/>
      <c r="AJ391" s="92"/>
      <c r="AK391" s="92"/>
      <c r="AL391" s="1271"/>
      <c r="AM391" s="92"/>
      <c r="AN391" s="1271"/>
      <c r="AO391" s="92"/>
      <c r="AP391" s="92"/>
      <c r="AQ391" s="92"/>
      <c r="AR391" s="92"/>
      <c r="AS391" s="92"/>
      <c r="AT391" s="93"/>
      <c r="AU391" s="94"/>
      <c r="AV391" s="1844">
        <f t="shared" si="269"/>
        <v>0</v>
      </c>
      <c r="AW391" s="1844">
        <f t="shared" si="270"/>
        <v>0</v>
      </c>
      <c r="AX391" s="184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5"/>
      <c r="C392" s="1296"/>
      <c r="D392" s="80"/>
      <c r="E392" s="87">
        <f t="shared" si="265"/>
        <v>0</v>
      </c>
      <c r="F392" s="88"/>
      <c r="G392" s="89">
        <f t="shared" si="266"/>
        <v>0</v>
      </c>
      <c r="H392" s="90">
        <f t="shared" si="267"/>
        <v>0</v>
      </c>
      <c r="I392" s="1298"/>
      <c r="J392" s="91"/>
      <c r="K392" s="1298"/>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299"/>
      <c r="AG392" s="92"/>
      <c r="AH392" s="92"/>
      <c r="AI392" s="92"/>
      <c r="AJ392" s="92"/>
      <c r="AK392" s="92"/>
      <c r="AL392" s="92"/>
      <c r="AM392" s="92"/>
      <c r="AN392" s="1271"/>
      <c r="AO392" s="92"/>
      <c r="AP392" s="92"/>
      <c r="AQ392" s="92"/>
      <c r="AR392" s="92"/>
      <c r="AS392" s="92"/>
      <c r="AT392" s="93"/>
      <c r="AU392" s="94"/>
      <c r="AV392" s="1844">
        <f t="shared" si="269"/>
        <v>0</v>
      </c>
      <c r="AW392" s="1844">
        <f t="shared" si="270"/>
        <v>0</v>
      </c>
      <c r="AX392" s="184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5"/>
      <c r="C393" s="1296"/>
      <c r="D393" s="80"/>
      <c r="E393" s="87">
        <f t="shared" si="265"/>
        <v>0</v>
      </c>
      <c r="F393" s="88"/>
      <c r="G393" s="89">
        <f t="shared" si="266"/>
        <v>0</v>
      </c>
      <c r="H393" s="90">
        <f t="shared" si="267"/>
        <v>0</v>
      </c>
      <c r="I393" s="1298"/>
      <c r="J393" s="91"/>
      <c r="K393" s="12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9"/>
      <c r="AG393" s="92"/>
      <c r="AH393" s="92"/>
      <c r="AI393" s="92"/>
      <c r="AJ393" s="92"/>
      <c r="AK393" s="92"/>
      <c r="AL393" s="92"/>
      <c r="AM393" s="92"/>
      <c r="AN393" s="92"/>
      <c r="AO393" s="92"/>
      <c r="AP393" s="92"/>
      <c r="AQ393" s="92"/>
      <c r="AR393" s="92"/>
      <c r="AS393" s="92"/>
      <c r="AT393" s="93"/>
      <c r="AU393" s="94"/>
      <c r="AV393" s="1844">
        <f t="shared" si="269"/>
        <v>0</v>
      </c>
      <c r="AW393" s="1844">
        <f t="shared" si="270"/>
        <v>0</v>
      </c>
      <c r="AX393" s="184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5"/>
      <c r="C394" s="1296"/>
      <c r="D394" s="80"/>
      <c r="E394" s="87">
        <f t="shared" si="265"/>
        <v>0</v>
      </c>
      <c r="F394" s="88"/>
      <c r="G394" s="89">
        <f t="shared" si="266"/>
        <v>0</v>
      </c>
      <c r="H394" s="90">
        <f t="shared" si="267"/>
        <v>0</v>
      </c>
      <c r="I394" s="1298"/>
      <c r="J394" s="91"/>
      <c r="K394" s="12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9"/>
      <c r="AG394" s="92"/>
      <c r="AH394" s="92"/>
      <c r="AI394" s="92"/>
      <c r="AJ394" s="92"/>
      <c r="AK394" s="92"/>
      <c r="AL394" s="92"/>
      <c r="AM394" s="92"/>
      <c r="AN394" s="92"/>
      <c r="AO394" s="92"/>
      <c r="AP394" s="92"/>
      <c r="AQ394" s="92"/>
      <c r="AR394" s="92"/>
      <c r="AS394" s="92"/>
      <c r="AT394" s="93"/>
      <c r="AU394" s="94"/>
      <c r="AV394" s="1844">
        <f t="shared" si="269"/>
        <v>0</v>
      </c>
      <c r="AW394" s="1844">
        <f t="shared" si="270"/>
        <v>0</v>
      </c>
      <c r="AX394" s="184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5"/>
      <c r="C395" s="1296"/>
      <c r="D395" s="80"/>
      <c r="E395" s="87">
        <f t="shared" si="265"/>
        <v>0</v>
      </c>
      <c r="F395" s="88"/>
      <c r="G395" s="89">
        <f t="shared" si="266"/>
        <v>0</v>
      </c>
      <c r="H395" s="90">
        <f t="shared" si="267"/>
        <v>0</v>
      </c>
      <c r="I395" s="1298"/>
      <c r="J395" s="91"/>
      <c r="K395" s="12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9"/>
      <c r="AG395" s="92"/>
      <c r="AH395" s="92"/>
      <c r="AI395" s="92"/>
      <c r="AJ395" s="92"/>
      <c r="AK395" s="92"/>
      <c r="AL395" s="92"/>
      <c r="AM395" s="92"/>
      <c r="AN395" s="92"/>
      <c r="AO395" s="92"/>
      <c r="AP395" s="92"/>
      <c r="AQ395" s="92"/>
      <c r="AR395" s="92"/>
      <c r="AS395" s="92"/>
      <c r="AT395" s="93"/>
      <c r="AU395" s="94"/>
      <c r="AV395" s="1844">
        <f t="shared" si="269"/>
        <v>0</v>
      </c>
      <c r="AW395" s="1844">
        <f t="shared" si="270"/>
        <v>0</v>
      </c>
      <c r="AX395" s="184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5"/>
      <c r="C396" s="1296"/>
      <c r="D396" s="80"/>
      <c r="E396" s="87">
        <f t="shared" si="265"/>
        <v>0</v>
      </c>
      <c r="F396" s="88"/>
      <c r="G396" s="89">
        <f t="shared" si="266"/>
        <v>0</v>
      </c>
      <c r="H396" s="90">
        <f t="shared" si="267"/>
        <v>0</v>
      </c>
      <c r="I396" s="1298"/>
      <c r="J396" s="91"/>
      <c r="K396" s="12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8"/>
      <c r="AG396" s="92"/>
      <c r="AH396" s="92"/>
      <c r="AI396" s="92"/>
      <c r="AJ396" s="92"/>
      <c r="AK396" s="92"/>
      <c r="AL396" s="92"/>
      <c r="AM396" s="92"/>
      <c r="AN396" s="92"/>
      <c r="AO396" s="92"/>
      <c r="AP396" s="92"/>
      <c r="AQ396" s="92"/>
      <c r="AR396" s="92"/>
      <c r="AS396" s="92"/>
      <c r="AT396" s="93"/>
      <c r="AU396" s="94"/>
      <c r="AV396" s="1844">
        <f t="shared" si="269"/>
        <v>0</v>
      </c>
      <c r="AW396" s="1844">
        <f t="shared" si="270"/>
        <v>0</v>
      </c>
      <c r="AX396" s="184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7"/>
      <c r="C397" s="1298"/>
      <c r="D397" s="80"/>
      <c r="E397" s="87">
        <f t="shared" si="265"/>
        <v>0</v>
      </c>
      <c r="F397" s="88"/>
      <c r="G397" s="89">
        <f t="shared" si="266"/>
        <v>0</v>
      </c>
      <c r="H397" s="90">
        <f t="shared" si="267"/>
        <v>0</v>
      </c>
      <c r="I397" s="1298"/>
      <c r="J397" s="91"/>
      <c r="K397" s="12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8"/>
      <c r="AG397" s="92"/>
      <c r="AH397" s="92"/>
      <c r="AI397" s="92"/>
      <c r="AJ397" s="92"/>
      <c r="AK397" s="92"/>
      <c r="AL397" s="92"/>
      <c r="AM397" s="92"/>
      <c r="AN397" s="92"/>
      <c r="AO397" s="92"/>
      <c r="AP397" s="92"/>
      <c r="AQ397" s="92"/>
      <c r="AR397" s="92"/>
      <c r="AS397" s="92"/>
      <c r="AT397" s="93"/>
      <c r="AU397" s="94"/>
      <c r="AV397" s="1844">
        <f t="shared" si="269"/>
        <v>0</v>
      </c>
      <c r="AW397" s="1844">
        <f t="shared" si="270"/>
        <v>0</v>
      </c>
      <c r="AX397" s="184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5"/>
      <c r="C398" s="1296"/>
      <c r="D398" s="80"/>
      <c r="E398" s="87">
        <f t="shared" si="265"/>
        <v>0</v>
      </c>
      <c r="F398" s="88"/>
      <c r="G398" s="89">
        <f t="shared" si="266"/>
        <v>0</v>
      </c>
      <c r="H398" s="90">
        <f t="shared" si="267"/>
        <v>0</v>
      </c>
      <c r="I398" s="1298"/>
      <c r="J398" s="91"/>
      <c r="K398" s="12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8"/>
      <c r="AG398" s="92"/>
      <c r="AH398" s="92"/>
      <c r="AI398" s="92"/>
      <c r="AJ398" s="92"/>
      <c r="AK398" s="92"/>
      <c r="AL398" s="92"/>
      <c r="AM398" s="92"/>
      <c r="AN398" s="92"/>
      <c r="AO398" s="92"/>
      <c r="AP398" s="92"/>
      <c r="AQ398" s="92"/>
      <c r="AR398" s="92"/>
      <c r="AS398" s="92"/>
      <c r="AT398" s="93"/>
      <c r="AU398" s="94"/>
      <c r="AV398" s="1844">
        <f t="shared" si="269"/>
        <v>0</v>
      </c>
      <c r="AW398" s="1844">
        <f t="shared" si="270"/>
        <v>0</v>
      </c>
      <c r="AX398" s="184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5"/>
      <c r="C399" s="1296"/>
      <c r="D399" s="80"/>
      <c r="E399" s="87">
        <f t="shared" si="265"/>
        <v>0</v>
      </c>
      <c r="F399" s="88"/>
      <c r="G399" s="89">
        <f t="shared" si="266"/>
        <v>0</v>
      </c>
      <c r="H399" s="90">
        <f t="shared" si="267"/>
        <v>0</v>
      </c>
      <c r="I399" s="1298"/>
      <c r="J399" s="91"/>
      <c r="K399" s="12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8"/>
      <c r="AG399" s="92"/>
      <c r="AH399" s="92"/>
      <c r="AI399" s="92"/>
      <c r="AJ399" s="92"/>
      <c r="AK399" s="92"/>
      <c r="AL399" s="92"/>
      <c r="AM399" s="92"/>
      <c r="AN399" s="92"/>
      <c r="AO399" s="92"/>
      <c r="AP399" s="92"/>
      <c r="AQ399" s="92"/>
      <c r="AR399" s="92"/>
      <c r="AS399" s="92"/>
      <c r="AT399" s="93"/>
      <c r="AU399" s="94"/>
      <c r="AV399" s="1844">
        <f t="shared" si="269"/>
        <v>0</v>
      </c>
      <c r="AW399" s="1844">
        <f t="shared" si="270"/>
        <v>0</v>
      </c>
      <c r="AX399" s="184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5"/>
      <c r="C400" s="1296"/>
      <c r="D400" s="80"/>
      <c r="E400" s="87">
        <f t="shared" si="265"/>
        <v>0</v>
      </c>
      <c r="F400" s="88"/>
      <c r="G400" s="89">
        <f t="shared" si="266"/>
        <v>0</v>
      </c>
      <c r="H400" s="90">
        <f t="shared" si="267"/>
        <v>0</v>
      </c>
      <c r="I400" s="1298"/>
      <c r="J400" s="91"/>
      <c r="K400" s="12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8"/>
      <c r="AG400" s="92"/>
      <c r="AH400" s="92"/>
      <c r="AI400" s="92"/>
      <c r="AJ400" s="92"/>
      <c r="AK400" s="92"/>
      <c r="AL400" s="92"/>
      <c r="AM400" s="92"/>
      <c r="AN400" s="92"/>
      <c r="AO400" s="92"/>
      <c r="AP400" s="92"/>
      <c r="AQ400" s="92"/>
      <c r="AR400" s="92"/>
      <c r="AS400" s="92"/>
      <c r="AT400" s="93"/>
      <c r="AU400" s="94"/>
      <c r="AV400" s="1844">
        <f t="shared" si="269"/>
        <v>0</v>
      </c>
      <c r="AW400" s="1844">
        <f t="shared" si="270"/>
        <v>0</v>
      </c>
      <c r="AX400" s="184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5"/>
      <c r="C401" s="1296"/>
      <c r="D401" s="80"/>
      <c r="E401" s="87">
        <f t="shared" si="265"/>
        <v>0</v>
      </c>
      <c r="F401" s="88"/>
      <c r="G401" s="89">
        <f t="shared" si="266"/>
        <v>0</v>
      </c>
      <c r="H401" s="90">
        <f t="shared" si="267"/>
        <v>0</v>
      </c>
      <c r="I401" s="1298"/>
      <c r="J401" s="91"/>
      <c r="K401" s="12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8"/>
      <c r="AG401" s="92"/>
      <c r="AH401" s="92"/>
      <c r="AI401" s="92"/>
      <c r="AJ401" s="92"/>
      <c r="AK401" s="92"/>
      <c r="AL401" s="92"/>
      <c r="AM401" s="92"/>
      <c r="AN401" s="92"/>
      <c r="AO401" s="92"/>
      <c r="AP401" s="92"/>
      <c r="AQ401" s="92"/>
      <c r="AR401" s="92"/>
      <c r="AS401" s="92"/>
      <c r="AT401" s="93"/>
      <c r="AU401" s="94"/>
      <c r="AV401" s="1844">
        <f t="shared" si="269"/>
        <v>0</v>
      </c>
      <c r="AW401" s="1844">
        <f t="shared" si="270"/>
        <v>0</v>
      </c>
      <c r="AX401" s="184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5"/>
      <c r="C402" s="1296"/>
      <c r="D402" s="80"/>
      <c r="E402" s="87">
        <f t="shared" si="265"/>
        <v>0</v>
      </c>
      <c r="F402" s="88"/>
      <c r="G402" s="89">
        <f t="shared" si="266"/>
        <v>0</v>
      </c>
      <c r="H402" s="90">
        <f t="shared" si="267"/>
        <v>0</v>
      </c>
      <c r="I402" s="1298"/>
      <c r="J402" s="91"/>
      <c r="K402" s="12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8"/>
      <c r="AG402" s="92"/>
      <c r="AH402" s="92"/>
      <c r="AI402" s="92"/>
      <c r="AJ402" s="92"/>
      <c r="AK402" s="92"/>
      <c r="AL402" s="92"/>
      <c r="AM402" s="92"/>
      <c r="AN402" s="92"/>
      <c r="AO402" s="92"/>
      <c r="AP402" s="92"/>
      <c r="AQ402" s="92"/>
      <c r="AR402" s="92"/>
      <c r="AS402" s="92"/>
      <c r="AT402" s="93"/>
      <c r="AU402" s="94"/>
      <c r="AV402" s="1844">
        <f t="shared" si="269"/>
        <v>0</v>
      </c>
      <c r="AW402" s="1844">
        <f t="shared" si="270"/>
        <v>0</v>
      </c>
      <c r="AX402" s="184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5"/>
      <c r="C403" s="1296"/>
      <c r="D403" s="80"/>
      <c r="E403" s="87">
        <f t="shared" si="265"/>
        <v>0</v>
      </c>
      <c r="F403" s="88"/>
      <c r="G403" s="89">
        <f t="shared" si="266"/>
        <v>0</v>
      </c>
      <c r="H403" s="90">
        <f t="shared" si="267"/>
        <v>0</v>
      </c>
      <c r="I403" s="1298"/>
      <c r="J403" s="91"/>
      <c r="K403" s="12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8"/>
      <c r="AG403" s="92"/>
      <c r="AH403" s="92"/>
      <c r="AI403" s="92"/>
      <c r="AJ403" s="92"/>
      <c r="AK403" s="92"/>
      <c r="AL403" s="92"/>
      <c r="AM403" s="92"/>
      <c r="AN403" s="92"/>
      <c r="AO403" s="92"/>
      <c r="AP403" s="92"/>
      <c r="AQ403" s="92"/>
      <c r="AR403" s="92"/>
      <c r="AS403" s="92"/>
      <c r="AT403" s="93"/>
      <c r="AU403" s="94"/>
      <c r="AV403" s="1844">
        <f t="shared" si="269"/>
        <v>0</v>
      </c>
      <c r="AW403" s="1844">
        <f t="shared" si="270"/>
        <v>0</v>
      </c>
      <c r="AX403" s="184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5"/>
      <c r="C404" s="1296"/>
      <c r="D404" s="80"/>
      <c r="E404" s="87">
        <f t="shared" si="265"/>
        <v>0</v>
      </c>
      <c r="F404" s="88"/>
      <c r="G404" s="89">
        <f t="shared" si="266"/>
        <v>0</v>
      </c>
      <c r="H404" s="90">
        <f t="shared" si="267"/>
        <v>0</v>
      </c>
      <c r="I404" s="1298"/>
      <c r="J404" s="91"/>
      <c r="K404" s="12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8"/>
      <c r="AG404" s="92"/>
      <c r="AH404" s="92"/>
      <c r="AI404" s="92"/>
      <c r="AJ404" s="92"/>
      <c r="AK404" s="92"/>
      <c r="AL404" s="92"/>
      <c r="AM404" s="92"/>
      <c r="AN404" s="92"/>
      <c r="AO404" s="92"/>
      <c r="AP404" s="92"/>
      <c r="AQ404" s="92"/>
      <c r="AR404" s="92"/>
      <c r="AS404" s="92"/>
      <c r="AT404" s="93"/>
      <c r="AU404" s="94"/>
      <c r="AV404" s="1844">
        <f t="shared" si="269"/>
        <v>0</v>
      </c>
      <c r="AW404" s="1844">
        <f t="shared" si="270"/>
        <v>0</v>
      </c>
      <c r="AX404" s="184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5"/>
      <c r="C405" s="1296"/>
      <c r="D405" s="80"/>
      <c r="E405" s="87">
        <f t="shared" si="265"/>
        <v>0</v>
      </c>
      <c r="F405" s="88"/>
      <c r="G405" s="89">
        <f t="shared" si="266"/>
        <v>0</v>
      </c>
      <c r="H405" s="90">
        <f t="shared" si="267"/>
        <v>0</v>
      </c>
      <c r="I405" s="1298"/>
      <c r="J405" s="91"/>
      <c r="K405" s="12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8"/>
      <c r="AG405" s="92"/>
      <c r="AH405" s="92"/>
      <c r="AI405" s="92"/>
      <c r="AJ405" s="92"/>
      <c r="AK405" s="92"/>
      <c r="AL405" s="92"/>
      <c r="AM405" s="92"/>
      <c r="AN405" s="92"/>
      <c r="AO405" s="92"/>
      <c r="AP405" s="92"/>
      <c r="AQ405" s="92"/>
      <c r="AR405" s="92"/>
      <c r="AS405" s="92"/>
      <c r="AT405" s="93"/>
      <c r="AU405" s="94"/>
      <c r="AV405" s="1844">
        <f t="shared" si="269"/>
        <v>0</v>
      </c>
      <c r="AW405" s="1844">
        <f t="shared" si="270"/>
        <v>0</v>
      </c>
      <c r="AX405" s="184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5"/>
      <c r="C406" s="1296"/>
      <c r="D406" s="80"/>
      <c r="E406" s="87">
        <f t="shared" si="265"/>
        <v>0</v>
      </c>
      <c r="F406" s="88"/>
      <c r="G406" s="89">
        <f t="shared" si="266"/>
        <v>0</v>
      </c>
      <c r="H406" s="90">
        <f t="shared" si="267"/>
        <v>0</v>
      </c>
      <c r="I406" s="1298"/>
      <c r="J406" s="91"/>
      <c r="K406" s="12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8"/>
      <c r="AG406" s="92"/>
      <c r="AH406" s="92"/>
      <c r="AI406" s="92"/>
      <c r="AJ406" s="92"/>
      <c r="AK406" s="92"/>
      <c r="AL406" s="92"/>
      <c r="AM406" s="92"/>
      <c r="AN406" s="92"/>
      <c r="AO406" s="92"/>
      <c r="AP406" s="92"/>
      <c r="AQ406" s="92"/>
      <c r="AR406" s="92"/>
      <c r="AS406" s="92"/>
      <c r="AT406" s="93"/>
      <c r="AU406" s="94"/>
      <c r="AV406" s="1844">
        <f t="shared" si="269"/>
        <v>0</v>
      </c>
      <c r="AW406" s="1844">
        <f t="shared" si="270"/>
        <v>0</v>
      </c>
      <c r="AX406" s="184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5"/>
      <c r="C407" s="1296"/>
      <c r="D407" s="80"/>
      <c r="E407" s="87">
        <f t="shared" si="265"/>
        <v>0</v>
      </c>
      <c r="F407" s="88"/>
      <c r="G407" s="89">
        <f t="shared" si="266"/>
        <v>0</v>
      </c>
      <c r="H407" s="90">
        <f t="shared" si="267"/>
        <v>0</v>
      </c>
      <c r="I407" s="1298"/>
      <c r="J407" s="91"/>
      <c r="K407" s="12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8"/>
      <c r="AG407" s="92"/>
      <c r="AH407" s="92"/>
      <c r="AI407" s="92"/>
      <c r="AJ407" s="92"/>
      <c r="AK407" s="92"/>
      <c r="AL407" s="92"/>
      <c r="AM407" s="92"/>
      <c r="AN407" s="92"/>
      <c r="AO407" s="92"/>
      <c r="AP407" s="92"/>
      <c r="AQ407" s="92"/>
      <c r="AR407" s="92"/>
      <c r="AS407" s="92"/>
      <c r="AT407" s="93"/>
      <c r="AU407" s="94"/>
      <c r="AV407" s="1844">
        <f t="shared" si="269"/>
        <v>0</v>
      </c>
      <c r="AW407" s="1844">
        <f t="shared" si="270"/>
        <v>0</v>
      </c>
      <c r="AX407" s="184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5"/>
      <c r="C408" s="1296"/>
      <c r="D408" s="80"/>
      <c r="E408" s="87">
        <f t="shared" si="265"/>
        <v>0</v>
      </c>
      <c r="F408" s="88"/>
      <c r="G408" s="89">
        <f t="shared" si="266"/>
        <v>0</v>
      </c>
      <c r="H408" s="90">
        <f t="shared" si="267"/>
        <v>0</v>
      </c>
      <c r="I408" s="1298"/>
      <c r="J408" s="91"/>
      <c r="K408" s="12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8"/>
      <c r="AG408" s="92"/>
      <c r="AH408" s="92"/>
      <c r="AI408" s="92"/>
      <c r="AJ408" s="92"/>
      <c r="AK408" s="92"/>
      <c r="AL408" s="92"/>
      <c r="AM408" s="92"/>
      <c r="AN408" s="92"/>
      <c r="AO408" s="92"/>
      <c r="AP408" s="92"/>
      <c r="AQ408" s="92"/>
      <c r="AR408" s="92"/>
      <c r="AS408" s="92"/>
      <c r="AT408" s="93"/>
      <c r="AU408" s="94"/>
      <c r="AV408" s="1844">
        <f t="shared" si="269"/>
        <v>0</v>
      </c>
      <c r="AW408" s="1844">
        <f t="shared" si="270"/>
        <v>0</v>
      </c>
      <c r="AX408" s="184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5"/>
      <c r="C409" s="1296"/>
      <c r="D409" s="80"/>
      <c r="E409" s="87">
        <f t="shared" si="265"/>
        <v>0</v>
      </c>
      <c r="F409" s="88"/>
      <c r="G409" s="89">
        <f t="shared" si="266"/>
        <v>0</v>
      </c>
      <c r="H409" s="90">
        <f t="shared" si="267"/>
        <v>0</v>
      </c>
      <c r="I409" s="1298"/>
      <c r="J409" s="91"/>
      <c r="K409" s="12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8"/>
      <c r="AG409" s="92"/>
      <c r="AH409" s="92"/>
      <c r="AI409" s="92"/>
      <c r="AJ409" s="92"/>
      <c r="AK409" s="92"/>
      <c r="AL409" s="92"/>
      <c r="AM409" s="92"/>
      <c r="AN409" s="92"/>
      <c r="AO409" s="92"/>
      <c r="AP409" s="92"/>
      <c r="AQ409" s="92"/>
      <c r="AR409" s="92"/>
      <c r="AS409" s="92"/>
      <c r="AT409" s="93"/>
      <c r="AU409" s="94"/>
      <c r="AV409" s="1844">
        <f t="shared" si="269"/>
        <v>0</v>
      </c>
      <c r="AW409" s="1844">
        <f t="shared" si="270"/>
        <v>0</v>
      </c>
      <c r="AX409" s="184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5"/>
      <c r="C410" s="1296"/>
      <c r="D410" s="80"/>
      <c r="E410" s="87">
        <f t="shared" si="265"/>
        <v>0</v>
      </c>
      <c r="F410" s="88"/>
      <c r="G410" s="89">
        <f t="shared" si="266"/>
        <v>0</v>
      </c>
      <c r="H410" s="90">
        <f t="shared" si="267"/>
        <v>0</v>
      </c>
      <c r="I410" s="1298"/>
      <c r="J410" s="91"/>
      <c r="K410" s="12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8"/>
      <c r="AG410" s="92"/>
      <c r="AH410" s="92"/>
      <c r="AI410" s="92"/>
      <c r="AJ410" s="92"/>
      <c r="AK410" s="92"/>
      <c r="AL410" s="92"/>
      <c r="AM410" s="92"/>
      <c r="AN410" s="92"/>
      <c r="AO410" s="92"/>
      <c r="AP410" s="92"/>
      <c r="AQ410" s="92"/>
      <c r="AR410" s="92"/>
      <c r="AS410" s="92"/>
      <c r="AT410" s="93"/>
      <c r="AU410" s="94"/>
      <c r="AV410" s="1844">
        <f t="shared" si="269"/>
        <v>0</v>
      </c>
      <c r="AW410" s="1844">
        <f t="shared" si="270"/>
        <v>0</v>
      </c>
      <c r="AX410" s="184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5"/>
      <c r="C411" s="1296"/>
      <c r="D411" s="80"/>
      <c r="E411" s="87">
        <f t="shared" si="265"/>
        <v>0</v>
      </c>
      <c r="F411" s="88"/>
      <c r="G411" s="89">
        <f t="shared" si="266"/>
        <v>0</v>
      </c>
      <c r="H411" s="90">
        <f t="shared" si="267"/>
        <v>0</v>
      </c>
      <c r="I411" s="1298"/>
      <c r="J411" s="91"/>
      <c r="K411" s="12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8"/>
      <c r="AG411" s="92"/>
      <c r="AH411" s="92"/>
      <c r="AI411" s="92"/>
      <c r="AJ411" s="92"/>
      <c r="AK411" s="92"/>
      <c r="AL411" s="92"/>
      <c r="AM411" s="92"/>
      <c r="AN411" s="92"/>
      <c r="AO411" s="92"/>
      <c r="AP411" s="92"/>
      <c r="AQ411" s="92"/>
      <c r="AR411" s="92"/>
      <c r="AS411" s="92"/>
      <c r="AT411" s="93"/>
      <c r="AU411" s="94"/>
      <c r="AV411" s="1844">
        <f t="shared" si="269"/>
        <v>0</v>
      </c>
      <c r="AW411" s="1844">
        <f t="shared" si="270"/>
        <v>0</v>
      </c>
      <c r="AX411" s="184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5"/>
      <c r="C412" s="1296"/>
      <c r="D412" s="80"/>
      <c r="E412" s="87">
        <f t="shared" si="265"/>
        <v>0</v>
      </c>
      <c r="F412" s="88"/>
      <c r="G412" s="89">
        <f t="shared" si="266"/>
        <v>0</v>
      </c>
      <c r="H412" s="90">
        <f t="shared" si="267"/>
        <v>0</v>
      </c>
      <c r="I412" s="1298"/>
      <c r="J412" s="91"/>
      <c r="K412" s="12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8"/>
      <c r="AG412" s="92"/>
      <c r="AH412" s="92"/>
      <c r="AI412" s="92"/>
      <c r="AJ412" s="92"/>
      <c r="AK412" s="92"/>
      <c r="AL412" s="92"/>
      <c r="AM412" s="92"/>
      <c r="AN412" s="92"/>
      <c r="AO412" s="92"/>
      <c r="AP412" s="92"/>
      <c r="AQ412" s="92"/>
      <c r="AR412" s="92"/>
      <c r="AS412" s="92"/>
      <c r="AT412" s="93"/>
      <c r="AU412" s="94"/>
      <c r="AV412" s="1844">
        <f t="shared" si="269"/>
        <v>0</v>
      </c>
      <c r="AW412" s="1844">
        <f t="shared" si="270"/>
        <v>0</v>
      </c>
      <c r="AX412" s="184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5"/>
      <c r="C413" s="1296"/>
      <c r="D413" s="80"/>
      <c r="E413" s="87">
        <f t="shared" si="265"/>
        <v>0</v>
      </c>
      <c r="F413" s="88"/>
      <c r="G413" s="89">
        <f t="shared" si="266"/>
        <v>0</v>
      </c>
      <c r="H413" s="90">
        <f t="shared" si="267"/>
        <v>0</v>
      </c>
      <c r="I413" s="1298"/>
      <c r="J413" s="91"/>
      <c r="K413" s="12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8"/>
      <c r="AG413" s="92"/>
      <c r="AH413" s="92"/>
      <c r="AI413" s="92"/>
      <c r="AJ413" s="92"/>
      <c r="AK413" s="92"/>
      <c r="AL413" s="92"/>
      <c r="AM413" s="92"/>
      <c r="AN413" s="92"/>
      <c r="AO413" s="92"/>
      <c r="AP413" s="92"/>
      <c r="AQ413" s="92"/>
      <c r="AR413" s="92"/>
      <c r="AS413" s="92"/>
      <c r="AT413" s="93"/>
      <c r="AU413" s="94"/>
      <c r="AV413" s="1844">
        <f t="shared" si="269"/>
        <v>0</v>
      </c>
      <c r="AW413" s="1844">
        <f t="shared" si="270"/>
        <v>0</v>
      </c>
      <c r="AX413" s="184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5"/>
      <c r="C414" s="1296"/>
      <c r="D414" s="80"/>
      <c r="E414" s="87">
        <f t="shared" si="265"/>
        <v>0</v>
      </c>
      <c r="F414" s="88"/>
      <c r="G414" s="89">
        <f t="shared" si="266"/>
        <v>0</v>
      </c>
      <c r="H414" s="90">
        <f t="shared" si="267"/>
        <v>0</v>
      </c>
      <c r="I414" s="1298"/>
      <c r="J414" s="91"/>
      <c r="K414" s="12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8"/>
      <c r="AG414" s="92"/>
      <c r="AH414" s="92"/>
      <c r="AI414" s="92"/>
      <c r="AJ414" s="92"/>
      <c r="AK414" s="92"/>
      <c r="AL414" s="92"/>
      <c r="AM414" s="92"/>
      <c r="AN414" s="92"/>
      <c r="AO414" s="92"/>
      <c r="AP414" s="92"/>
      <c r="AQ414" s="92"/>
      <c r="AR414" s="92"/>
      <c r="AS414" s="92"/>
      <c r="AT414" s="93"/>
      <c r="AU414" s="94"/>
      <c r="AV414" s="1844">
        <f t="shared" si="269"/>
        <v>0</v>
      </c>
      <c r="AW414" s="1844">
        <f t="shared" si="270"/>
        <v>0</v>
      </c>
      <c r="AX414" s="184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5"/>
      <c r="C415" s="1296"/>
      <c r="D415" s="80"/>
      <c r="E415" s="87">
        <f t="shared" si="265"/>
        <v>0</v>
      </c>
      <c r="F415" s="88"/>
      <c r="G415" s="89">
        <f t="shared" si="266"/>
        <v>0</v>
      </c>
      <c r="H415" s="90">
        <f t="shared" si="267"/>
        <v>0</v>
      </c>
      <c r="I415" s="1298"/>
      <c r="J415" s="91"/>
      <c r="K415" s="12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6"/>
      <c r="AG415" s="92"/>
      <c r="AH415" s="92"/>
      <c r="AI415" s="92"/>
      <c r="AJ415" s="92"/>
      <c r="AK415" s="92"/>
      <c r="AL415" s="92"/>
      <c r="AM415" s="92"/>
      <c r="AN415" s="92"/>
      <c r="AO415" s="92"/>
      <c r="AP415" s="92"/>
      <c r="AQ415" s="92"/>
      <c r="AR415" s="92"/>
      <c r="AS415" s="92"/>
      <c r="AT415" s="93"/>
      <c r="AU415" s="94"/>
      <c r="AV415" s="1844">
        <f t="shared" si="269"/>
        <v>0</v>
      </c>
      <c r="AW415" s="1844">
        <f t="shared" si="270"/>
        <v>0</v>
      </c>
      <c r="AX415" s="184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5"/>
      <c r="C416" s="1296"/>
      <c r="D416" s="80"/>
      <c r="E416" s="87">
        <f t="shared" si="265"/>
        <v>0</v>
      </c>
      <c r="F416" s="88"/>
      <c r="G416" s="89">
        <f t="shared" si="266"/>
        <v>0</v>
      </c>
      <c r="H416" s="90">
        <f t="shared" si="267"/>
        <v>0</v>
      </c>
      <c r="I416" s="1296"/>
      <c r="J416" s="91"/>
      <c r="K416" s="12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6"/>
      <c r="AG416" s="92"/>
      <c r="AH416" s="92"/>
      <c r="AI416" s="92"/>
      <c r="AJ416" s="92"/>
      <c r="AK416" s="92"/>
      <c r="AL416" s="92"/>
      <c r="AM416" s="92"/>
      <c r="AN416" s="92"/>
      <c r="AO416" s="92"/>
      <c r="AP416" s="92"/>
      <c r="AQ416" s="92"/>
      <c r="AR416" s="92"/>
      <c r="AS416" s="92"/>
      <c r="AT416" s="93"/>
      <c r="AU416" s="94"/>
      <c r="AV416" s="1844">
        <f t="shared" si="269"/>
        <v>0</v>
      </c>
      <c r="AW416" s="1844">
        <f t="shared" si="270"/>
        <v>0</v>
      </c>
      <c r="AX416" s="184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5"/>
      <c r="C417" s="1296"/>
      <c r="D417" s="80"/>
      <c r="E417" s="87">
        <f t="shared" si="265"/>
        <v>0</v>
      </c>
      <c r="F417" s="88"/>
      <c r="G417" s="89">
        <f t="shared" si="266"/>
        <v>0</v>
      </c>
      <c r="H417" s="90">
        <f t="shared" si="267"/>
        <v>0</v>
      </c>
      <c r="I417" s="1296"/>
      <c r="J417" s="91"/>
      <c r="K417" s="12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6"/>
      <c r="AG417" s="92"/>
      <c r="AH417" s="92"/>
      <c r="AI417" s="92"/>
      <c r="AJ417" s="92"/>
      <c r="AK417" s="92"/>
      <c r="AL417" s="92"/>
      <c r="AM417" s="92"/>
      <c r="AN417" s="92"/>
      <c r="AO417" s="92"/>
      <c r="AP417" s="92"/>
      <c r="AQ417" s="92"/>
      <c r="AR417" s="92"/>
      <c r="AS417" s="92"/>
      <c r="AT417" s="93"/>
      <c r="AU417" s="94"/>
      <c r="AV417" s="1844">
        <f t="shared" si="269"/>
        <v>0</v>
      </c>
      <c r="AW417" s="1844">
        <f t="shared" si="270"/>
        <v>0</v>
      </c>
      <c r="AX417" s="184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5"/>
      <c r="C418" s="1296"/>
      <c r="D418" s="80"/>
      <c r="E418" s="87">
        <f t="shared" si="265"/>
        <v>0</v>
      </c>
      <c r="F418" s="88"/>
      <c r="G418" s="89">
        <f t="shared" si="266"/>
        <v>0</v>
      </c>
      <c r="H418" s="90">
        <f t="shared" si="267"/>
        <v>0</v>
      </c>
      <c r="I418" s="1296"/>
      <c r="J418" s="91"/>
      <c r="K418" s="12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6"/>
      <c r="AG418" s="92"/>
      <c r="AH418" s="92"/>
      <c r="AI418" s="92"/>
      <c r="AJ418" s="92"/>
      <c r="AK418" s="92"/>
      <c r="AL418" s="92"/>
      <c r="AM418" s="92"/>
      <c r="AN418" s="92"/>
      <c r="AO418" s="92"/>
      <c r="AP418" s="92"/>
      <c r="AQ418" s="92"/>
      <c r="AR418" s="92"/>
      <c r="AS418" s="92"/>
      <c r="AT418" s="93"/>
      <c r="AU418" s="94"/>
      <c r="AV418" s="1844">
        <f t="shared" si="269"/>
        <v>0</v>
      </c>
      <c r="AW418" s="1844">
        <f t="shared" si="270"/>
        <v>0</v>
      </c>
      <c r="AX418" s="184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5"/>
      <c r="C419" s="1296"/>
      <c r="D419" s="80"/>
      <c r="E419" s="87">
        <f t="shared" si="265"/>
        <v>0</v>
      </c>
      <c r="F419" s="88"/>
      <c r="G419" s="89">
        <f t="shared" si="266"/>
        <v>0</v>
      </c>
      <c r="H419" s="90">
        <f t="shared" si="267"/>
        <v>0</v>
      </c>
      <c r="I419" s="1296"/>
      <c r="J419" s="91"/>
      <c r="K419" s="12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6"/>
      <c r="AG419" s="92"/>
      <c r="AH419" s="92"/>
      <c r="AI419" s="92"/>
      <c r="AJ419" s="92"/>
      <c r="AK419" s="92"/>
      <c r="AL419" s="92"/>
      <c r="AM419" s="92"/>
      <c r="AN419" s="92"/>
      <c r="AO419" s="92"/>
      <c r="AP419" s="92"/>
      <c r="AQ419" s="92"/>
      <c r="AR419" s="92"/>
      <c r="AS419" s="92"/>
      <c r="AT419" s="93"/>
      <c r="AU419" s="94"/>
      <c r="AV419" s="1844">
        <f t="shared" si="269"/>
        <v>0</v>
      </c>
      <c r="AW419" s="1844">
        <f t="shared" si="270"/>
        <v>0</v>
      </c>
      <c r="AX419" s="184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5"/>
      <c r="C420" s="1296"/>
      <c r="D420" s="80"/>
      <c r="E420" s="87">
        <f t="shared" si="265"/>
        <v>0</v>
      </c>
      <c r="F420" s="88"/>
      <c r="G420" s="89">
        <f t="shared" si="266"/>
        <v>0</v>
      </c>
      <c r="H420" s="90">
        <f t="shared" si="267"/>
        <v>0</v>
      </c>
      <c r="I420" s="1296"/>
      <c r="J420" s="91"/>
      <c r="K420" s="12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6"/>
      <c r="AG420" s="92"/>
      <c r="AH420" s="92"/>
      <c r="AI420" s="92"/>
      <c r="AJ420" s="92"/>
      <c r="AK420" s="92"/>
      <c r="AL420" s="92"/>
      <c r="AM420" s="92"/>
      <c r="AN420" s="92"/>
      <c r="AO420" s="92"/>
      <c r="AP420" s="92"/>
      <c r="AQ420" s="92"/>
      <c r="AR420" s="92"/>
      <c r="AS420" s="92"/>
      <c r="AT420" s="93"/>
      <c r="AU420" s="94"/>
      <c r="AV420" s="1844">
        <f t="shared" si="269"/>
        <v>0</v>
      </c>
      <c r="AW420" s="1844">
        <f t="shared" si="270"/>
        <v>0</v>
      </c>
      <c r="AX420" s="184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5"/>
      <c r="C421" s="1296"/>
      <c r="D421" s="80"/>
      <c r="E421" s="87">
        <f t="shared" si="265"/>
        <v>0</v>
      </c>
      <c r="F421" s="88"/>
      <c r="G421" s="89">
        <f t="shared" si="266"/>
        <v>0</v>
      </c>
      <c r="H421" s="90">
        <f t="shared" si="267"/>
        <v>0</v>
      </c>
      <c r="I421" s="1296"/>
      <c r="J421" s="91"/>
      <c r="K421" s="12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6"/>
      <c r="AG421" s="92"/>
      <c r="AH421" s="92"/>
      <c r="AI421" s="92"/>
      <c r="AJ421" s="92"/>
      <c r="AK421" s="92"/>
      <c r="AL421" s="92"/>
      <c r="AM421" s="92"/>
      <c r="AN421" s="92"/>
      <c r="AO421" s="92"/>
      <c r="AP421" s="92"/>
      <c r="AQ421" s="92"/>
      <c r="AR421" s="92"/>
      <c r="AS421" s="92"/>
      <c r="AT421" s="93"/>
      <c r="AU421" s="94"/>
      <c r="AV421" s="1844">
        <f t="shared" si="269"/>
        <v>0</v>
      </c>
      <c r="AW421" s="1844">
        <f t="shared" si="270"/>
        <v>0</v>
      </c>
      <c r="AX421" s="184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5"/>
      <c r="C422" s="1296"/>
      <c r="D422" s="80"/>
      <c r="E422" s="87">
        <f t="shared" si="265"/>
        <v>0</v>
      </c>
      <c r="F422" s="88"/>
      <c r="G422" s="89">
        <f t="shared" si="266"/>
        <v>0</v>
      </c>
      <c r="H422" s="90">
        <f t="shared" si="267"/>
        <v>0</v>
      </c>
      <c r="I422" s="1296"/>
      <c r="J422" s="91"/>
      <c r="K422" s="12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6"/>
      <c r="AG422" s="92"/>
      <c r="AH422" s="92"/>
      <c r="AI422" s="92"/>
      <c r="AJ422" s="92"/>
      <c r="AK422" s="92"/>
      <c r="AL422" s="92"/>
      <c r="AM422" s="92"/>
      <c r="AN422" s="92"/>
      <c r="AO422" s="92"/>
      <c r="AP422" s="92"/>
      <c r="AQ422" s="92"/>
      <c r="AR422" s="92"/>
      <c r="AS422" s="92"/>
      <c r="AT422" s="93"/>
      <c r="AU422" s="94"/>
      <c r="AV422" s="1844">
        <f t="shared" si="269"/>
        <v>0</v>
      </c>
      <c r="AW422" s="1844">
        <f t="shared" si="270"/>
        <v>0</v>
      </c>
      <c r="AX422" s="184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7"/>
      <c r="C423" s="1298"/>
      <c r="D423" s="80"/>
      <c r="E423" s="87">
        <f t="shared" si="265"/>
        <v>0</v>
      </c>
      <c r="F423" s="88"/>
      <c r="G423" s="89">
        <f t="shared" si="266"/>
        <v>0</v>
      </c>
      <c r="H423" s="90">
        <f t="shared" si="267"/>
        <v>0</v>
      </c>
      <c r="I423" s="1296"/>
      <c r="J423" s="91"/>
      <c r="K423" s="1296"/>
      <c r="L423" s="91"/>
      <c r="M423" s="1296"/>
      <c r="N423" s="91"/>
      <c r="O423" s="91"/>
      <c r="P423" s="91"/>
      <c r="Q423" s="91"/>
      <c r="R423" s="91"/>
      <c r="S423" s="91"/>
      <c r="T423" s="91"/>
      <c r="U423" s="91"/>
      <c r="V423" s="91"/>
      <c r="W423" s="91"/>
      <c r="X423" s="91"/>
      <c r="Y423" s="91"/>
      <c r="Z423" s="91"/>
      <c r="AA423" s="91"/>
      <c r="AB423" s="91"/>
      <c r="AC423" s="87">
        <f t="shared" si="268"/>
        <v>0</v>
      </c>
      <c r="AD423" s="92"/>
      <c r="AE423" s="92"/>
      <c r="AF423" s="1296"/>
      <c r="AG423" s="92"/>
      <c r="AH423" s="92"/>
      <c r="AI423" s="92"/>
      <c r="AJ423" s="92"/>
      <c r="AK423" s="92"/>
      <c r="AL423" s="92"/>
      <c r="AM423" s="92"/>
      <c r="AN423" s="92"/>
      <c r="AO423" s="92"/>
      <c r="AP423" s="92"/>
      <c r="AQ423" s="92"/>
      <c r="AR423" s="92"/>
      <c r="AS423" s="92"/>
      <c r="AT423" s="93"/>
      <c r="AU423" s="94"/>
      <c r="AV423" s="1844">
        <f t="shared" si="269"/>
        <v>0</v>
      </c>
      <c r="AW423" s="1844">
        <f t="shared" si="270"/>
        <v>0</v>
      </c>
      <c r="AX423" s="184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4">
        <f t="shared" si="269"/>
        <v>0</v>
      </c>
      <c r="AW424" s="1844">
        <f t="shared" si="270"/>
        <v>0</v>
      </c>
      <c r="AX424" s="184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4">
        <f t="shared" si="269"/>
        <v>0</v>
      </c>
      <c r="AW425" s="1844">
        <f t="shared" si="270"/>
        <v>0</v>
      </c>
      <c r="AX425" s="184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4">
        <f t="shared" si="269"/>
        <v>0</v>
      </c>
      <c r="AW426" s="1844">
        <f t="shared" si="270"/>
        <v>0</v>
      </c>
      <c r="AX426" s="184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4">
        <f t="shared" si="269"/>
        <v>0</v>
      </c>
      <c r="AW427" s="1844">
        <f t="shared" si="270"/>
        <v>0</v>
      </c>
      <c r="AX427" s="184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4">
        <f t="shared" si="269"/>
        <v>0</v>
      </c>
      <c r="AW428" s="1844">
        <f t="shared" si="270"/>
        <v>0</v>
      </c>
      <c r="AX428" s="184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4">
        <f t="shared" si="269"/>
        <v>0</v>
      </c>
      <c r="AW429" s="1844">
        <f t="shared" si="270"/>
        <v>0</v>
      </c>
      <c r="AX429" s="184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4">
        <f t="shared" si="269"/>
        <v>0</v>
      </c>
      <c r="AW430" s="1844">
        <f t="shared" si="270"/>
        <v>0</v>
      </c>
      <c r="AX430" s="184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4">
        <f t="shared" si="269"/>
        <v>0</v>
      </c>
      <c r="AW431" s="1844">
        <f t="shared" si="270"/>
        <v>0</v>
      </c>
      <c r="AX431" s="184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4">
        <f t="shared" si="269"/>
        <v>0</v>
      </c>
      <c r="AW432" s="1844">
        <f t="shared" si="270"/>
        <v>0</v>
      </c>
      <c r="AX432" s="184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4">
        <f t="shared" si="269"/>
        <v>0</v>
      </c>
      <c r="AW433" s="1844">
        <f t="shared" si="270"/>
        <v>0</v>
      </c>
      <c r="AX433" s="184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4">
        <f t="shared" si="269"/>
        <v>0</v>
      </c>
      <c r="AW434" s="1844">
        <f t="shared" si="270"/>
        <v>0</v>
      </c>
      <c r="AX434" s="184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4">
        <f t="shared" si="269"/>
        <v>0</v>
      </c>
      <c r="AW435" s="1844">
        <f t="shared" si="270"/>
        <v>0</v>
      </c>
      <c r="AX435" s="184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4">
        <f t="shared" si="269"/>
        <v>0</v>
      </c>
      <c r="AW436" s="1844">
        <f t="shared" si="270"/>
        <v>0</v>
      </c>
      <c r="AX436" s="184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4">
        <f t="shared" si="269"/>
        <v>0</v>
      </c>
      <c r="AW437" s="1844">
        <f t="shared" si="270"/>
        <v>0</v>
      </c>
      <c r="AX437" s="184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4">
        <f t="shared" si="269"/>
        <v>0</v>
      </c>
      <c r="AW438" s="1844">
        <f t="shared" si="270"/>
        <v>0</v>
      </c>
      <c r="AX438" s="184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4">
        <f t="shared" si="269"/>
        <v>0</v>
      </c>
      <c r="AW439" s="1844">
        <f t="shared" si="270"/>
        <v>0</v>
      </c>
      <c r="AX439" s="184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4">
        <f t="shared" si="269"/>
        <v>0</v>
      </c>
      <c r="AW440" s="1844">
        <f t="shared" si="270"/>
        <v>0</v>
      </c>
      <c r="AX440" s="184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4">
        <f t="shared" si="269"/>
        <v>0</v>
      </c>
      <c r="AW441" s="1844">
        <f t="shared" si="270"/>
        <v>0</v>
      </c>
      <c r="AX441" s="184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4">
        <f t="shared" si="269"/>
        <v>0</v>
      </c>
      <c r="AW442" s="1844">
        <f t="shared" si="270"/>
        <v>0</v>
      </c>
      <c r="AX442" s="184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4">
        <f t="shared" si="269"/>
        <v>0</v>
      </c>
      <c r="AW443" s="1844">
        <f t="shared" si="270"/>
        <v>0</v>
      </c>
      <c r="AX443" s="184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4">
        <f t="shared" si="269"/>
        <v>0</v>
      </c>
      <c r="AW444" s="1844">
        <f t="shared" si="270"/>
        <v>0</v>
      </c>
      <c r="AX444" s="184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4">
        <f t="shared" si="269"/>
        <v>0</v>
      </c>
      <c r="AW445" s="1844">
        <f t="shared" si="270"/>
        <v>0</v>
      </c>
      <c r="AX445" s="184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4">
        <f t="shared" si="269"/>
        <v>0</v>
      </c>
      <c r="AW446" s="1844">
        <f t="shared" si="270"/>
        <v>0</v>
      </c>
      <c r="AX446" s="184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4">
        <f t="shared" si="269"/>
        <v>0</v>
      </c>
      <c r="AW447" s="1844">
        <f t="shared" si="270"/>
        <v>0</v>
      </c>
      <c r="AX447" s="184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4">
        <f t="shared" si="269"/>
        <v>0</v>
      </c>
      <c r="AW448" s="1844">
        <f t="shared" si="270"/>
        <v>0</v>
      </c>
      <c r="AX448" s="184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4">
        <f t="shared" si="269"/>
        <v>0</v>
      </c>
      <c r="AW449" s="1844">
        <f t="shared" si="270"/>
        <v>0</v>
      </c>
      <c r="AX449" s="184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4">
        <f t="shared" si="269"/>
        <v>0</v>
      </c>
      <c r="AW450" s="1844">
        <f t="shared" si="270"/>
        <v>0</v>
      </c>
      <c r="AX450" s="184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4">
        <f t="shared" si="269"/>
        <v>0</v>
      </c>
      <c r="AW451" s="1844">
        <f t="shared" si="270"/>
        <v>0</v>
      </c>
      <c r="AX451" s="184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4">
        <f t="shared" si="269"/>
        <v>0</v>
      </c>
      <c r="AW452" s="1844">
        <f t="shared" si="270"/>
        <v>0</v>
      </c>
      <c r="AX452" s="184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4">
        <f t="shared" si="269"/>
        <v>0</v>
      </c>
      <c r="AW453" s="1844">
        <f t="shared" si="270"/>
        <v>0</v>
      </c>
      <c r="AX453" s="184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4">
        <f t="shared" si="269"/>
        <v>0</v>
      </c>
      <c r="AW454" s="1844">
        <f t="shared" si="270"/>
        <v>0</v>
      </c>
      <c r="AX454" s="184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4">
        <f t="shared" si="269"/>
        <v>0</v>
      </c>
      <c r="AW455" s="1844">
        <f t="shared" si="270"/>
        <v>0</v>
      </c>
      <c r="AX455" s="184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4">
        <f t="shared" si="269"/>
        <v>0</v>
      </c>
      <c r="AW456" s="1844">
        <f t="shared" si="270"/>
        <v>0</v>
      </c>
      <c r="AX456" s="184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4">
        <f t="shared" si="269"/>
        <v>0</v>
      </c>
      <c r="AW457" s="1844">
        <f t="shared" si="270"/>
        <v>0</v>
      </c>
      <c r="AX457" s="184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4">
        <f t="shared" si="269"/>
        <v>0</v>
      </c>
      <c r="AW458" s="1844">
        <f t="shared" si="270"/>
        <v>0</v>
      </c>
      <c r="AX458" s="184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4">
        <f t="shared" si="269"/>
        <v>0</v>
      </c>
      <c r="AW459" s="1844">
        <f t="shared" si="270"/>
        <v>0</v>
      </c>
      <c r="AX459" s="184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4">
        <f t="shared" si="269"/>
        <v>0</v>
      </c>
      <c r="AW460" s="1844">
        <f t="shared" si="270"/>
        <v>0</v>
      </c>
      <c r="AX460" s="184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4">
        <f t="shared" si="269"/>
        <v>0</v>
      </c>
      <c r="AW461" s="1844">
        <f t="shared" si="270"/>
        <v>0</v>
      </c>
      <c r="AX461" s="184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4">
        <f t="shared" si="269"/>
        <v>0</v>
      </c>
      <c r="AW462" s="1844">
        <f t="shared" si="270"/>
        <v>0</v>
      </c>
      <c r="AX462" s="184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4">
        <f t="shared" si="269"/>
        <v>0</v>
      </c>
      <c r="AW463" s="1844">
        <f t="shared" si="270"/>
        <v>0</v>
      </c>
      <c r="AX463" s="184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4">
        <f t="shared" si="269"/>
        <v>0</v>
      </c>
      <c r="AW464" s="1844">
        <f t="shared" si="270"/>
        <v>0</v>
      </c>
      <c r="AX464" s="184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4">
        <f t="shared" si="269"/>
        <v>0</v>
      </c>
      <c r="AW465" s="1844">
        <f t="shared" si="270"/>
        <v>0</v>
      </c>
      <c r="AX465" s="184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4">
        <f t="shared" si="269"/>
        <v>0</v>
      </c>
      <c r="AW466" s="1844">
        <f t="shared" si="270"/>
        <v>0</v>
      </c>
      <c r="AX466" s="184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4">
        <f t="shared" si="269"/>
        <v>0</v>
      </c>
      <c r="AW467" s="1844">
        <f t="shared" si="270"/>
        <v>0</v>
      </c>
      <c r="AX467" s="184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4">
        <f t="shared" si="269"/>
        <v>0</v>
      </c>
      <c r="AW468" s="1844">
        <f t="shared" si="270"/>
        <v>0</v>
      </c>
      <c r="AX468" s="184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4">
        <f t="shared" si="269"/>
        <v>0</v>
      </c>
      <c r="AW469" s="1844">
        <f t="shared" si="270"/>
        <v>0</v>
      </c>
      <c r="AX469" s="184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4">
        <f t="shared" si="269"/>
        <v>0</v>
      </c>
      <c r="AW470" s="1844">
        <f t="shared" si="270"/>
        <v>0</v>
      </c>
      <c r="AX470" s="184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4">
        <f t="shared" si="269"/>
        <v>0</v>
      </c>
      <c r="AW471" s="1844">
        <f t="shared" si="270"/>
        <v>0</v>
      </c>
      <c r="AX471" s="184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4">
        <f t="shared" si="269"/>
        <v>0</v>
      </c>
      <c r="AW472" s="1844">
        <f t="shared" si="270"/>
        <v>0</v>
      </c>
      <c r="AX472" s="184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4">
        <f t="shared" si="269"/>
        <v>0</v>
      </c>
      <c r="AW473" s="1844">
        <f t="shared" si="270"/>
        <v>0</v>
      </c>
      <c r="AX473" s="184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4">
        <f t="shared" si="269"/>
        <v>0</v>
      </c>
      <c r="AW474" s="1844">
        <f t="shared" si="270"/>
        <v>0</v>
      </c>
      <c r="AX474" s="184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4">
        <f t="shared" si="269"/>
        <v>0</v>
      </c>
      <c r="AW475" s="1844">
        <f t="shared" si="270"/>
        <v>0</v>
      </c>
      <c r="AX475" s="184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4">
        <f t="shared" si="269"/>
        <v>0</v>
      </c>
      <c r="AW476" s="1844">
        <f t="shared" si="270"/>
        <v>0</v>
      </c>
      <c r="AX476" s="184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4">
        <f t="shared" si="269"/>
        <v>0</v>
      </c>
      <c r="AW477" s="1844">
        <f t="shared" si="270"/>
        <v>0</v>
      </c>
      <c r="AX477" s="184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4">
        <f t="shared" si="269"/>
        <v>0</v>
      </c>
      <c r="AW478" s="1844">
        <f t="shared" si="270"/>
        <v>0</v>
      </c>
      <c r="AX478" s="184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4">
        <f t="shared" si="269"/>
        <v>0</v>
      </c>
      <c r="AW479" s="1844">
        <f t="shared" si="270"/>
        <v>0</v>
      </c>
      <c r="AX479" s="184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4">
        <f t="shared" si="269"/>
        <v>0</v>
      </c>
      <c r="AW480" s="1844">
        <f t="shared" si="270"/>
        <v>0</v>
      </c>
      <c r="AX480" s="184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5"/>
      <c r="C481" s="1296"/>
      <c r="D481" s="80"/>
      <c r="E481" s="87">
        <f t="shared" ref="E481:E504" si="319">IF($C$3="是",ROUND($A$3*G481/$B$3,2),ROUND($A$3*(G481-AT481)/$B$3,2))</f>
        <v>0</v>
      </c>
      <c r="F481" s="88"/>
      <c r="G481" s="89">
        <f t="shared" si="294"/>
        <v>0</v>
      </c>
      <c r="H481" s="90">
        <f t="shared" si="295"/>
        <v>0</v>
      </c>
      <c r="I481" s="1298"/>
      <c r="J481" s="91"/>
      <c r="K481" s="12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9"/>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5"/>
      <c r="C482" s="1296"/>
      <c r="D482" s="80"/>
      <c r="E482" s="87">
        <f t="shared" si="319"/>
        <v>0</v>
      </c>
      <c r="F482" s="88"/>
      <c r="G482" s="89">
        <f t="shared" si="294"/>
        <v>0</v>
      </c>
      <c r="H482" s="90">
        <f t="shared" si="295"/>
        <v>0</v>
      </c>
      <c r="I482" s="1298"/>
      <c r="J482" s="91"/>
      <c r="K482" s="1298"/>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299"/>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5"/>
      <c r="C483" s="1296"/>
      <c r="D483" s="80"/>
      <c r="E483" s="87">
        <f t="shared" si="319"/>
        <v>0</v>
      </c>
      <c r="F483" s="88"/>
      <c r="G483" s="89">
        <f t="shared" si="294"/>
        <v>0</v>
      </c>
      <c r="H483" s="90">
        <f t="shared" si="295"/>
        <v>0</v>
      </c>
      <c r="I483" s="1298"/>
      <c r="J483" s="91"/>
      <c r="K483" s="1298"/>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299"/>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5"/>
      <c r="C484" s="1296"/>
      <c r="D484" s="80"/>
      <c r="E484" s="87">
        <f t="shared" si="319"/>
        <v>0</v>
      </c>
      <c r="F484" s="88"/>
      <c r="G484" s="89">
        <f t="shared" si="294"/>
        <v>0</v>
      </c>
      <c r="H484" s="90">
        <f t="shared" si="295"/>
        <v>0</v>
      </c>
      <c r="I484" s="1298"/>
      <c r="J484" s="91"/>
      <c r="K484" s="1298"/>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299"/>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5"/>
      <c r="C485" s="1296"/>
      <c r="D485" s="80"/>
      <c r="E485" s="87">
        <f t="shared" si="319"/>
        <v>0</v>
      </c>
      <c r="F485" s="88"/>
      <c r="G485" s="89">
        <f t="shared" si="294"/>
        <v>0</v>
      </c>
      <c r="H485" s="90">
        <f t="shared" si="295"/>
        <v>0</v>
      </c>
      <c r="I485" s="1298"/>
      <c r="J485" s="91"/>
      <c r="K485" s="12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9"/>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5"/>
      <c r="C486" s="1296"/>
      <c r="D486" s="80"/>
      <c r="E486" s="87">
        <f t="shared" si="319"/>
        <v>0</v>
      </c>
      <c r="F486" s="88"/>
      <c r="G486" s="89">
        <f t="shared" si="294"/>
        <v>0</v>
      </c>
      <c r="H486" s="90">
        <f t="shared" si="295"/>
        <v>0</v>
      </c>
      <c r="I486" s="1298"/>
      <c r="J486" s="91"/>
      <c r="K486" s="12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9"/>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5"/>
      <c r="C487" s="1296"/>
      <c r="D487" s="80"/>
      <c r="E487" s="87">
        <f t="shared" si="319"/>
        <v>0</v>
      </c>
      <c r="F487" s="88"/>
      <c r="G487" s="89">
        <f t="shared" si="294"/>
        <v>0</v>
      </c>
      <c r="H487" s="90">
        <f t="shared" si="295"/>
        <v>0</v>
      </c>
      <c r="I487" s="1298"/>
      <c r="J487" s="91"/>
      <c r="K487" s="12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9"/>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5"/>
      <c r="C488" s="1296"/>
      <c r="D488" s="80"/>
      <c r="E488" s="87">
        <f t="shared" si="319"/>
        <v>0</v>
      </c>
      <c r="F488" s="88"/>
      <c r="G488" s="89">
        <f t="shared" si="294"/>
        <v>0</v>
      </c>
      <c r="H488" s="90">
        <f t="shared" si="295"/>
        <v>0</v>
      </c>
      <c r="I488" s="1298"/>
      <c r="J488" s="91"/>
      <c r="K488" s="12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8"/>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7"/>
      <c r="C489" s="1298"/>
      <c r="D489" s="80"/>
      <c r="E489" s="87">
        <f t="shared" si="319"/>
        <v>0</v>
      </c>
      <c r="F489" s="88"/>
      <c r="G489" s="89">
        <f t="shared" si="294"/>
        <v>0</v>
      </c>
      <c r="H489" s="90">
        <f t="shared" si="295"/>
        <v>0</v>
      </c>
      <c r="I489" s="1298"/>
      <c r="J489" s="91"/>
      <c r="K489" s="12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8"/>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5"/>
      <c r="C490" s="1296"/>
      <c r="D490" s="80"/>
      <c r="E490" s="87">
        <f t="shared" si="319"/>
        <v>0</v>
      </c>
      <c r="F490" s="88"/>
      <c r="G490" s="89">
        <f t="shared" si="294"/>
        <v>0</v>
      </c>
      <c r="H490" s="90">
        <f t="shared" si="295"/>
        <v>0</v>
      </c>
      <c r="I490" s="1298"/>
      <c r="J490" s="91"/>
      <c r="K490" s="12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8"/>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5"/>
      <c r="C491" s="1296"/>
      <c r="D491" s="80"/>
      <c r="E491" s="87">
        <f t="shared" si="319"/>
        <v>0</v>
      </c>
      <c r="F491" s="88"/>
      <c r="G491" s="89">
        <f t="shared" si="294"/>
        <v>0</v>
      </c>
      <c r="H491" s="90">
        <f t="shared" si="295"/>
        <v>0</v>
      </c>
      <c r="I491" s="1298"/>
      <c r="J491" s="91"/>
      <c r="K491" s="12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8"/>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5"/>
      <c r="C492" s="1296"/>
      <c r="D492" s="80"/>
      <c r="E492" s="87">
        <f t="shared" si="319"/>
        <v>0</v>
      </c>
      <c r="F492" s="88"/>
      <c r="G492" s="89">
        <f t="shared" si="294"/>
        <v>0</v>
      </c>
      <c r="H492" s="90">
        <f t="shared" si="295"/>
        <v>0</v>
      </c>
      <c r="I492" s="1298"/>
      <c r="J492" s="91"/>
      <c r="K492" s="12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8"/>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5"/>
      <c r="C493" s="1296"/>
      <c r="D493" s="80"/>
      <c r="E493" s="87">
        <f t="shared" si="319"/>
        <v>0</v>
      </c>
      <c r="F493" s="88"/>
      <c r="G493" s="89">
        <f t="shared" si="294"/>
        <v>0</v>
      </c>
      <c r="H493" s="90">
        <f t="shared" si="295"/>
        <v>0</v>
      </c>
      <c r="I493" s="1298"/>
      <c r="J493" s="91"/>
      <c r="K493" s="12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8"/>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5"/>
      <c r="C494" s="1296"/>
      <c r="D494" s="80"/>
      <c r="E494" s="87">
        <f t="shared" si="319"/>
        <v>0</v>
      </c>
      <c r="F494" s="88"/>
      <c r="G494" s="89">
        <f t="shared" si="294"/>
        <v>0</v>
      </c>
      <c r="H494" s="90">
        <f t="shared" si="295"/>
        <v>0</v>
      </c>
      <c r="I494" s="1298"/>
      <c r="J494" s="91"/>
      <c r="K494" s="12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8"/>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5"/>
      <c r="C495" s="1296"/>
      <c r="D495" s="80"/>
      <c r="E495" s="87">
        <f t="shared" si="319"/>
        <v>0</v>
      </c>
      <c r="F495" s="88"/>
      <c r="G495" s="89">
        <f t="shared" si="294"/>
        <v>0</v>
      </c>
      <c r="H495" s="90">
        <f t="shared" si="295"/>
        <v>0</v>
      </c>
      <c r="I495" s="1298"/>
      <c r="J495" s="91"/>
      <c r="K495" s="12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8"/>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5"/>
      <c r="C496" s="1296"/>
      <c r="D496" s="80"/>
      <c r="E496" s="87">
        <f t="shared" si="319"/>
        <v>0</v>
      </c>
      <c r="F496" s="88"/>
      <c r="G496" s="89">
        <f t="shared" si="294"/>
        <v>0</v>
      </c>
      <c r="H496" s="90">
        <f t="shared" si="295"/>
        <v>0</v>
      </c>
      <c r="I496" s="1298"/>
      <c r="J496" s="91"/>
      <c r="K496" s="12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8"/>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5"/>
      <c r="C497" s="1296"/>
      <c r="D497" s="80"/>
      <c r="E497" s="87">
        <f t="shared" si="319"/>
        <v>0</v>
      </c>
      <c r="F497" s="88"/>
      <c r="G497" s="89">
        <f t="shared" si="294"/>
        <v>0</v>
      </c>
      <c r="H497" s="90">
        <f t="shared" si="295"/>
        <v>0</v>
      </c>
      <c r="I497" s="1298"/>
      <c r="J497" s="91"/>
      <c r="K497" s="12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8"/>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5"/>
      <c r="C498" s="1296"/>
      <c r="D498" s="80"/>
      <c r="E498" s="87">
        <f t="shared" si="319"/>
        <v>0</v>
      </c>
      <c r="F498" s="88"/>
      <c r="G498" s="89">
        <f t="shared" si="294"/>
        <v>0</v>
      </c>
      <c r="H498" s="90">
        <f t="shared" si="295"/>
        <v>0</v>
      </c>
      <c r="I498" s="1298"/>
      <c r="J498" s="91"/>
      <c r="K498" s="12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8"/>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5"/>
      <c r="C499" s="1296"/>
      <c r="D499" s="80"/>
      <c r="E499" s="87">
        <f t="shared" si="319"/>
        <v>0</v>
      </c>
      <c r="F499" s="88"/>
      <c r="G499" s="89">
        <f t="shared" si="294"/>
        <v>0</v>
      </c>
      <c r="H499" s="90">
        <f t="shared" si="295"/>
        <v>0</v>
      </c>
      <c r="I499" s="1298"/>
      <c r="J499" s="91"/>
      <c r="K499" s="12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8"/>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5"/>
      <c r="C500" s="1296"/>
      <c r="D500" s="80"/>
      <c r="E500" s="87">
        <f t="shared" si="319"/>
        <v>0</v>
      </c>
      <c r="F500" s="88"/>
      <c r="G500" s="89">
        <f t="shared" si="294"/>
        <v>0</v>
      </c>
      <c r="H500" s="90">
        <f t="shared" si="295"/>
        <v>0</v>
      </c>
      <c r="I500" s="1298"/>
      <c r="J500" s="91"/>
      <c r="K500" s="12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8"/>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5"/>
      <c r="C501" s="1296"/>
      <c r="D501" s="80"/>
      <c r="E501" s="87">
        <f t="shared" si="319"/>
        <v>0</v>
      </c>
      <c r="F501" s="88"/>
      <c r="G501" s="89">
        <f t="shared" si="294"/>
        <v>0</v>
      </c>
      <c r="H501" s="90">
        <f t="shared" si="295"/>
        <v>0</v>
      </c>
      <c r="I501" s="1298"/>
      <c r="J501" s="91"/>
      <c r="K501" s="12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8"/>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5"/>
      <c r="C502" s="1296"/>
      <c r="D502" s="80"/>
      <c r="E502" s="87">
        <f t="shared" si="319"/>
        <v>0</v>
      </c>
      <c r="F502" s="88"/>
      <c r="G502" s="89">
        <f t="shared" si="294"/>
        <v>0</v>
      </c>
      <c r="H502" s="90">
        <f t="shared" si="295"/>
        <v>0</v>
      </c>
      <c r="I502" s="1298"/>
      <c r="J502" s="91"/>
      <c r="K502" s="12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8"/>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5"/>
      <c r="C503" s="1296"/>
      <c r="D503" s="80"/>
      <c r="E503" s="87">
        <f t="shared" si="319"/>
        <v>0</v>
      </c>
      <c r="F503" s="88"/>
      <c r="G503" s="89">
        <f t="shared" si="294"/>
        <v>0</v>
      </c>
      <c r="H503" s="90">
        <f t="shared" si="295"/>
        <v>0</v>
      </c>
      <c r="I503" s="1298"/>
      <c r="J503" s="91"/>
      <c r="K503" s="12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8"/>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5"/>
      <c r="C504" s="1296"/>
      <c r="D504" s="80"/>
      <c r="E504" s="87">
        <f t="shared" si="319"/>
        <v>0</v>
      </c>
      <c r="F504" s="88"/>
      <c r="G504" s="89">
        <f t="shared" si="294"/>
        <v>0</v>
      </c>
      <c r="H504" s="90">
        <f t="shared" si="295"/>
        <v>0</v>
      </c>
      <c r="I504" s="1298"/>
      <c r="J504" s="91"/>
      <c r="K504" s="12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8"/>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5"/>
      <c r="C505" s="1296"/>
      <c r="D505" s="80"/>
      <c r="E505" s="87">
        <f t="shared" ref="E505:E536" si="323">IF($C$3="是",ROUND($A$3*G505/$B$3,2),ROUND($A$3*(G505-AT505)/$B$3,2))</f>
        <v>0</v>
      </c>
      <c r="F505" s="88"/>
      <c r="G505" s="89">
        <f t="shared" si="294"/>
        <v>0</v>
      </c>
      <c r="H505" s="90">
        <f t="shared" si="295"/>
        <v>0</v>
      </c>
      <c r="I505" s="1298"/>
      <c r="J505" s="91"/>
      <c r="K505" s="12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8"/>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5"/>
      <c r="C506" s="1296"/>
      <c r="D506" s="80"/>
      <c r="E506" s="87">
        <f t="shared" si="323"/>
        <v>0</v>
      </c>
      <c r="F506" s="88"/>
      <c r="G506" s="89">
        <f t="shared" si="294"/>
        <v>0</v>
      </c>
      <c r="H506" s="90">
        <f t="shared" si="295"/>
        <v>0</v>
      </c>
      <c r="I506" s="1298"/>
      <c r="J506" s="91"/>
      <c r="K506" s="12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8"/>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5"/>
      <c r="C507" s="1296"/>
      <c r="D507" s="80"/>
      <c r="E507" s="87">
        <f t="shared" si="323"/>
        <v>0</v>
      </c>
      <c r="F507" s="88"/>
      <c r="G507" s="89">
        <f t="shared" si="294"/>
        <v>0</v>
      </c>
      <c r="H507" s="90">
        <f t="shared" si="295"/>
        <v>0</v>
      </c>
      <c r="I507" s="1298"/>
      <c r="J507" s="91"/>
      <c r="K507" s="12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6"/>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5"/>
      <c r="C508" s="1296"/>
      <c r="D508" s="80"/>
      <c r="E508" s="87">
        <f t="shared" si="323"/>
        <v>0</v>
      </c>
      <c r="F508" s="88"/>
      <c r="G508" s="89">
        <f t="shared" si="294"/>
        <v>0</v>
      </c>
      <c r="H508" s="90">
        <f t="shared" si="295"/>
        <v>0</v>
      </c>
      <c r="I508" s="1296"/>
      <c r="J508" s="91"/>
      <c r="K508" s="12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6"/>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5"/>
      <c r="C509" s="1296"/>
      <c r="D509" s="80"/>
      <c r="E509" s="87">
        <f t="shared" si="323"/>
        <v>0</v>
      </c>
      <c r="F509" s="88"/>
      <c r="G509" s="89">
        <f t="shared" si="294"/>
        <v>0</v>
      </c>
      <c r="H509" s="90">
        <f t="shared" si="295"/>
        <v>0</v>
      </c>
      <c r="I509" s="1296"/>
      <c r="J509" s="91"/>
      <c r="K509" s="12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6"/>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5"/>
      <c r="C510" s="1296"/>
      <c r="D510" s="80"/>
      <c r="E510" s="87">
        <f t="shared" si="323"/>
        <v>0</v>
      </c>
      <c r="F510" s="88"/>
      <c r="G510" s="89">
        <f t="shared" ref="G510:G537" si="327">H510+AC510+AT510</f>
        <v>0</v>
      </c>
      <c r="H510" s="90">
        <f t="shared" ref="H510:H537" si="328">SUMIF(I$12:AB$12,"总值",I510:AB510)</f>
        <v>0</v>
      </c>
      <c r="I510" s="1296"/>
      <c r="J510" s="91"/>
      <c r="K510" s="12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6"/>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5"/>
      <c r="C511" s="1296"/>
      <c r="D511" s="80"/>
      <c r="E511" s="87">
        <f t="shared" si="323"/>
        <v>0</v>
      </c>
      <c r="F511" s="88"/>
      <c r="G511" s="89">
        <f t="shared" si="327"/>
        <v>0</v>
      </c>
      <c r="H511" s="90">
        <f t="shared" si="328"/>
        <v>0</v>
      </c>
      <c r="I511" s="1296"/>
      <c r="J511" s="91"/>
      <c r="K511" s="12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6"/>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5"/>
      <c r="C512" s="1296"/>
      <c r="D512" s="80"/>
      <c r="E512" s="87">
        <f t="shared" si="323"/>
        <v>0</v>
      </c>
      <c r="F512" s="88"/>
      <c r="G512" s="89">
        <f t="shared" si="327"/>
        <v>0</v>
      </c>
      <c r="H512" s="90">
        <f t="shared" si="328"/>
        <v>0</v>
      </c>
      <c r="I512" s="1296"/>
      <c r="J512" s="91"/>
      <c r="K512" s="12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6"/>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5"/>
      <c r="C513" s="1296"/>
      <c r="D513" s="80"/>
      <c r="E513" s="87">
        <f t="shared" si="323"/>
        <v>0</v>
      </c>
      <c r="F513" s="88"/>
      <c r="G513" s="89">
        <f t="shared" si="327"/>
        <v>0</v>
      </c>
      <c r="H513" s="90">
        <f t="shared" si="328"/>
        <v>0</v>
      </c>
      <c r="I513" s="1296"/>
      <c r="J513" s="91"/>
      <c r="K513" s="12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6"/>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5"/>
      <c r="C514" s="1296"/>
      <c r="D514" s="80"/>
      <c r="E514" s="87">
        <f t="shared" si="323"/>
        <v>0</v>
      </c>
      <c r="F514" s="88"/>
      <c r="G514" s="89">
        <f t="shared" si="327"/>
        <v>0</v>
      </c>
      <c r="H514" s="90">
        <f t="shared" si="328"/>
        <v>0</v>
      </c>
      <c r="I514" s="1296"/>
      <c r="J514" s="91"/>
      <c r="K514" s="12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6"/>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7"/>
      <c r="C515" s="1298"/>
      <c r="D515" s="80"/>
      <c r="E515" s="87">
        <f t="shared" si="323"/>
        <v>0</v>
      </c>
      <c r="F515" s="88"/>
      <c r="G515" s="89">
        <f t="shared" si="327"/>
        <v>0</v>
      </c>
      <c r="H515" s="90">
        <f t="shared" si="328"/>
        <v>0</v>
      </c>
      <c r="I515" s="1296"/>
      <c r="J515" s="91"/>
      <c r="K515" s="1296"/>
      <c r="L515" s="91"/>
      <c r="M515" s="1296"/>
      <c r="N515" s="91"/>
      <c r="O515" s="91"/>
      <c r="P515" s="91"/>
      <c r="Q515" s="91"/>
      <c r="R515" s="91"/>
      <c r="S515" s="91"/>
      <c r="T515" s="91"/>
      <c r="U515" s="91"/>
      <c r="V515" s="91"/>
      <c r="W515" s="91"/>
      <c r="X515" s="91"/>
      <c r="Y515" s="91"/>
      <c r="Z515" s="91"/>
      <c r="AA515" s="91"/>
      <c r="AB515" s="91"/>
      <c r="AC515" s="87">
        <f t="shared" si="329"/>
        <v>0</v>
      </c>
      <c r="AD515" s="92"/>
      <c r="AE515" s="92"/>
      <c r="AF515" s="1296"/>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6" t="s">
        <v>0</v>
      </c>
      <c r="B1" s="3566" t="s">
        <v>4</v>
      </c>
      <c r="C1" s="3566" t="s">
        <v>5</v>
      </c>
      <c r="D1" s="3567" t="s">
        <v>40</v>
      </c>
      <c r="E1" s="3567" t="s">
        <v>41</v>
      </c>
      <c r="F1" s="3567"/>
      <c r="G1" s="3567"/>
      <c r="H1" s="3567"/>
      <c r="I1" s="3567"/>
      <c r="J1" s="3567"/>
      <c r="K1" s="3567"/>
      <c r="L1" s="3567"/>
      <c r="M1" s="3567"/>
    </row>
    <row r="2" spans="1:13" ht="27" customHeight="1">
      <c r="A2" s="3566"/>
      <c r="B2" s="3566"/>
      <c r="C2" s="3566"/>
      <c r="D2" s="3567"/>
      <c r="E2" s="3567" t="s">
        <v>24</v>
      </c>
      <c r="F2" s="3567" t="s">
        <v>25</v>
      </c>
      <c r="G2" s="3567"/>
      <c r="H2" s="3567"/>
      <c r="I2" s="3567"/>
      <c r="J2" s="3567" t="s">
        <v>26</v>
      </c>
      <c r="K2" s="3567"/>
      <c r="L2" s="3567"/>
      <c r="M2" s="3567"/>
    </row>
    <row r="3" spans="1:13" ht="28.5">
      <c r="A3" s="3566"/>
      <c r="B3" s="3566"/>
      <c r="C3" s="3566"/>
      <c r="D3" s="3567"/>
      <c r="E3" s="35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7" t="s">
        <v>42</v>
      </c>
      <c r="B9" s="3567"/>
      <c r="C9" s="35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E28"/>
  <sheetViews>
    <sheetView workbookViewId="0">
      <selection activeCell="F17" sqref="F17"/>
    </sheetView>
  </sheetViews>
  <sheetFormatPr defaultRowHeight="12"/>
  <cols>
    <col min="1" max="3" width="9" style="3444"/>
    <col min="4" max="4" width="10.625" style="3444" customWidth="1"/>
    <col min="5" max="5" width="10.125" style="3444" customWidth="1"/>
    <col min="6" max="16384" width="9" style="3444"/>
  </cols>
  <sheetData>
    <row r="4" spans="2:5" ht="13.5" customHeight="1">
      <c r="B4" s="3568" t="s">
        <v>3124</v>
      </c>
      <c r="C4" s="3568"/>
      <c r="D4" s="3568"/>
      <c r="E4" s="3445">
        <v>23308.880000000001</v>
      </c>
    </row>
    <row r="5" spans="2:5" ht="13.5" customHeight="1">
      <c r="B5" s="3568" t="s">
        <v>3125</v>
      </c>
      <c r="C5" s="3568"/>
      <c r="D5" s="3568"/>
      <c r="E5" s="3445">
        <v>184715.46</v>
      </c>
    </row>
    <row r="6" spans="2:5" ht="13.5" customHeight="1">
      <c r="B6" s="3568" t="s">
        <v>3147</v>
      </c>
      <c r="C6" s="3568" t="s">
        <v>3126</v>
      </c>
      <c r="D6" s="3568"/>
      <c r="E6" s="3445">
        <v>131751.48000000001</v>
      </c>
    </row>
    <row r="7" spans="2:5">
      <c r="B7" s="3568"/>
      <c r="C7" s="3568" t="s">
        <v>3147</v>
      </c>
      <c r="D7" s="3445" t="s">
        <v>3127</v>
      </c>
      <c r="E7" s="3445">
        <v>100035.04</v>
      </c>
    </row>
    <row r="8" spans="2:5">
      <c r="B8" s="3568"/>
      <c r="C8" s="3568"/>
      <c r="D8" s="3445" t="s">
        <v>3128</v>
      </c>
      <c r="E8" s="3445">
        <v>2643.8</v>
      </c>
    </row>
    <row r="9" spans="2:5">
      <c r="B9" s="3568"/>
      <c r="C9" s="3568"/>
      <c r="D9" s="3445" t="s">
        <v>3129</v>
      </c>
      <c r="E9" s="3445">
        <v>23431.62</v>
      </c>
    </row>
    <row r="10" spans="2:5">
      <c r="B10" s="3568"/>
      <c r="C10" s="3568"/>
      <c r="D10" s="3445" t="s">
        <v>3130</v>
      </c>
      <c r="E10" s="3446">
        <v>426.64</v>
      </c>
    </row>
    <row r="11" spans="2:5">
      <c r="B11" s="3568"/>
      <c r="C11" s="3568"/>
      <c r="D11" s="3445" t="s">
        <v>3131</v>
      </c>
      <c r="E11" s="3446">
        <v>890.22</v>
      </c>
    </row>
    <row r="12" spans="2:5">
      <c r="B12" s="3568"/>
      <c r="C12" s="3568"/>
      <c r="D12" s="3445" t="s">
        <v>3132</v>
      </c>
      <c r="E12" s="3447">
        <v>2190.8000000000002</v>
      </c>
    </row>
    <row r="13" spans="2:5">
      <c r="B13" s="3568"/>
      <c r="C13" s="3568"/>
      <c r="D13" s="3445" t="s">
        <v>3133</v>
      </c>
      <c r="E13" s="3446">
        <v>376.68</v>
      </c>
    </row>
    <row r="14" spans="2:5">
      <c r="B14" s="3568"/>
      <c r="C14" s="3568"/>
      <c r="D14" s="3445" t="s">
        <v>3134</v>
      </c>
      <c r="E14" s="3446">
        <v>40.32</v>
      </c>
    </row>
    <row r="15" spans="2:5">
      <c r="B15" s="3568"/>
      <c r="C15" s="3568"/>
      <c r="D15" s="3445" t="s">
        <v>3135</v>
      </c>
      <c r="E15" s="3446">
        <v>51.49</v>
      </c>
    </row>
    <row r="16" spans="2:5">
      <c r="B16" s="3568"/>
      <c r="C16" s="3568"/>
      <c r="D16" s="3445" t="s">
        <v>3136</v>
      </c>
      <c r="E16" s="3446">
        <v>1028.5999999999999</v>
      </c>
    </row>
    <row r="17" spans="2:5">
      <c r="B17" s="3568"/>
      <c r="C17" s="3568"/>
      <c r="D17" s="3445" t="s">
        <v>3137</v>
      </c>
      <c r="E17" s="3446">
        <v>50.63</v>
      </c>
    </row>
    <row r="18" spans="2:5">
      <c r="B18" s="3568"/>
      <c r="C18" s="3568"/>
      <c r="D18" s="3445" t="s">
        <v>3138</v>
      </c>
      <c r="E18" s="3448">
        <v>141.34</v>
      </c>
    </row>
    <row r="19" spans="2:5">
      <c r="B19" s="3568"/>
      <c r="C19" s="3568"/>
      <c r="D19" s="3445" t="s">
        <v>3139</v>
      </c>
      <c r="E19" s="3446">
        <v>91.63</v>
      </c>
    </row>
    <row r="20" spans="2:5">
      <c r="B20" s="3568"/>
      <c r="C20" s="3568"/>
      <c r="D20" s="3445" t="s">
        <v>3140</v>
      </c>
      <c r="E20" s="3446">
        <v>39.24</v>
      </c>
    </row>
    <row r="21" spans="2:5">
      <c r="B21" s="3568"/>
      <c r="C21" s="3568"/>
      <c r="D21" s="3445" t="s">
        <v>3141</v>
      </c>
      <c r="E21" s="3448">
        <v>196.21</v>
      </c>
    </row>
    <row r="22" spans="2:5">
      <c r="B22" s="3568"/>
      <c r="C22" s="3568"/>
      <c r="D22" s="3445" t="s">
        <v>3142</v>
      </c>
      <c r="E22" s="3448">
        <v>117.22</v>
      </c>
    </row>
    <row r="23" spans="2:5" ht="13.5" customHeight="1">
      <c r="B23" s="3568"/>
      <c r="C23" s="3568" t="s">
        <v>3143</v>
      </c>
      <c r="D23" s="3568"/>
      <c r="E23" s="3445">
        <v>52963.98</v>
      </c>
    </row>
    <row r="24" spans="2:5">
      <c r="B24" s="3568"/>
      <c r="C24" s="3568" t="s">
        <v>3148</v>
      </c>
      <c r="D24" s="3445" t="s">
        <v>3144</v>
      </c>
      <c r="E24" s="3445">
        <f>E23-E26-E25</f>
        <v>52253.13</v>
      </c>
    </row>
    <row r="25" spans="2:5">
      <c r="B25" s="3568"/>
      <c r="C25" s="3568"/>
      <c r="D25" s="3445" t="s">
        <v>3145</v>
      </c>
      <c r="E25" s="3448">
        <v>202.94</v>
      </c>
    </row>
    <row r="26" spans="2:5">
      <c r="B26" s="3568"/>
      <c r="C26" s="3568"/>
      <c r="D26" s="3445" t="s">
        <v>3146</v>
      </c>
      <c r="E26" s="3448">
        <v>507.91</v>
      </c>
    </row>
    <row r="27" spans="2:5">
      <c r="B27" s="3569" t="s">
        <v>3149</v>
      </c>
      <c r="C27" s="3569"/>
      <c r="D27" s="3569"/>
      <c r="E27" s="3444">
        <v>131640.42000000001</v>
      </c>
    </row>
    <row r="28" spans="2:5">
      <c r="B28" s="3570" t="s">
        <v>3150</v>
      </c>
      <c r="C28" s="3570"/>
      <c r="D28" s="3570"/>
      <c r="E28" s="3444">
        <f>ROUND(E27/E4,2)</f>
        <v>5.65</v>
      </c>
    </row>
  </sheetData>
  <mergeCells count="9">
    <mergeCell ref="B5:D5"/>
    <mergeCell ref="B4:D4"/>
    <mergeCell ref="B6:B26"/>
    <mergeCell ref="B27:D27"/>
    <mergeCell ref="B28:D28"/>
    <mergeCell ref="C7:C22"/>
    <mergeCell ref="C24:C26"/>
    <mergeCell ref="C23:D23"/>
    <mergeCell ref="C6:D6"/>
  </mergeCells>
  <phoneticPr fontId="225"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6" zoomScale="90" zoomScaleNormal="70" zoomScaleSheetLayoutView="90" workbookViewId="0">
      <selection activeCell="F16" sqref="F16"/>
    </sheetView>
  </sheetViews>
  <sheetFormatPr defaultColWidth="9.25" defaultRowHeight="14.25"/>
  <cols>
    <col min="1" max="1" width="8.25" style="1850" customWidth="1"/>
    <col min="2" max="2" width="10.25" style="1850" customWidth="1"/>
    <col min="3" max="3" width="18.5" style="1850" customWidth="1"/>
    <col min="4" max="4" width="11.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4" t="s">
        <v>202</v>
      </c>
      <c r="B1" s="1849"/>
      <c r="C1" s="1849"/>
      <c r="D1" s="1849"/>
      <c r="E1" s="1849"/>
      <c r="F1" s="1849"/>
      <c r="G1" s="1849"/>
      <c r="H1" s="1849"/>
      <c r="I1" s="1849"/>
      <c r="J1" s="1849"/>
      <c r="K1" s="1849"/>
      <c r="L1" s="1849"/>
      <c r="M1" s="1849"/>
      <c r="N1" s="1849"/>
      <c r="O1" s="1849"/>
      <c r="P1" s="1849"/>
    </row>
    <row r="2" spans="1:16" ht="15">
      <c r="A2" s="3580" t="s">
        <v>203</v>
      </c>
      <c r="B2" s="3580"/>
      <c r="C2" s="3580"/>
      <c r="D2" s="1840" t="s">
        <v>204</v>
      </c>
      <c r="E2" s="106" t="s">
        <v>205</v>
      </c>
      <c r="F2" s="2987"/>
      <c r="G2" s="1143"/>
      <c r="H2" s="1144"/>
      <c r="I2" s="1145" t="s">
        <v>836</v>
      </c>
      <c r="J2" s="2987"/>
      <c r="K2" s="2987"/>
      <c r="L2" s="2987"/>
      <c r="M2" s="2987"/>
      <c r="N2" s="2987"/>
      <c r="O2" s="2987"/>
      <c r="P2" s="2987"/>
    </row>
    <row r="3" spans="1:16" ht="15.75" thickBot="1">
      <c r="A3" s="3581" t="s">
        <v>206</v>
      </c>
      <c r="B3" s="3581"/>
      <c r="C3" s="3581"/>
      <c r="D3" s="107">
        <f>'数据-基础表'!AY6</f>
        <v>23308.880000000001</v>
      </c>
      <c r="E3" s="107">
        <f>'数据-基础表'!AZ5</f>
        <v>184715.46</v>
      </c>
      <c r="F3" s="2987"/>
      <c r="G3" s="278" t="s">
        <v>837</v>
      </c>
      <c r="H3" s="273" t="s">
        <v>838</v>
      </c>
      <c r="I3" s="1841">
        <f>ROUND('数据-基础表'!B3/'数据-基础表'!A3,2)</f>
        <v>7.92</v>
      </c>
      <c r="J3" s="2987"/>
      <c r="K3" s="2987"/>
      <c r="L3" s="2987"/>
      <c r="M3" s="2987"/>
      <c r="N3" s="2987"/>
      <c r="O3" s="2987"/>
      <c r="P3" s="2987"/>
    </row>
    <row r="4" spans="1:16" ht="15">
      <c r="A4" s="3582"/>
      <c r="B4" s="3583"/>
      <c r="C4" s="3584"/>
      <c r="D4" s="108" t="s">
        <v>204</v>
      </c>
      <c r="E4" s="109" t="s">
        <v>205</v>
      </c>
      <c r="F4" s="2987"/>
      <c r="G4" s="1146"/>
      <c r="H4" s="273" t="s">
        <v>839</v>
      </c>
      <c r="I4" s="1841">
        <f>ROUND(SUMIF('数据-基础表'!I9:AS9,"地上",'数据-基础表'!I5:AS5)/'数据-基础表'!A3,2)</f>
        <v>5.65</v>
      </c>
      <c r="J4" s="2987"/>
      <c r="K4" s="2987"/>
      <c r="L4" s="2987"/>
      <c r="M4" s="2987"/>
      <c r="N4" s="2987"/>
      <c r="O4" s="2987"/>
      <c r="P4" s="2987"/>
    </row>
    <row r="5" spans="1:16">
      <c r="A5" s="110" t="s">
        <v>207</v>
      </c>
      <c r="B5" s="3585" t="s">
        <v>230</v>
      </c>
      <c r="C5" s="3585"/>
      <c r="D5" s="111">
        <f>ROUND($D$3*E5/$E$3,2)</f>
        <v>12623.22</v>
      </c>
      <c r="E5" s="112">
        <f>SUMIF('数据-基础表'!$11:$11,"住宅",'数据-基础表'!$5:$5)</f>
        <v>100035.04</v>
      </c>
      <c r="F5" s="2987"/>
      <c r="G5" s="278" t="s">
        <v>840</v>
      </c>
      <c r="H5" s="273" t="s">
        <v>838</v>
      </c>
      <c r="I5" s="1841">
        <f>ROUND(E31/D31,2)</f>
        <v>7.92</v>
      </c>
      <c r="J5" s="2987"/>
      <c r="K5" s="2987"/>
      <c r="L5" s="2987"/>
      <c r="M5" s="2987"/>
      <c r="N5" s="2987"/>
      <c r="O5" s="2987"/>
      <c r="P5" s="2987"/>
    </row>
    <row r="6" spans="1:16" ht="15" thickBot="1">
      <c r="A6" s="113"/>
      <c r="B6" s="3585" t="s">
        <v>208</v>
      </c>
      <c r="C6" s="3585"/>
      <c r="D6" s="111">
        <f>ROUND($D$3*E6/$E$3,2)</f>
        <v>10685.66</v>
      </c>
      <c r="E6" s="112">
        <f>E3-E5</f>
        <v>84680.42</v>
      </c>
      <c r="F6" s="2987"/>
      <c r="G6" s="1146"/>
      <c r="H6" s="273" t="s">
        <v>839</v>
      </c>
      <c r="I6" s="1841">
        <f>ROUND(F31/D31,2)</f>
        <v>5.65</v>
      </c>
      <c r="J6" s="2987"/>
      <c r="K6" s="2987"/>
      <c r="L6" s="2987"/>
      <c r="M6" s="2987"/>
      <c r="N6" s="2987"/>
      <c r="O6" s="2987"/>
      <c r="P6" s="2987"/>
    </row>
    <row r="7" spans="1:16" ht="15">
      <c r="A7" s="3577"/>
      <c r="B7" s="3578"/>
      <c r="C7" s="3579"/>
      <c r="D7" s="108" t="s">
        <v>204</v>
      </c>
      <c r="E7" s="114" t="s">
        <v>231</v>
      </c>
      <c r="F7" s="2987"/>
      <c r="G7" s="1101" t="s">
        <v>1444</v>
      </c>
      <c r="H7" s="1102"/>
      <c r="I7" s="1712"/>
      <c r="J7" s="2987"/>
      <c r="K7" s="2987"/>
      <c r="L7" s="2987"/>
      <c r="M7" s="2987"/>
      <c r="N7" s="2987"/>
      <c r="O7" s="2987"/>
      <c r="P7" s="2987"/>
    </row>
    <row r="8" spans="1:16">
      <c r="A8" s="110" t="s">
        <v>209</v>
      </c>
      <c r="B8" s="115" t="s">
        <v>210</v>
      </c>
      <c r="C8" s="111" t="s">
        <v>211</v>
      </c>
      <c r="D8" s="111">
        <f t="shared" ref="D8:D15" si="0">ROUND($D$3*E8/$E$3,2)</f>
        <v>15913.63</v>
      </c>
      <c r="E8" s="116">
        <f>SUMIF('数据-基础表'!BB10:BK10,"地上",'数据-基础表'!BB5:BK5)</f>
        <v>126110.45999999999</v>
      </c>
      <c r="F8" s="2987"/>
      <c r="G8" s="2988"/>
      <c r="H8" s="2988"/>
      <c r="I8" s="2987"/>
      <c r="J8" s="2987"/>
      <c r="K8" s="2987"/>
      <c r="L8" s="2987"/>
      <c r="M8" s="2987"/>
      <c r="N8" s="2987"/>
      <c r="O8" s="2987"/>
      <c r="P8" s="2987"/>
    </row>
    <row r="9" spans="1:16">
      <c r="A9" s="117"/>
      <c r="B9" s="118"/>
      <c r="C9" s="111" t="s">
        <v>212</v>
      </c>
      <c r="D9" s="111">
        <f t="shared" si="0"/>
        <v>0</v>
      </c>
      <c r="E9" s="119">
        <v>0</v>
      </c>
      <c r="F9" s="2987"/>
      <c r="G9" s="2988"/>
      <c r="H9" s="2988"/>
      <c r="I9" s="2987"/>
      <c r="J9" s="2987"/>
      <c r="K9" s="2987"/>
      <c r="L9" s="2987"/>
      <c r="M9" s="2987"/>
      <c r="N9" s="2987"/>
      <c r="O9" s="2987"/>
      <c r="P9" s="2987"/>
    </row>
    <row r="10" spans="1:16">
      <c r="A10" s="117"/>
      <c r="B10" s="118"/>
      <c r="C10" s="111" t="s">
        <v>213</v>
      </c>
      <c r="D10" s="111">
        <f t="shared" si="0"/>
        <v>0</v>
      </c>
      <c r="E10" s="116">
        <f>SUMPRODUCT(('数据-基础表'!BB10:BK10="地下")*('数据-基础表'!BB11:BK11="商业")*('数据-基础表'!BB5:BK5))</f>
        <v>0</v>
      </c>
      <c r="F10" s="2987"/>
      <c r="G10" s="2988"/>
      <c r="H10" s="2988"/>
      <c r="I10" s="2987"/>
      <c r="J10" s="2987"/>
      <c r="K10" s="2987"/>
      <c r="L10" s="2987"/>
      <c r="M10" s="2987"/>
      <c r="N10" s="2987"/>
      <c r="O10" s="2987"/>
      <c r="P10" s="2987"/>
    </row>
    <row r="11" spans="1:16">
      <c r="A11" s="117"/>
      <c r="B11" s="118"/>
      <c r="C11" s="2162" t="s">
        <v>2116</v>
      </c>
      <c r="D11" s="111">
        <f t="shared" si="0"/>
        <v>0</v>
      </c>
      <c r="E11" s="116">
        <f>SUMPRODUCT(('数据-基础表'!BB10:BK10="地下")*('数据-基础表'!BB11:BK11="办公")*('数据-基础表'!BB5:BK5))+'数据-基础表'!AJ5</f>
        <v>0</v>
      </c>
      <c r="F11" s="2987"/>
      <c r="G11" s="2988"/>
      <c r="H11" s="2988"/>
      <c r="I11" s="2987"/>
      <c r="J11" s="2987"/>
      <c r="K11" s="2987"/>
      <c r="L11" s="2987"/>
      <c r="M11" s="2987"/>
      <c r="N11" s="2987"/>
      <c r="O11" s="2987"/>
      <c r="P11" s="2987"/>
    </row>
    <row r="12" spans="1:16">
      <c r="A12" s="117"/>
      <c r="B12" s="118"/>
      <c r="C12" s="111" t="s">
        <v>214</v>
      </c>
      <c r="D12" s="111">
        <f t="shared" si="0"/>
        <v>0</v>
      </c>
      <c r="E12" s="116">
        <f>SUMPRODUCT(('数据-基础表'!BB10:BK10="地下")*('数据-基础表'!BB11:BK11="仓储")*('数据-基础表'!BB5:BK5))</f>
        <v>0</v>
      </c>
      <c r="F12" s="2987"/>
      <c r="G12" s="2988"/>
      <c r="H12" s="2988"/>
      <c r="I12" s="2987"/>
      <c r="J12" s="2987"/>
      <c r="K12" s="2987"/>
      <c r="L12" s="2987"/>
      <c r="M12" s="2987"/>
      <c r="N12" s="2987"/>
      <c r="O12" s="2987"/>
      <c r="P12" s="2987"/>
    </row>
    <row r="13" spans="1:16">
      <c r="A13" s="117"/>
      <c r="B13" s="118"/>
      <c r="C13" s="2162" t="s">
        <v>2123</v>
      </c>
      <c r="D13" s="111">
        <f t="shared" si="0"/>
        <v>6593.72</v>
      </c>
      <c r="E13" s="116">
        <f>SUMPRODUCT(('数据-基础表'!BB10:BK10="地下")*('数据-基础表'!BB11:BK11="车库")*('数据-基础表'!BB5:BK5))</f>
        <v>52253.13</v>
      </c>
      <c r="F13" s="2987"/>
      <c r="G13" s="2988"/>
      <c r="H13" s="2988"/>
      <c r="I13" s="2987"/>
      <c r="J13" s="2987"/>
      <c r="K13" s="2987"/>
      <c r="L13" s="2987"/>
      <c r="M13" s="2987"/>
      <c r="N13" s="2987"/>
      <c r="O13" s="2987"/>
      <c r="P13" s="2987"/>
    </row>
    <row r="14" spans="1:16">
      <c r="A14" s="117"/>
      <c r="B14" s="118"/>
      <c r="C14" s="111" t="s">
        <v>232</v>
      </c>
      <c r="D14" s="111">
        <f t="shared" si="0"/>
        <v>0</v>
      </c>
      <c r="E14" s="116">
        <f>SUMPRODUCT(('数据-基础表'!BB10:BK10="地下")*('数据-基础表'!BB11:BK11="车库—商业")*('数据-基础表'!BB5:BK5))</f>
        <v>0</v>
      </c>
      <c r="F14" s="2987"/>
      <c r="G14" s="2988"/>
      <c r="H14" s="2988"/>
      <c r="I14" s="2987"/>
      <c r="J14" s="2987"/>
      <c r="K14" s="2987"/>
      <c r="L14" s="2987"/>
      <c r="M14" s="2987"/>
      <c r="N14" s="2987"/>
      <c r="O14" s="2987"/>
      <c r="P14" s="2987"/>
    </row>
    <row r="15" spans="1:16" ht="15" thickBot="1">
      <c r="A15" s="117"/>
      <c r="B15" s="118"/>
      <c r="C15" s="111" t="s">
        <v>233</v>
      </c>
      <c r="D15" s="111">
        <f t="shared" si="0"/>
        <v>0</v>
      </c>
      <c r="E15" s="116">
        <f>SUMPRODUCT(('数据-基础表'!BB10:BK10="地下")*('数据-基础表'!BB11:BK11="车库—办公")*('数据-基础表'!BB5:BK5))</f>
        <v>0</v>
      </c>
      <c r="F15" s="2987"/>
      <c r="G15" s="2988"/>
      <c r="H15" s="2988"/>
      <c r="I15" s="2987"/>
      <c r="J15" s="2987"/>
      <c r="K15" s="2987"/>
      <c r="L15" s="2987"/>
      <c r="M15" s="2987"/>
      <c r="N15" s="2987"/>
      <c r="O15" s="2987"/>
      <c r="P15" s="2987"/>
    </row>
    <row r="16" spans="1:16" ht="15.75" thickBot="1">
      <c r="A16" s="113"/>
      <c r="B16" s="118"/>
      <c r="C16" s="115" t="s">
        <v>215</v>
      </c>
      <c r="D16" s="115">
        <f>SUM(D8:D15)</f>
        <v>22507.35</v>
      </c>
      <c r="E16" s="120">
        <f>SUM(E8:E15)</f>
        <v>178363.59</v>
      </c>
      <c r="F16" s="2987"/>
      <c r="G16" s="2988"/>
      <c r="H16" s="937" t="s">
        <v>219</v>
      </c>
      <c r="I16" s="938"/>
      <c r="J16" s="1849"/>
      <c r="K16" s="3571" t="s">
        <v>2283</v>
      </c>
      <c r="L16" s="3572"/>
      <c r="M16" s="3572"/>
      <c r="N16" s="3572"/>
      <c r="O16" s="3572"/>
      <c r="P16" s="3573"/>
    </row>
    <row r="17" spans="1:19" ht="15">
      <c r="A17" s="121" t="s">
        <v>216</v>
      </c>
      <c r="B17" s="122" t="s">
        <v>217</v>
      </c>
      <c r="C17" s="2129" t="s">
        <v>2102</v>
      </c>
      <c r="D17" s="108" t="s">
        <v>204</v>
      </c>
      <c r="E17" s="124" t="s">
        <v>205</v>
      </c>
      <c r="F17" s="125"/>
      <c r="G17" s="1272"/>
      <c r="H17" s="939" t="s">
        <v>218</v>
      </c>
      <c r="I17" s="940" t="s">
        <v>2101</v>
      </c>
      <c r="J17" s="1849"/>
      <c r="K17" s="3574" t="s">
        <v>2284</v>
      </c>
      <c r="L17" s="3575"/>
      <c r="M17" s="3576"/>
      <c r="N17" s="3574" t="s">
        <v>2285</v>
      </c>
      <c r="O17" s="3575"/>
      <c r="P17" s="3576"/>
      <c r="R17" s="2130" t="s">
        <v>2100</v>
      </c>
      <c r="S17" s="142"/>
    </row>
    <row r="18" spans="1:19" ht="15">
      <c r="A18" s="117"/>
      <c r="B18" s="128"/>
      <c r="C18" s="129"/>
      <c r="D18" s="2403"/>
      <c r="E18" s="130" t="s">
        <v>220</v>
      </c>
      <c r="F18" s="131" t="s">
        <v>221</v>
      </c>
      <c r="G18" s="1273" t="s">
        <v>222</v>
      </c>
      <c r="H18" s="941" t="s">
        <v>223</v>
      </c>
      <c r="I18" s="942" t="s">
        <v>224</v>
      </c>
      <c r="J18" s="1849"/>
      <c r="K18" s="2368" t="s">
        <v>2286</v>
      </c>
      <c r="L18" s="2369" t="s">
        <v>2287</v>
      </c>
      <c r="M18" s="2370" t="s">
        <v>2288</v>
      </c>
      <c r="N18" s="2368" t="s">
        <v>2286</v>
      </c>
      <c r="O18" s="2369" t="s">
        <v>2287</v>
      </c>
      <c r="P18" s="2370" t="s">
        <v>2288</v>
      </c>
      <c r="R18" s="2131" t="s">
        <v>2098</v>
      </c>
      <c r="S18" s="2131" t="s">
        <v>2099</v>
      </c>
    </row>
    <row r="19" spans="1:19">
      <c r="A19" s="133"/>
      <c r="B19" s="115" t="s">
        <v>225</v>
      </c>
      <c r="C19" s="2655" t="s">
        <v>3156</v>
      </c>
      <c r="D19" s="111">
        <f t="shared" ref="D19:D26" si="1">ROUND($D$3*E19/$E$3,2)</f>
        <v>12623.22</v>
      </c>
      <c r="E19" s="134">
        <f t="shared" ref="E19:E26" si="2">SUM(F19:G19)</f>
        <v>100035.04</v>
      </c>
      <c r="F19" s="2989">
        <f>'数据-基础表'!I13</f>
        <v>100035.04</v>
      </c>
      <c r="G19" s="2990"/>
      <c r="H19" s="943">
        <f>ROUND($D$3*I19/$E$3,2)</f>
        <v>736.94</v>
      </c>
      <c r="I19" s="116">
        <f>IF($I$17="自定义",P19,M19)</f>
        <v>5839.99</v>
      </c>
      <c r="J19" s="1849"/>
      <c r="K19" s="2371">
        <f t="shared" ref="K19:K26" si="3">ROUND(E$28*E19/E$27,2)</f>
        <v>653.74</v>
      </c>
      <c r="L19" s="273">
        <f t="shared" ref="L19:L26" si="4">ROUND(IF(COUNTIF(C19,"*住宅*")&gt;0,E$29*E19/E$32,0),2)</f>
        <v>5186.25</v>
      </c>
      <c r="M19" s="2372">
        <f>K19+L19</f>
        <v>5839.99</v>
      </c>
      <c r="N19" s="2373"/>
      <c r="O19" s="2374"/>
      <c r="P19" s="2375">
        <f>N19+O19</f>
        <v>0</v>
      </c>
      <c r="R19" s="273">
        <f t="shared" ref="R19:S26" si="5">D19+H19</f>
        <v>13360.16</v>
      </c>
      <c r="S19" s="2132">
        <f t="shared" si="5"/>
        <v>105875.03</v>
      </c>
    </row>
    <row r="20" spans="1:19">
      <c r="A20" s="137"/>
      <c r="B20" s="115" t="s">
        <v>226</v>
      </c>
      <c r="C20" s="2655" t="s">
        <v>3157</v>
      </c>
      <c r="D20" s="111">
        <f t="shared" si="1"/>
        <v>333.62</v>
      </c>
      <c r="E20" s="134">
        <f t="shared" si="2"/>
        <v>2643.8</v>
      </c>
      <c r="F20" s="2989">
        <f>'数据-基础表'!M13</f>
        <v>2643.8</v>
      </c>
      <c r="G20" s="2990"/>
      <c r="H20" s="943">
        <f t="shared" ref="H20:H26" si="6">ROUND($D$3*I20/$E$3,2)</f>
        <v>2.1800000000000002</v>
      </c>
      <c r="I20" s="116">
        <f t="shared" ref="I20:I26" si="7">IF($I$17="自定义",P20,M20)</f>
        <v>17.28</v>
      </c>
      <c r="J20" s="1849"/>
      <c r="K20" s="2371">
        <f t="shared" si="3"/>
        <v>17.28</v>
      </c>
      <c r="L20" s="273">
        <f t="shared" si="4"/>
        <v>0</v>
      </c>
      <c r="M20" s="2372">
        <f t="shared" ref="M20:M26" si="8">K20+L20</f>
        <v>17.28</v>
      </c>
      <c r="N20" s="2373"/>
      <c r="O20" s="2374"/>
      <c r="P20" s="2375">
        <f t="shared" ref="P20:P26" si="9">N20+O20</f>
        <v>0</v>
      </c>
      <c r="R20" s="273">
        <f t="shared" si="5"/>
        <v>335.8</v>
      </c>
      <c r="S20" s="2132">
        <f t="shared" si="5"/>
        <v>2661.0800000000004</v>
      </c>
    </row>
    <row r="21" spans="1:19">
      <c r="A21" s="137"/>
      <c r="B21" s="115" t="s">
        <v>226</v>
      </c>
      <c r="C21" s="2655" t="s">
        <v>3158</v>
      </c>
      <c r="D21" s="111">
        <f t="shared" si="1"/>
        <v>2956.79</v>
      </c>
      <c r="E21" s="134">
        <f t="shared" si="2"/>
        <v>23431.62</v>
      </c>
      <c r="F21" s="2989">
        <f>'数据-基础表'!K13</f>
        <v>23431.62</v>
      </c>
      <c r="G21" s="2990"/>
      <c r="H21" s="943">
        <f t="shared" si="6"/>
        <v>19.32</v>
      </c>
      <c r="I21" s="116">
        <f t="shared" si="7"/>
        <v>153.13</v>
      </c>
      <c r="J21" s="1849"/>
      <c r="K21" s="2371">
        <f t="shared" si="3"/>
        <v>153.13</v>
      </c>
      <c r="L21" s="273">
        <f t="shared" si="4"/>
        <v>0</v>
      </c>
      <c r="M21" s="2372">
        <f t="shared" si="8"/>
        <v>153.13</v>
      </c>
      <c r="N21" s="2373"/>
      <c r="O21" s="2374"/>
      <c r="P21" s="2375">
        <f t="shared" si="9"/>
        <v>0</v>
      </c>
      <c r="R21" s="273">
        <f t="shared" si="5"/>
        <v>2976.11</v>
      </c>
      <c r="S21" s="2132">
        <f t="shared" si="5"/>
        <v>23584.75</v>
      </c>
    </row>
    <row r="22" spans="1:19">
      <c r="A22" s="137"/>
      <c r="B22" s="115" t="s">
        <v>226</v>
      </c>
      <c r="C22" s="3449" t="s">
        <v>3159</v>
      </c>
      <c r="D22" s="111">
        <f t="shared" si="1"/>
        <v>6593.72</v>
      </c>
      <c r="E22" s="134">
        <f t="shared" si="2"/>
        <v>52253.13</v>
      </c>
      <c r="F22" s="2991"/>
      <c r="G22" s="2992">
        <f>'数据-基础表'!O13</f>
        <v>52253.13</v>
      </c>
      <c r="H22" s="943">
        <f t="shared" si="6"/>
        <v>43.09</v>
      </c>
      <c r="I22" s="116">
        <f t="shared" si="7"/>
        <v>341.48</v>
      </c>
      <c r="J22" s="1849"/>
      <c r="K22" s="2371">
        <f t="shared" si="3"/>
        <v>341.48</v>
      </c>
      <c r="L22" s="273">
        <f t="shared" si="4"/>
        <v>0</v>
      </c>
      <c r="M22" s="2372">
        <f t="shared" si="8"/>
        <v>341.48</v>
      </c>
      <c r="N22" s="2373"/>
      <c r="O22" s="2374"/>
      <c r="P22" s="2375">
        <f t="shared" si="9"/>
        <v>0</v>
      </c>
      <c r="R22" s="273">
        <f t="shared" si="5"/>
        <v>6636.81</v>
      </c>
      <c r="S22" s="2132">
        <f t="shared" si="5"/>
        <v>52594.61</v>
      </c>
    </row>
    <row r="23" spans="1:19">
      <c r="A23" s="137"/>
      <c r="B23" s="115" t="s">
        <v>226</v>
      </c>
      <c r="C23" s="138"/>
      <c r="D23" s="111">
        <f>ROUND($D$3*E23/$E$3,2)</f>
        <v>0</v>
      </c>
      <c r="E23" s="134">
        <f>SUM(F23:G23)</f>
        <v>0</v>
      </c>
      <c r="F23" s="2991"/>
      <c r="G23" s="2992"/>
      <c r="H23" s="943">
        <f>ROUND($D$3*I23/$E$3,2)</f>
        <v>0</v>
      </c>
      <c r="I23" s="116">
        <f t="shared" si="7"/>
        <v>0</v>
      </c>
      <c r="J23" s="1849"/>
      <c r="K23" s="2371">
        <f t="shared" si="3"/>
        <v>0</v>
      </c>
      <c r="L23" s="273">
        <f t="shared" si="4"/>
        <v>0</v>
      </c>
      <c r="M23" s="2372">
        <f t="shared" si="8"/>
        <v>0</v>
      </c>
      <c r="N23" s="2373"/>
      <c r="O23" s="2374"/>
      <c r="P23" s="2375">
        <f t="shared" si="9"/>
        <v>0</v>
      </c>
      <c r="R23" s="273">
        <f t="shared" si="5"/>
        <v>0</v>
      </c>
      <c r="S23" s="2132">
        <f t="shared" si="5"/>
        <v>0</v>
      </c>
    </row>
    <row r="24" spans="1:19">
      <c r="A24" s="137"/>
      <c r="B24" s="115" t="s">
        <v>226</v>
      </c>
      <c r="C24" s="138"/>
      <c r="D24" s="111">
        <f>ROUND($D$3*E24/$E$3,2)</f>
        <v>0</v>
      </c>
      <c r="E24" s="134">
        <f>SUM(F24:G24)</f>
        <v>0</v>
      </c>
      <c r="F24" s="2991"/>
      <c r="G24" s="2992"/>
      <c r="H24" s="943">
        <f>ROUND($D$3*I24/$E$3,2)</f>
        <v>0</v>
      </c>
      <c r="I24" s="116">
        <f t="shared" si="7"/>
        <v>0</v>
      </c>
      <c r="J24" s="1849"/>
      <c r="K24" s="2371">
        <f t="shared" si="3"/>
        <v>0</v>
      </c>
      <c r="L24" s="273">
        <f t="shared" si="4"/>
        <v>0</v>
      </c>
      <c r="M24" s="2372">
        <f t="shared" si="8"/>
        <v>0</v>
      </c>
      <c r="N24" s="2373"/>
      <c r="O24" s="2374"/>
      <c r="P24" s="2375">
        <f t="shared" si="9"/>
        <v>0</v>
      </c>
      <c r="R24" s="273">
        <f t="shared" si="5"/>
        <v>0</v>
      </c>
      <c r="S24" s="2132">
        <f t="shared" si="5"/>
        <v>0</v>
      </c>
    </row>
    <row r="25" spans="1:19">
      <c r="A25" s="137"/>
      <c r="B25" s="115" t="s">
        <v>226</v>
      </c>
      <c r="C25" s="138"/>
      <c r="D25" s="111">
        <f t="shared" si="1"/>
        <v>0</v>
      </c>
      <c r="E25" s="134">
        <f t="shared" si="2"/>
        <v>0</v>
      </c>
      <c r="F25" s="2991"/>
      <c r="G25" s="2992"/>
      <c r="H25" s="110">
        <f t="shared" si="6"/>
        <v>0</v>
      </c>
      <c r="I25" s="116">
        <f t="shared" si="7"/>
        <v>0</v>
      </c>
      <c r="J25" s="1849"/>
      <c r="K25" s="2371">
        <f t="shared" si="3"/>
        <v>0</v>
      </c>
      <c r="L25" s="273">
        <f t="shared" si="4"/>
        <v>0</v>
      </c>
      <c r="M25" s="2372">
        <f t="shared" si="8"/>
        <v>0</v>
      </c>
      <c r="N25" s="2373"/>
      <c r="O25" s="2374"/>
      <c r="P25" s="2375">
        <f t="shared" si="9"/>
        <v>0</v>
      </c>
      <c r="R25" s="273">
        <f t="shared" si="5"/>
        <v>0</v>
      </c>
      <c r="S25" s="2132">
        <f t="shared" si="5"/>
        <v>0</v>
      </c>
    </row>
    <row r="26" spans="1:19">
      <c r="A26" s="137"/>
      <c r="B26" s="115" t="s">
        <v>226</v>
      </c>
      <c r="C26" s="140"/>
      <c r="D26" s="111">
        <f t="shared" si="1"/>
        <v>0</v>
      </c>
      <c r="E26" s="134">
        <f t="shared" si="2"/>
        <v>0</v>
      </c>
      <c r="F26" s="2991"/>
      <c r="G26" s="2992"/>
      <c r="H26" s="110">
        <f t="shared" si="6"/>
        <v>0</v>
      </c>
      <c r="I26" s="116">
        <f t="shared" si="7"/>
        <v>0</v>
      </c>
      <c r="J26" s="1849"/>
      <c r="K26" s="2376">
        <f t="shared" si="3"/>
        <v>0</v>
      </c>
      <c r="L26" s="278">
        <f t="shared" si="4"/>
        <v>0</v>
      </c>
      <c r="M26" s="144">
        <f t="shared" si="8"/>
        <v>0</v>
      </c>
      <c r="N26" s="2377"/>
      <c r="O26" s="2378"/>
      <c r="P26" s="2379">
        <f t="shared" si="9"/>
        <v>0</v>
      </c>
      <c r="R26" s="273">
        <f t="shared" si="5"/>
        <v>0</v>
      </c>
      <c r="S26" s="2132">
        <f t="shared" si="5"/>
        <v>0</v>
      </c>
    </row>
    <row r="27" spans="1:19" ht="15.75" thickBot="1">
      <c r="A27" s="137"/>
      <c r="B27" s="111"/>
      <c r="C27" s="127" t="s">
        <v>215</v>
      </c>
      <c r="D27" s="134">
        <f>SUM(D19:D26)</f>
        <v>22507.350000000002</v>
      </c>
      <c r="E27" s="141">
        <f>IF(SUM(E19:E26)='数据-基础表'!BA5,SUM(E19:E26),IF(F27="地上面积有误","面积有误","地下面积有误"))</f>
        <v>178363.59</v>
      </c>
      <c r="F27" s="134">
        <f>IF(SUM(F19:F26)=E8,SUM(F19:F26),"地上面积有误")</f>
        <v>126110.45999999999</v>
      </c>
      <c r="G27" s="112">
        <f>SUM(G19:G26)</f>
        <v>52253.13</v>
      </c>
      <c r="H27" s="944">
        <f>SUM(H19:H26)</f>
        <v>801.53000000000009</v>
      </c>
      <c r="I27" s="945">
        <f>SUM(I19:I26)</f>
        <v>6351.8799999999992</v>
      </c>
      <c r="J27" s="1849"/>
      <c r="K27" s="2380">
        <f>SUM(K19:K26)</f>
        <v>1165.6300000000001</v>
      </c>
      <c r="L27" s="2381">
        <f>SUM(L19:L26)</f>
        <v>5186.25</v>
      </c>
      <c r="M27" s="2382">
        <f>SUM(M19:M26)</f>
        <v>6351.8799999999992</v>
      </c>
      <c r="N27" s="2380">
        <f t="shared" ref="N27:O27" si="10">SUM(N19:N26)</f>
        <v>0</v>
      </c>
      <c r="O27" s="2381">
        <f t="shared" si="10"/>
        <v>0</v>
      </c>
      <c r="P27" s="2383">
        <f>SUM(P19:P26)</f>
        <v>0</v>
      </c>
      <c r="R27" s="2136">
        <f>IF(SUM(R19:R26)=$D$3,SUM(R19:R26),SUM(R19:R26)&amp;"误差"&amp;ROUND(SUM(R19:R26)-$D$3,2))</f>
        <v>23308.880000000001</v>
      </c>
      <c r="S27" s="273" t="str">
        <f>IF(SUM(S19:S26)=$E$3,SUM(S19:S26),SUM(S19:S26)&amp;"误差"&amp;ROUND(SUM(S19:S26)-E3,2))</f>
        <v>184715.47误差0.01</v>
      </c>
    </row>
    <row r="28" spans="1:19">
      <c r="A28" s="137"/>
      <c r="B28" s="115" t="s">
        <v>227</v>
      </c>
      <c r="C28" s="135" t="s">
        <v>228</v>
      </c>
      <c r="D28" s="111">
        <f>ROUND($D$3*E28/$E$3,2)</f>
        <v>147.09</v>
      </c>
      <c r="E28" s="134">
        <f>SUM(F28:G28)</f>
        <v>1165.6199999999999</v>
      </c>
      <c r="F28" s="142">
        <f>'数据-基础表'!BQ5+'数据-基础表'!BS5</f>
        <v>454.77</v>
      </c>
      <c r="G28" s="143">
        <f>'数据-基础表'!BR5+'数据-基础表'!BT5</f>
        <v>710.85</v>
      </c>
      <c r="H28" s="2987"/>
      <c r="I28" s="2987"/>
      <c r="J28" s="2987"/>
      <c r="K28" s="2987"/>
      <c r="L28" s="2987"/>
      <c r="M28" s="2987"/>
      <c r="N28" s="2987"/>
      <c r="O28" s="2987"/>
      <c r="P28" s="2987"/>
    </row>
    <row r="29" spans="1:19">
      <c r="A29" s="137"/>
      <c r="B29" s="115" t="s">
        <v>227</v>
      </c>
      <c r="C29" s="2144" t="s">
        <v>2109</v>
      </c>
      <c r="D29" s="111">
        <f>ROUND($D$3*E29/$E$3,2)</f>
        <v>654.44000000000005</v>
      </c>
      <c r="E29" s="134">
        <f>SUM(F29:G29)</f>
        <v>5186.25</v>
      </c>
      <c r="F29" s="142">
        <f>'数据-基础表'!BM5+'数据-基础表'!BO5</f>
        <v>5186.25</v>
      </c>
      <c r="G29" s="144">
        <f>'数据-基础表'!BN5+'数据-基础表'!BP5</f>
        <v>0</v>
      </c>
      <c r="H29" s="2987"/>
      <c r="I29" s="2987"/>
      <c r="J29" s="2987"/>
      <c r="K29" s="2987"/>
      <c r="L29" s="2987"/>
      <c r="M29" s="2987"/>
      <c r="N29" s="2987"/>
      <c r="O29" s="2987"/>
      <c r="P29" s="2987"/>
    </row>
    <row r="30" spans="1:19">
      <c r="A30" s="137"/>
      <c r="B30" s="111"/>
      <c r="C30" s="145" t="s">
        <v>215</v>
      </c>
      <c r="D30" s="134">
        <f>SUM(D28:D29)</f>
        <v>801.53000000000009</v>
      </c>
      <c r="E30" s="134">
        <f>SUM(E28:E29)</f>
        <v>6351.87</v>
      </c>
      <c r="F30" s="134">
        <f>SUM(F28:F29)</f>
        <v>5641.02</v>
      </c>
      <c r="G30" s="112">
        <f>SUM(G28:G29)</f>
        <v>710.85</v>
      </c>
      <c r="H30" s="2987"/>
      <c r="I30" s="2987"/>
      <c r="J30" s="2987"/>
      <c r="K30" s="2987"/>
      <c r="L30" s="2987"/>
      <c r="M30" s="2987"/>
      <c r="N30" s="2987"/>
      <c r="O30" s="2987"/>
      <c r="P30" s="2987"/>
    </row>
    <row r="31" spans="1:19" ht="32.25" customHeight="1" thickBot="1">
      <c r="A31" s="1274"/>
      <c r="B31" s="1275" t="s">
        <v>229</v>
      </c>
      <c r="C31" s="2161" t="s">
        <v>2111</v>
      </c>
      <c r="D31" s="1276">
        <f>D27+D30</f>
        <v>23308.880000000001</v>
      </c>
      <c r="E31" s="1276">
        <f>E27+E30</f>
        <v>184715.46</v>
      </c>
      <c r="F31" s="1277">
        <f>F27+F30</f>
        <v>131751.47999999998</v>
      </c>
      <c r="G31" s="1278">
        <f>G27+G30</f>
        <v>52963.979999999996</v>
      </c>
      <c r="H31" s="2987"/>
      <c r="I31" s="2987"/>
      <c r="J31" s="2987"/>
      <c r="K31" s="2987"/>
      <c r="L31" s="2987"/>
      <c r="M31" s="2987"/>
      <c r="N31" s="2987"/>
      <c r="O31" s="2987"/>
      <c r="P31" s="2987"/>
    </row>
    <row r="32" spans="1:19">
      <c r="A32" s="1849"/>
      <c r="B32" s="2173" t="s">
        <v>2110</v>
      </c>
      <c r="C32" s="2408"/>
      <c r="D32" s="1146"/>
      <c r="E32" s="1146">
        <f>SUMIF(C19:C26,"*住宅*",E19:E26)</f>
        <v>100035.04</v>
      </c>
      <c r="F32" s="1146"/>
      <c r="G32" s="1146"/>
      <c r="H32" s="2987"/>
      <c r="I32" s="2987"/>
      <c r="J32" s="2987"/>
      <c r="K32" s="2987"/>
      <c r="L32" s="2987"/>
      <c r="M32" s="2987"/>
      <c r="N32" s="2987"/>
      <c r="O32" s="2987"/>
      <c r="P32" s="2987"/>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I6" activePane="bottomRight" state="frozen"/>
      <selection pane="topRight" activeCell="D1" sqref="D1"/>
      <selection pane="bottomLeft" activeCell="A4" sqref="A4"/>
      <selection pane="bottomRight" activeCell="N14" sqref="N14"/>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59"/>
    <col min="42" max="42" width="13.75" style="1859" customWidth="1"/>
    <col min="43" max="83" width="13.75" style="1859"/>
    <col min="84" max="16384" width="13.75" style="1148"/>
  </cols>
  <sheetData>
    <row r="1" spans="1:83" ht="19.5" thickBot="1">
      <c r="A1" s="146" t="s">
        <v>234</v>
      </c>
      <c r="B1" s="1147"/>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2994"/>
      <c r="AO1" s="2994"/>
      <c r="AP1" s="2994"/>
      <c r="AQ1" s="2994"/>
      <c r="AR1" s="2994"/>
      <c r="AS1" s="2994"/>
      <c r="AT1" s="2994"/>
      <c r="AU1" s="2994"/>
      <c r="AV1" s="2994"/>
      <c r="AW1" s="2994"/>
      <c r="AX1" s="2994"/>
      <c r="AY1" s="2994"/>
      <c r="AZ1" s="2994"/>
    </row>
    <row r="2" spans="1:83" s="1151" customFormat="1" ht="15.75" thickBot="1">
      <c r="A2" s="147" t="s">
        <v>235</v>
      </c>
      <c r="B2" s="2169">
        <f>项目基本情况!D3</f>
        <v>44895</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2997"/>
      <c r="AO2" s="2997"/>
      <c r="AP2" s="2997"/>
      <c r="AQ2" s="2997"/>
      <c r="AR2" s="2997"/>
      <c r="AS2" s="2997"/>
      <c r="AT2" s="2997"/>
      <c r="AU2" s="2997"/>
      <c r="AV2" s="2997"/>
      <c r="AW2" s="2997"/>
      <c r="AX2" s="2997"/>
      <c r="AY2" s="2997"/>
      <c r="AZ2" s="2997"/>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1" customFormat="1" ht="15" thickBot="1">
      <c r="A3" s="1152"/>
      <c r="B3" s="1149"/>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2997"/>
      <c r="AO3" s="2997"/>
      <c r="AP3" s="2997"/>
      <c r="AQ3" s="2997"/>
      <c r="AR3" s="2997"/>
      <c r="AS3" s="2997"/>
      <c r="AT3" s="2997"/>
      <c r="AU3" s="2997"/>
      <c r="AV3" s="2997"/>
      <c r="AW3" s="2997"/>
      <c r="AX3" s="2997"/>
      <c r="AY3" s="2997"/>
      <c r="AZ3" s="2997"/>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1" customFormat="1" ht="15" thickBot="1">
      <c r="A4" s="148" t="s">
        <v>843</v>
      </c>
      <c r="B4" s="150"/>
      <c r="C4" s="151"/>
      <c r="D4" s="1153"/>
      <c r="E4" s="1154" t="s">
        <v>844</v>
      </c>
      <c r="F4" s="151"/>
      <c r="G4" s="151"/>
      <c r="H4" s="151"/>
      <c r="I4" s="151"/>
      <c r="J4" s="152"/>
      <c r="K4" s="1155"/>
      <c r="L4" s="1156"/>
      <c r="M4" s="151"/>
      <c r="N4" s="1154" t="s">
        <v>845</v>
      </c>
      <c r="O4" s="151"/>
      <c r="P4" s="151"/>
      <c r="Q4" s="151"/>
      <c r="R4" s="151"/>
      <c r="S4" s="152"/>
      <c r="T4" s="946" t="str">
        <f>'数据-汇总表'!I17</f>
        <v>按面积比例</v>
      </c>
      <c r="U4" s="150" t="s">
        <v>846</v>
      </c>
      <c r="V4" s="151"/>
      <c r="W4" s="151"/>
      <c r="X4" s="151"/>
      <c r="Y4" s="152"/>
      <c r="Z4" s="123" t="s">
        <v>847</v>
      </c>
      <c r="AA4" s="123"/>
      <c r="AB4" s="123"/>
      <c r="AC4" s="123"/>
      <c r="AD4" s="123"/>
      <c r="AE4" s="121" t="s">
        <v>848</v>
      </c>
      <c r="AF4" s="123"/>
      <c r="AG4" s="153"/>
      <c r="AH4" s="150"/>
      <c r="AI4" s="151"/>
      <c r="AJ4" s="151"/>
      <c r="AK4" s="151"/>
      <c r="AL4" s="151"/>
      <c r="AM4" s="152"/>
      <c r="AN4" s="2997"/>
      <c r="AO4" s="2997"/>
      <c r="AP4" s="2997"/>
      <c r="AQ4" s="2997"/>
      <c r="AR4" s="2997"/>
      <c r="AS4" s="2997"/>
      <c r="AT4" s="2997"/>
      <c r="AU4" s="2997"/>
      <c r="AV4" s="2997"/>
      <c r="AW4" s="2997"/>
      <c r="AX4" s="2997"/>
      <c r="AY4" s="2997"/>
      <c r="AZ4" s="2997"/>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7" customFormat="1" ht="40.5">
      <c r="A5" s="2135" t="s">
        <v>2113</v>
      </c>
      <c r="B5" s="154" t="s">
        <v>236</v>
      </c>
      <c r="C5" s="155" t="s">
        <v>237</v>
      </c>
      <c r="D5" s="156" t="s">
        <v>238</v>
      </c>
      <c r="E5" s="157" t="s">
        <v>239</v>
      </c>
      <c r="F5" s="158" t="s">
        <v>240</v>
      </c>
      <c r="G5" s="157" t="s">
        <v>241</v>
      </c>
      <c r="H5" s="157" t="s">
        <v>841</v>
      </c>
      <c r="I5" s="157" t="s">
        <v>842</v>
      </c>
      <c r="J5" s="159" t="s">
        <v>242</v>
      </c>
      <c r="K5" s="160" t="s">
        <v>243</v>
      </c>
      <c r="L5" s="161" t="s">
        <v>244</v>
      </c>
      <c r="M5" s="162" t="s">
        <v>245</v>
      </c>
      <c r="N5" s="1164" t="s">
        <v>3160</v>
      </c>
      <c r="O5" s="161" t="s">
        <v>246</v>
      </c>
      <c r="P5" s="163" t="s">
        <v>247</v>
      </c>
      <c r="Q5" s="164" t="s">
        <v>248</v>
      </c>
      <c r="R5" s="165" t="s">
        <v>249</v>
      </c>
      <c r="S5" s="2384" t="s">
        <v>2289</v>
      </c>
      <c r="T5" s="166" t="s">
        <v>250</v>
      </c>
      <c r="U5" s="167" t="s">
        <v>251</v>
      </c>
      <c r="V5" s="157" t="s">
        <v>252</v>
      </c>
      <c r="W5" s="157" t="s">
        <v>253</v>
      </c>
      <c r="X5" s="1685"/>
      <c r="Y5" s="168" t="s">
        <v>254</v>
      </c>
      <c r="Z5" s="169" t="s">
        <v>255</v>
      </c>
      <c r="AA5" s="157" t="s">
        <v>252</v>
      </c>
      <c r="AB5" s="157" t="s">
        <v>253</v>
      </c>
      <c r="AC5" s="1686"/>
      <c r="AD5" s="170" t="s">
        <v>254</v>
      </c>
      <c r="AE5" s="1" t="s">
        <v>849</v>
      </c>
      <c r="AF5" s="157" t="s">
        <v>256</v>
      </c>
      <c r="AG5" s="168" t="s">
        <v>257</v>
      </c>
      <c r="AH5" s="1686" t="s">
        <v>2112</v>
      </c>
      <c r="AI5" s="169" t="s">
        <v>2081</v>
      </c>
      <c r="AJ5" s="169" t="s">
        <v>258</v>
      </c>
      <c r="AK5" s="157" t="s">
        <v>259</v>
      </c>
      <c r="AL5" s="157" t="s">
        <v>260</v>
      </c>
      <c r="AM5" s="170" t="s">
        <v>261</v>
      </c>
      <c r="AN5" s="2197" t="s">
        <v>2159</v>
      </c>
      <c r="AO5" s="3008"/>
      <c r="AP5" s="2993" t="s">
        <v>2704</v>
      </c>
      <c r="AQ5" s="3008"/>
      <c r="AR5" s="3008"/>
      <c r="AS5" s="3008"/>
      <c r="AT5" s="3008"/>
      <c r="AU5" s="3008"/>
      <c r="AV5" s="3008"/>
      <c r="AW5" s="3008"/>
      <c r="AX5" s="3008"/>
      <c r="AY5" s="3008"/>
      <c r="AZ5" s="3008"/>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1" customFormat="1" ht="14.25">
      <c r="A6" s="2133" t="str">
        <f>'数据-汇总表'!C19</f>
        <v>住宅</v>
      </c>
      <c r="B6" s="2168" t="str">
        <f>IF(A6=0,"","经营性")</f>
        <v>经营性</v>
      </c>
      <c r="C6" s="171" t="s">
        <v>901</v>
      </c>
      <c r="D6" s="2139">
        <f>SUMIF(项目基本情况!D$15:I$15,C6,项目基本情况!D$18:I$18)</f>
        <v>70</v>
      </c>
      <c r="E6" s="2140">
        <f>IF(B6="","",SUMIF(项目基本情况!D$15:I$15,C6,项目基本情况!D$17:I$17))</f>
        <v>68741</v>
      </c>
      <c r="F6" s="172">
        <f>SUMIF(项目基本情况!D$15:I$15,C6,项目基本情况!D$19:I$19)</f>
        <v>65.33</v>
      </c>
      <c r="G6" s="173">
        <f>IF(ISERROR(ROUND(POWER(1+H6,D6-F6)*(POWER(1+H6,F6)-1)/(POWER(1+H6,D6)-1),3)),0,ROUND(POWER(1+H6,D6-F6)*(POWER(1+H6,F6)-1)/(POWER(1+H6,D6)-1),3))</f>
        <v>0.99099999999999999</v>
      </c>
      <c r="H6" s="2656">
        <v>0.05</v>
      </c>
      <c r="I6" s="2656">
        <v>5.5E-2</v>
      </c>
      <c r="J6" s="174">
        <v>7.0000000000000007E-2</v>
      </c>
      <c r="K6" s="177">
        <f>SUMIF('数据-汇总表'!C$19:C$33,'数据-取费表'!A6,'数据-汇总表'!E$19:E$33)</f>
        <v>100035.04</v>
      </c>
      <c r="L6" s="2657">
        <v>2500</v>
      </c>
      <c r="M6" s="175">
        <f t="shared" ref="M6:M14" si="0">ROUND(K6*L6/10000,0)</f>
        <v>25009</v>
      </c>
      <c r="N6" s="2658">
        <v>0</v>
      </c>
      <c r="O6" s="175">
        <f>IF($N$5="成新度","——",ROUND(M6*N6,0))</f>
        <v>0</v>
      </c>
      <c r="P6" s="176">
        <f>IF($N$5="成新度","——",M6-O6)</f>
        <v>25009</v>
      </c>
      <c r="Q6" s="2659">
        <v>0.2</v>
      </c>
      <c r="R6" s="177">
        <f>SUMIF('数据-汇总表'!C$19:C$33,A6,'数据-汇总表'!R$19:R$33)</f>
        <v>13360.16</v>
      </c>
      <c r="S6" s="132">
        <f>IF('数据-汇总表'!$I$17="按面积比例",SUMIF('数据-汇总表'!C$19:C$33,A6,'数据-汇总表'!K$19:K$33),SUMIF('数据-汇总表'!C$19:C$33,A6,'数据-汇总表'!N$19:N$33))</f>
        <v>653.74</v>
      </c>
      <c r="T6" s="2065">
        <f>IF($T$4="按面积比例",IF(ISERROR(ROUND($M$14*S6/S$16,0)),"0",ROUND($M$14*S6/S$16,0)),"需自行计算录入")</f>
        <v>131</v>
      </c>
      <c r="U6" s="178"/>
      <c r="V6" s="179"/>
      <c r="W6" s="179"/>
      <c r="X6" s="2152"/>
      <c r="Y6" s="180"/>
      <c r="Z6" s="181"/>
      <c r="AA6" s="174"/>
      <c r="AB6" s="174"/>
      <c r="AC6" s="2155"/>
      <c r="AD6" s="182"/>
      <c r="AE6" s="941">
        <f ca="1">IF(AN6="",0,SUMIF(INDIRECT("'"&amp;AN6&amp;"'"&amp;"!E:E"),$AE$5,INDIRECT("'"&amp;AN6&amp;"'"&amp;"!F:F")))</f>
        <v>0</v>
      </c>
      <c r="AF6" s="139"/>
      <c r="AG6" s="1158">
        <f>IF(AF6="",0,AE6-AF6)</f>
        <v>0</v>
      </c>
      <c r="AH6" s="139"/>
      <c r="AI6" s="185"/>
      <c r="AJ6" s="186"/>
      <c r="AK6" s="187"/>
      <c r="AL6" s="188"/>
      <c r="AM6" s="2668"/>
      <c r="AN6" s="2198"/>
      <c r="AO6" s="2997"/>
      <c r="AP6" s="1149">
        <f>ROUND(1-1/(1+H6)^F6,3)</f>
        <v>0.95899999999999996</v>
      </c>
      <c r="AQ6" s="2997"/>
      <c r="AR6" s="2997"/>
      <c r="AS6" s="2997"/>
      <c r="AT6" s="2997"/>
      <c r="AU6" s="2997"/>
      <c r="AV6" s="2997"/>
      <c r="AW6" s="2997"/>
      <c r="AX6" s="2997"/>
      <c r="AY6" s="2997"/>
      <c r="AZ6" s="2997"/>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1" customFormat="1" ht="14.25">
      <c r="A7" s="2133" t="str">
        <f>'数据-汇总表'!C20</f>
        <v>商业</v>
      </c>
      <c r="B7" s="2168" t="str">
        <f t="shared" ref="B7:B13" si="1">IF(A7=0,"","经营性")</f>
        <v>经营性</v>
      </c>
      <c r="C7" s="171" t="s">
        <v>3123</v>
      </c>
      <c r="D7" s="2139">
        <f>SUMIF(项目基本情况!D$15:I$15,C7,项目基本情况!D$18:I$18)</f>
        <v>40</v>
      </c>
      <c r="E7" s="2140">
        <f>IF(B7="","",SUMIF(项目基本情况!D$15:I$15,C7,项目基本情况!D$17:I$17))</f>
        <v>57783</v>
      </c>
      <c r="F7" s="172">
        <f>SUMIF(项目基本情况!D$15:I$15,C7,项目基本情况!D$19:I$19)</f>
        <v>35.299999999999997</v>
      </c>
      <c r="G7" s="173">
        <f t="shared" ref="G7:G11" si="2">IF(ISERROR(ROUND(POWER(1+H7,D7-F7)*(POWER(1+H7,F7)-1)/(POWER(1+H7,D7)-1),3)),0,ROUND(POWER(1+H7,D7-F7)*(POWER(1+H7,F7)-1)/(POWER(1+H7,D7)-1),3))</f>
        <v>0.96199999999999997</v>
      </c>
      <c r="H7" s="2656">
        <v>5.5E-2</v>
      </c>
      <c r="I7" s="2656">
        <v>0.06</v>
      </c>
      <c r="J7" s="174">
        <v>7.4999999999999997E-2</v>
      </c>
      <c r="K7" s="177">
        <f>SUMIF('数据-汇总表'!C$19:C$33,'数据-取费表'!A7,'数据-汇总表'!E$19:E$33)</f>
        <v>2643.8</v>
      </c>
      <c r="L7" s="2657">
        <v>2500</v>
      </c>
      <c r="M7" s="175">
        <f t="shared" si="0"/>
        <v>661</v>
      </c>
      <c r="N7" s="2658">
        <v>0</v>
      </c>
      <c r="O7" s="175">
        <f t="shared" ref="O7:O14" si="3">IF($N$5="成新度","——",ROUND(M7*N7,0))</f>
        <v>0</v>
      </c>
      <c r="P7" s="176">
        <f t="shared" ref="P7:P14" si="4">IF($N$5="成新度","——",M7-O7)</f>
        <v>661</v>
      </c>
      <c r="Q7" s="2659">
        <v>0.2</v>
      </c>
      <c r="R7" s="177">
        <f>SUMIF('数据-汇总表'!C$19:C$33,A7,'数据-汇总表'!R$19:R$33)</f>
        <v>335.8</v>
      </c>
      <c r="S7" s="132">
        <f>IF('数据-汇总表'!$I$17="按面积比例",SUMIF('数据-汇总表'!C$19:C$33,A7,'数据-汇总表'!K$19:K$33),SUMIF('数据-汇总表'!C$19:C$33,A7,'数据-汇总表'!N$19:N$33))</f>
        <v>17.28</v>
      </c>
      <c r="T7" s="2065">
        <f t="shared" ref="T7:T13" si="5">IF($T$4="按面积比例",IF(ISERROR(ROUND($M$14*S7/S$16,0)),"0",ROUND($M$14*S7/S$16,0)),"需自行计算录入")</f>
        <v>3</v>
      </c>
      <c r="U7" s="178"/>
      <c r="V7" s="179"/>
      <c r="W7" s="179"/>
      <c r="X7" s="2152"/>
      <c r="Y7" s="180"/>
      <c r="Z7" s="181"/>
      <c r="AA7" s="174"/>
      <c r="AB7" s="174"/>
      <c r="AC7" s="2155"/>
      <c r="AD7" s="182"/>
      <c r="AE7" s="941">
        <f t="shared" ref="AE7:AE13" ca="1" si="6">IF(AN7="",0,SUMIF(INDIRECT("'"&amp;AN7&amp;"'"&amp;"!E:E"),$AE$5,INDIRECT("'"&amp;AN7&amp;"'"&amp;"!F:F")))</f>
        <v>0</v>
      </c>
      <c r="AF7" s="139"/>
      <c r="AG7" s="1158">
        <f t="shared" ref="AG7:AG13" si="7">IF(AF7="",0,AE7-AF7)</f>
        <v>0</v>
      </c>
      <c r="AH7" s="139"/>
      <c r="AI7" s="185"/>
      <c r="AJ7" s="186"/>
      <c r="AK7" s="187"/>
      <c r="AL7" s="188"/>
      <c r="AM7" s="2196"/>
      <c r="AN7" s="2198"/>
      <c r="AO7" s="2997"/>
      <c r="AP7" s="1149">
        <f t="shared" ref="AP7:AP13" si="8">ROUND(1-1/(1+H7)^F7,3)</f>
        <v>0.84899999999999998</v>
      </c>
      <c r="AQ7" s="2997"/>
      <c r="AR7" s="2997"/>
      <c r="AS7" s="2997"/>
      <c r="AT7" s="2997"/>
      <c r="AU7" s="2997"/>
      <c r="AV7" s="2997"/>
      <c r="AW7" s="2997"/>
      <c r="AX7" s="2997"/>
      <c r="AY7" s="2997"/>
      <c r="AZ7" s="2997"/>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1" customFormat="1" ht="14.25">
      <c r="A8" s="2133" t="str">
        <f>'数据-汇总表'!C21</f>
        <v>公寓</v>
      </c>
      <c r="B8" s="2168" t="str">
        <f t="shared" si="1"/>
        <v>经营性</v>
      </c>
      <c r="C8" s="171" t="s">
        <v>3123</v>
      </c>
      <c r="D8" s="2139">
        <f>SUMIF(项目基本情况!D$15:I$15,C8,项目基本情况!D$18:I$18)</f>
        <v>40</v>
      </c>
      <c r="E8" s="2140">
        <f>IF(B8="","",SUMIF(项目基本情况!D$15:I$15,C8,项目基本情况!D$17:I$17))</f>
        <v>57783</v>
      </c>
      <c r="F8" s="172">
        <f>SUMIF(项目基本情况!D$15:I$15,C8,项目基本情况!D$19:I$19)</f>
        <v>35.299999999999997</v>
      </c>
      <c r="G8" s="173">
        <f t="shared" si="2"/>
        <v>0.95699999999999996</v>
      </c>
      <c r="H8" s="2656">
        <v>0.05</v>
      </c>
      <c r="I8" s="2656">
        <v>5.5E-2</v>
      </c>
      <c r="J8" s="174">
        <v>7.0000000000000007E-2</v>
      </c>
      <c r="K8" s="177">
        <f>SUMIF('数据-汇总表'!C$19:C$33,'数据-取费表'!A8,'数据-汇总表'!E$19:E$33)</f>
        <v>23431.62</v>
      </c>
      <c r="L8" s="2657">
        <v>2500</v>
      </c>
      <c r="M8" s="175">
        <f>ROUND(K8*L8/10000,0)</f>
        <v>5858</v>
      </c>
      <c r="N8" s="2658">
        <v>0</v>
      </c>
      <c r="O8" s="175">
        <f t="shared" si="3"/>
        <v>0</v>
      </c>
      <c r="P8" s="176">
        <f t="shared" si="4"/>
        <v>5858</v>
      </c>
      <c r="Q8" s="2659">
        <v>0.2</v>
      </c>
      <c r="R8" s="177">
        <f>SUMIF('数据-汇总表'!C$19:C$33,A8,'数据-汇总表'!R$19:R$33)</f>
        <v>2976.11</v>
      </c>
      <c r="S8" s="132">
        <f>IF('数据-汇总表'!$I$17="按面积比例",SUMIF('数据-汇总表'!C$19:C$33,A8,'数据-汇总表'!K$19:K$33),SUMIF('数据-汇总表'!C$19:C$33,A8,'数据-汇总表'!N$19:N$33))</f>
        <v>153.13</v>
      </c>
      <c r="T8" s="2065">
        <f t="shared" si="5"/>
        <v>31</v>
      </c>
      <c r="U8" s="178"/>
      <c r="V8" s="179"/>
      <c r="W8" s="179"/>
      <c r="X8" s="2152"/>
      <c r="Y8" s="180"/>
      <c r="Z8" s="181"/>
      <c r="AA8" s="174"/>
      <c r="AB8" s="174"/>
      <c r="AC8" s="2155"/>
      <c r="AD8" s="182"/>
      <c r="AE8" s="941">
        <f t="shared" ca="1" si="6"/>
        <v>0</v>
      </c>
      <c r="AF8" s="139"/>
      <c r="AG8" s="1158">
        <f t="shared" si="7"/>
        <v>0</v>
      </c>
      <c r="AH8" s="139"/>
      <c r="AI8" s="185"/>
      <c r="AJ8" s="186"/>
      <c r="AK8" s="187"/>
      <c r="AL8" s="188"/>
      <c r="AM8" s="2196"/>
      <c r="AN8" s="2198"/>
      <c r="AO8" s="2997"/>
      <c r="AP8" s="1149">
        <f t="shared" si="8"/>
        <v>0.82099999999999995</v>
      </c>
      <c r="AQ8" s="2997"/>
      <c r="AR8" s="2997"/>
      <c r="AS8" s="2997"/>
      <c r="AT8" s="2997"/>
      <c r="AU8" s="2997"/>
      <c r="AV8" s="2997"/>
      <c r="AW8" s="2997"/>
      <c r="AX8" s="2997"/>
      <c r="AY8" s="2997"/>
      <c r="AZ8" s="2997"/>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1" customFormat="1" ht="14.25">
      <c r="A9" s="2133" t="str">
        <f>'数据-汇总表'!C22</f>
        <v>地下车库</v>
      </c>
      <c r="B9" s="2168" t="str">
        <f t="shared" si="1"/>
        <v>经营性</v>
      </c>
      <c r="C9" s="171" t="s">
        <v>3155</v>
      </c>
      <c r="D9" s="2139">
        <f>SUMIF(项目基本情况!D$15:I$15,C9,项目基本情况!D$18:I$18)</f>
        <v>50</v>
      </c>
      <c r="E9" s="2140">
        <f>IF(B9="","",SUMIF(项目基本情况!D$15:I$15,C9,项目基本情况!D$17:I$17))</f>
        <v>61436</v>
      </c>
      <c r="F9" s="172">
        <f>SUMIF(项目基本情况!D$15:I$15,C9,项目基本情况!D$19:I$19)</f>
        <v>45.31</v>
      </c>
      <c r="G9" s="173">
        <f t="shared" si="2"/>
        <v>0.97499999999999998</v>
      </c>
      <c r="H9" s="174">
        <v>0.05</v>
      </c>
      <c r="I9" s="174">
        <v>5.5E-2</v>
      </c>
      <c r="J9" s="174">
        <v>7.0000000000000007E-2</v>
      </c>
      <c r="K9" s="177">
        <f>SUMIF('数据-汇总表'!C$19:C$33,'数据-取费表'!A9,'数据-汇总表'!E$19:E$33)</f>
        <v>52253.13</v>
      </c>
      <c r="L9" s="191">
        <v>2000</v>
      </c>
      <c r="M9" s="175">
        <f t="shared" si="0"/>
        <v>10451</v>
      </c>
      <c r="N9" s="192">
        <v>0</v>
      </c>
      <c r="O9" s="175">
        <f t="shared" si="3"/>
        <v>0</v>
      </c>
      <c r="P9" s="176">
        <f t="shared" si="4"/>
        <v>10451</v>
      </c>
      <c r="Q9" s="190">
        <v>0.1</v>
      </c>
      <c r="R9" s="177">
        <f>SUMIF('数据-汇总表'!C$19:C$33,A9,'数据-汇总表'!R$19:R$33)</f>
        <v>6636.81</v>
      </c>
      <c r="S9" s="132">
        <f>IF('数据-汇总表'!$I$17="按面积比例",SUMIF('数据-汇总表'!C$19:C$33,A9,'数据-汇总表'!K$19:K$33),SUMIF('数据-汇总表'!C$19:C$33,A9,'数据-汇总表'!N$19:N$33))</f>
        <v>341.48</v>
      </c>
      <c r="T9" s="2065">
        <f t="shared" si="5"/>
        <v>68</v>
      </c>
      <c r="U9" s="178">
        <v>0.5</v>
      </c>
      <c r="V9" s="179">
        <v>2.5000000000000001E-2</v>
      </c>
      <c r="W9" s="179">
        <v>0.1</v>
      </c>
      <c r="X9" s="2152"/>
      <c r="Y9" s="180">
        <v>1</v>
      </c>
      <c r="Z9" s="181"/>
      <c r="AA9" s="174"/>
      <c r="AB9" s="174"/>
      <c r="AC9" s="2155"/>
      <c r="AD9" s="182"/>
      <c r="AE9" s="941">
        <f t="shared" ca="1" si="6"/>
        <v>42.81</v>
      </c>
      <c r="AF9" s="139"/>
      <c r="AG9" s="1158">
        <f t="shared" si="7"/>
        <v>0</v>
      </c>
      <c r="AH9" s="139"/>
      <c r="AI9" s="185">
        <v>365</v>
      </c>
      <c r="AJ9" s="186"/>
      <c r="AK9" s="187">
        <v>0.01</v>
      </c>
      <c r="AL9" s="188">
        <v>1E-3</v>
      </c>
      <c r="AM9" s="2196">
        <v>0.01</v>
      </c>
      <c r="AN9" s="2198" t="s">
        <v>3452</v>
      </c>
      <c r="AO9" s="2997"/>
      <c r="AP9" s="1149">
        <f t="shared" si="8"/>
        <v>0.89</v>
      </c>
      <c r="AQ9" s="2997"/>
      <c r="AR9" s="2997"/>
      <c r="AS9" s="2997"/>
      <c r="AT9" s="2997"/>
      <c r="AU9" s="2997"/>
      <c r="AV9" s="2997"/>
      <c r="AW9" s="2997"/>
      <c r="AX9" s="2997"/>
      <c r="AY9" s="2997"/>
      <c r="AZ9" s="2997"/>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1" customFormat="1" ht="14.25">
      <c r="A10" s="2133">
        <f>'数据-汇总表'!C23</f>
        <v>0</v>
      </c>
      <c r="B10" s="2168" t="str">
        <f t="shared" si="1"/>
        <v/>
      </c>
      <c r="C10" s="171"/>
      <c r="D10" s="2139">
        <f>SUMIF(项目基本情况!D$15:I$15,C10,项目基本情况!D$18:I$18)</f>
        <v>0</v>
      </c>
      <c r="E10" s="214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5">
        <f t="shared" si="5"/>
        <v>0</v>
      </c>
      <c r="U10" s="178"/>
      <c r="V10" s="179"/>
      <c r="W10" s="179"/>
      <c r="X10" s="2152"/>
      <c r="Y10" s="180"/>
      <c r="Z10" s="181"/>
      <c r="AA10" s="174"/>
      <c r="AB10" s="174"/>
      <c r="AC10" s="2155"/>
      <c r="AD10" s="182"/>
      <c r="AE10" s="941">
        <f t="shared" ca="1" si="6"/>
        <v>0</v>
      </c>
      <c r="AF10" s="139"/>
      <c r="AG10" s="1158">
        <f t="shared" si="7"/>
        <v>0</v>
      </c>
      <c r="AH10" s="139"/>
      <c r="AI10" s="185"/>
      <c r="AJ10" s="186"/>
      <c r="AK10" s="187"/>
      <c r="AL10" s="188"/>
      <c r="AM10" s="2196"/>
      <c r="AN10" s="2198"/>
      <c r="AO10" s="2997"/>
      <c r="AP10" s="1149">
        <f t="shared" si="8"/>
        <v>0</v>
      </c>
      <c r="AQ10" s="2997"/>
      <c r="AR10" s="2997"/>
      <c r="AS10" s="2997"/>
      <c r="AT10" s="2997"/>
      <c r="AU10" s="2997"/>
      <c r="AV10" s="2997"/>
      <c r="AW10" s="2997"/>
      <c r="AX10" s="2997"/>
      <c r="AY10" s="2997"/>
      <c r="AZ10" s="2997"/>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1" customFormat="1" ht="14.25">
      <c r="A11" s="2133">
        <f>'数据-汇总表'!C24</f>
        <v>0</v>
      </c>
      <c r="B11" s="2168" t="str">
        <f t="shared" si="1"/>
        <v/>
      </c>
      <c r="C11" s="171"/>
      <c r="D11" s="2139">
        <f>SUMIF(项目基本情况!D$15:I$15,C11,项目基本情况!D$18:I$18)</f>
        <v>0</v>
      </c>
      <c r="E11" s="214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5">
        <f t="shared" si="5"/>
        <v>0</v>
      </c>
      <c r="U11" s="183"/>
      <c r="V11" s="174"/>
      <c r="W11" s="174"/>
      <c r="X11" s="2155"/>
      <c r="Y11" s="180"/>
      <c r="Z11" s="193"/>
      <c r="AA11" s="174"/>
      <c r="AB11" s="174"/>
      <c r="AC11" s="2155"/>
      <c r="AD11" s="182"/>
      <c r="AE11" s="941">
        <f t="shared" ca="1" si="6"/>
        <v>0</v>
      </c>
      <c r="AF11" s="139"/>
      <c r="AG11" s="1158">
        <f t="shared" si="7"/>
        <v>0</v>
      </c>
      <c r="AH11" s="139"/>
      <c r="AI11" s="185"/>
      <c r="AJ11" s="186"/>
      <c r="AK11" s="194"/>
      <c r="AL11" s="195"/>
      <c r="AM11" s="1684"/>
      <c r="AN11" s="2198"/>
      <c r="AO11" s="2997"/>
      <c r="AP11" s="1149">
        <f t="shared" si="8"/>
        <v>0</v>
      </c>
      <c r="AQ11" s="2997"/>
      <c r="AR11" s="2997"/>
      <c r="AS11" s="2997"/>
      <c r="AT11" s="2997"/>
      <c r="AU11" s="2997"/>
      <c r="AV11" s="2997"/>
      <c r="AW11" s="2997"/>
      <c r="AX11" s="2997"/>
      <c r="AY11" s="2997"/>
      <c r="AZ11" s="2997"/>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1" customFormat="1" ht="14.25">
      <c r="A12" s="2133">
        <f>'数据-汇总表'!C25</f>
        <v>0</v>
      </c>
      <c r="B12" s="2168" t="str">
        <f t="shared" si="1"/>
        <v/>
      </c>
      <c r="C12" s="171"/>
      <c r="D12" s="2139">
        <f>SUMIF(项目基本情况!D$15:I$15,C12,项目基本情况!D$18:I$18)</f>
        <v>0</v>
      </c>
      <c r="E12" s="214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5">
        <f t="shared" si="5"/>
        <v>0</v>
      </c>
      <c r="U12" s="183"/>
      <c r="V12" s="174"/>
      <c r="W12" s="174"/>
      <c r="X12" s="2155"/>
      <c r="Y12" s="180"/>
      <c r="Z12" s="193"/>
      <c r="AA12" s="174"/>
      <c r="AB12" s="174"/>
      <c r="AC12" s="2155"/>
      <c r="AD12" s="182"/>
      <c r="AE12" s="941">
        <f t="shared" ca="1" si="6"/>
        <v>0</v>
      </c>
      <c r="AF12" s="139"/>
      <c r="AG12" s="1158">
        <f t="shared" si="7"/>
        <v>0</v>
      </c>
      <c r="AH12" s="139"/>
      <c r="AI12" s="185"/>
      <c r="AJ12" s="186"/>
      <c r="AK12" s="194"/>
      <c r="AL12" s="195"/>
      <c r="AM12" s="1684"/>
      <c r="AN12" s="2198"/>
      <c r="AO12" s="2997"/>
      <c r="AP12" s="1149">
        <f t="shared" si="8"/>
        <v>0</v>
      </c>
      <c r="AQ12" s="2997"/>
      <c r="AR12" s="2997"/>
      <c r="AS12" s="2997"/>
      <c r="AT12" s="2997"/>
      <c r="AU12" s="2997"/>
      <c r="AV12" s="2997"/>
      <c r="AW12" s="2997"/>
      <c r="AX12" s="2997"/>
      <c r="AY12" s="2997"/>
      <c r="AZ12" s="2997"/>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1" customFormat="1" ht="14.25">
      <c r="A13" s="2133">
        <f>'数据-汇总表'!C26</f>
        <v>0</v>
      </c>
      <c r="B13" s="2168" t="str">
        <f t="shared" si="1"/>
        <v/>
      </c>
      <c r="C13" s="171"/>
      <c r="D13" s="2139">
        <f>SUMIF(项目基本情况!D$15:I$15,C13,项目基本情况!D$18:I$18)</f>
        <v>0</v>
      </c>
      <c r="E13" s="214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5">
        <f t="shared" si="5"/>
        <v>0</v>
      </c>
      <c r="U13" s="178"/>
      <c r="V13" s="179"/>
      <c r="W13" s="179"/>
      <c r="X13" s="2152"/>
      <c r="Y13" s="180"/>
      <c r="Z13" s="181"/>
      <c r="AA13" s="174"/>
      <c r="AB13" s="174"/>
      <c r="AC13" s="2155"/>
      <c r="AD13" s="182"/>
      <c r="AE13" s="941">
        <f t="shared" ca="1" si="6"/>
        <v>0</v>
      </c>
      <c r="AF13" s="139"/>
      <c r="AG13" s="1158">
        <f t="shared" si="7"/>
        <v>0</v>
      </c>
      <c r="AH13" s="139"/>
      <c r="AI13" s="185"/>
      <c r="AJ13" s="186"/>
      <c r="AK13" s="187"/>
      <c r="AL13" s="188"/>
      <c r="AM13" s="2196"/>
      <c r="AN13" s="2198"/>
      <c r="AO13" s="2997"/>
      <c r="AP13" s="1149">
        <f t="shared" si="8"/>
        <v>0</v>
      </c>
      <c r="AQ13" s="2997"/>
      <c r="AR13" s="2997"/>
      <c r="AS13" s="2997"/>
      <c r="AT13" s="2997"/>
      <c r="AU13" s="2997"/>
      <c r="AV13" s="2997"/>
      <c r="AW13" s="2997"/>
      <c r="AX13" s="2997"/>
      <c r="AY13" s="2997"/>
      <c r="AZ13" s="2997"/>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1" customFormat="1" ht="14.25">
      <c r="A14" s="2134" t="s">
        <v>2103</v>
      </c>
      <c r="B14" s="2137" t="s">
        <v>1478</v>
      </c>
      <c r="C14" s="2138" t="s">
        <v>2103</v>
      </c>
      <c r="D14" s="2139"/>
      <c r="E14" s="2140"/>
      <c r="F14" s="172"/>
      <c r="G14" s="173"/>
      <c r="H14" s="2141"/>
      <c r="I14" s="2141"/>
      <c r="J14" s="2141"/>
      <c r="K14" s="177">
        <f>SUMIF('数据-汇总表'!C$19:C$33,'数据-取费表'!A14,'数据-汇总表'!E$19:E$33)</f>
        <v>1165.6199999999999</v>
      </c>
      <c r="L14" s="191">
        <v>2000</v>
      </c>
      <c r="M14" s="175">
        <f t="shared" si="0"/>
        <v>233</v>
      </c>
      <c r="N14" s="192">
        <v>0</v>
      </c>
      <c r="O14" s="175">
        <f t="shared" si="3"/>
        <v>0</v>
      </c>
      <c r="P14" s="176">
        <f t="shared" si="4"/>
        <v>233</v>
      </c>
      <c r="Q14" s="2149"/>
      <c r="R14" s="177"/>
      <c r="S14" s="132"/>
      <c r="T14" s="2148"/>
      <c r="U14" s="943"/>
      <c r="V14" s="2151"/>
      <c r="W14" s="2151"/>
      <c r="X14" s="2152"/>
      <c r="Y14" s="2153"/>
      <c r="Z14" s="135"/>
      <c r="AA14" s="2154"/>
      <c r="AB14" s="2154"/>
      <c r="AC14" s="2155"/>
      <c r="AD14" s="2152"/>
      <c r="AE14" s="941"/>
      <c r="AF14" s="2127"/>
      <c r="AG14" s="1158"/>
      <c r="AH14" s="2127"/>
      <c r="AI14" s="1459"/>
      <c r="AJ14" s="1459"/>
      <c r="AK14" s="2156"/>
      <c r="AL14" s="2157"/>
      <c r="AM14" s="2158"/>
      <c r="AN14" s="2997"/>
      <c r="AO14" s="2997"/>
      <c r="AP14" s="2997"/>
      <c r="AQ14" s="2997"/>
      <c r="AR14" s="2997"/>
      <c r="AS14" s="2997"/>
      <c r="AT14" s="2997"/>
      <c r="AU14" s="2997"/>
      <c r="AV14" s="2997"/>
      <c r="AW14" s="2997"/>
      <c r="AX14" s="2997"/>
      <c r="AY14" s="2997"/>
      <c r="AZ14" s="2997"/>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1" customFormat="1" ht="27">
      <c r="A15" s="2143" t="s">
        <v>2105</v>
      </c>
      <c r="B15" s="2137" t="s">
        <v>1478</v>
      </c>
      <c r="C15" s="2138" t="s">
        <v>2104</v>
      </c>
      <c r="D15" s="2139"/>
      <c r="E15" s="2140"/>
      <c r="F15" s="172"/>
      <c r="G15" s="173"/>
      <c r="H15" s="2141"/>
      <c r="I15" s="2141"/>
      <c r="J15" s="2141"/>
      <c r="K15" s="177">
        <f>SUMIF('数据-汇总表'!C$19:C$33,'数据-取费表'!A15,'数据-汇总表'!E$19:E$33)</f>
        <v>5186.25</v>
      </c>
      <c r="L15" s="2147"/>
      <c r="M15" s="175"/>
      <c r="N15" s="2150"/>
      <c r="O15" s="175"/>
      <c r="P15" s="176"/>
      <c r="Q15" s="2149"/>
      <c r="R15" s="177"/>
      <c r="S15" s="132"/>
      <c r="T15" s="2148"/>
      <c r="U15" s="943"/>
      <c r="V15" s="2151"/>
      <c r="W15" s="2151"/>
      <c r="X15" s="2152"/>
      <c r="Y15" s="2153"/>
      <c r="Z15" s="135"/>
      <c r="AA15" s="2154"/>
      <c r="AB15" s="2154"/>
      <c r="AC15" s="2155"/>
      <c r="AD15" s="2152"/>
      <c r="AE15" s="941"/>
      <c r="AF15" s="2127"/>
      <c r="AG15" s="1158"/>
      <c r="AH15" s="2127"/>
      <c r="AI15" s="1459"/>
      <c r="AJ15" s="1459"/>
      <c r="AK15" s="2156"/>
      <c r="AL15" s="2157"/>
      <c r="AM15" s="2158"/>
      <c r="AN15" s="2997"/>
      <c r="AO15" s="2997"/>
      <c r="AP15" s="2997"/>
      <c r="AQ15" s="2997"/>
      <c r="AR15" s="2997"/>
      <c r="AS15" s="2997"/>
      <c r="AT15" s="2997"/>
      <c r="AU15" s="2997"/>
      <c r="AV15" s="2997"/>
      <c r="AW15" s="2997"/>
      <c r="AX15" s="2997"/>
      <c r="AY15" s="2997"/>
      <c r="AZ15" s="2997"/>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1" customFormat="1" ht="15.75" thickBot="1">
      <c r="A16" s="196" t="s">
        <v>262</v>
      </c>
      <c r="B16" s="197"/>
      <c r="C16" s="198"/>
      <c r="D16" s="199"/>
      <c r="E16" s="197"/>
      <c r="F16" s="197"/>
      <c r="G16" s="200">
        <f>ROUND(SUMPRODUCT(G6:G13,K6:K13)/SUMPRODUCT((G6:G13&gt;0)*(K6:K13)),3)</f>
        <v>0.98099999999999998</v>
      </c>
      <c r="H16" s="201">
        <f>ROUND(SUMPRODUCT(H6:H13,K6:K13)/SUMPRODUCT((H6:H13&gt;0)*(K6:K13)),3)</f>
        <v>0.05</v>
      </c>
      <c r="I16" s="202"/>
      <c r="J16" s="202"/>
      <c r="K16" s="203">
        <f>SUM(K6:K15)</f>
        <v>184715.46</v>
      </c>
      <c r="L16" s="204">
        <f>ROUND(M16*10000/SUM(K6:K14),0)</f>
        <v>2351</v>
      </c>
      <c r="M16" s="204">
        <f>SUM(M6:M14)</f>
        <v>42212</v>
      </c>
      <c r="N16" s="205">
        <f>ROUND(SUMPRODUCT(M6:M14,N6:N14)/M16,3)</f>
        <v>0</v>
      </c>
      <c r="O16" s="204">
        <f>SUM(O6:O14)</f>
        <v>0</v>
      </c>
      <c r="P16" s="204">
        <f>SUM(P6:P14)</f>
        <v>42212</v>
      </c>
      <c r="Q16" s="206">
        <f>ROUND(SUMPRODUCT(Q6:Q13,K6:K13)/SUMPRODUCT((Q6:Q13&gt;0)*(K6:K13)),2)</f>
        <v>0.17</v>
      </c>
      <c r="R16" s="2142">
        <f>SUM(R6:R13)</f>
        <v>23308.880000000001</v>
      </c>
      <c r="S16" s="207">
        <f>SUM(S6:S13)</f>
        <v>1165.6300000000001</v>
      </c>
      <c r="T16" s="208">
        <f>IF(SUMIF(T6:T13,"&lt;9E307")=M14,SUMIF(T6:T13,"&lt;9E307"),"有误，请检查")</f>
        <v>233</v>
      </c>
      <c r="U16" s="209"/>
      <c r="V16" s="210"/>
      <c r="W16" s="210"/>
      <c r="X16" s="213"/>
      <c r="Y16" s="211"/>
      <c r="Z16" s="212"/>
      <c r="AA16" s="210"/>
      <c r="AB16" s="210"/>
      <c r="AC16" s="213"/>
      <c r="AD16" s="213"/>
      <c r="AE16" s="209"/>
      <c r="AF16" s="210"/>
      <c r="AG16" s="211"/>
      <c r="AH16" s="210"/>
      <c r="AI16" s="212"/>
      <c r="AJ16" s="212"/>
      <c r="AK16" s="210"/>
      <c r="AL16" s="210"/>
      <c r="AM16" s="211"/>
      <c r="AN16" s="2997"/>
      <c r="AO16" s="2997"/>
      <c r="AP16" s="1149">
        <f>ROUND(SUMPRODUCT(AP6:AP13,K6:K13)/SUMPRODUCT((AP6:AP13&gt;0)*(K6:K13)),3)</f>
        <v>0.91900000000000004</v>
      </c>
      <c r="AQ16" s="2997"/>
      <c r="AR16" s="2997"/>
      <c r="AS16" s="2997"/>
      <c r="AT16" s="2997"/>
      <c r="AU16" s="2997"/>
      <c r="AV16" s="2997"/>
      <c r="AW16" s="2997"/>
      <c r="AX16" s="2997"/>
      <c r="AY16" s="2997"/>
      <c r="AZ16" s="2997"/>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59"/>
      <c r="B17" s="2994"/>
      <c r="C17" s="2994"/>
      <c r="D17" s="2995"/>
      <c r="E17" s="2995"/>
      <c r="F17" s="2994"/>
      <c r="G17" s="2994"/>
      <c r="H17" s="2994"/>
      <c r="I17" s="2994"/>
      <c r="J17" s="2994"/>
      <c r="K17" s="2996"/>
      <c r="L17" s="2996"/>
      <c r="M17" s="2994"/>
      <c r="N17" s="2994"/>
      <c r="O17" s="2994"/>
      <c r="P17" s="2994"/>
      <c r="Q17" s="2994"/>
      <c r="R17" s="2994"/>
      <c r="S17" s="2994"/>
      <c r="T17" s="2994"/>
      <c r="U17" s="2994"/>
      <c r="V17" s="2994"/>
      <c r="W17" s="2994"/>
      <c r="X17" s="2994"/>
      <c r="Y17" s="2994"/>
      <c r="Z17" s="2994"/>
      <c r="AA17" s="2994"/>
      <c r="AB17" s="2994"/>
      <c r="AC17" s="2994"/>
      <c r="AD17" s="2994"/>
      <c r="AE17" s="2994"/>
      <c r="AF17" s="2994"/>
      <c r="AG17" s="2994"/>
      <c r="AH17" s="2994"/>
      <c r="AI17" s="2994"/>
      <c r="AJ17" s="2994"/>
      <c r="AK17" s="2994"/>
      <c r="AL17" s="2994"/>
      <c r="AM17" s="2994"/>
      <c r="AN17" s="2994"/>
      <c r="AO17" s="2994"/>
      <c r="AP17" s="2994"/>
      <c r="AQ17" s="2994"/>
      <c r="AR17" s="2994"/>
      <c r="AS17" s="2994"/>
      <c r="AT17" s="2994"/>
      <c r="AU17" s="2994"/>
      <c r="AV17" s="2994"/>
      <c r="AW17" s="2994"/>
      <c r="AX17" s="2994"/>
      <c r="AY17" s="2994"/>
      <c r="AZ17" s="2994"/>
    </row>
    <row r="18" spans="1:83" ht="15" thickBot="1">
      <c r="A18" s="148" t="s">
        <v>263</v>
      </c>
      <c r="B18" s="2997"/>
      <c r="C18" s="2997"/>
      <c r="D18" s="2998"/>
      <c r="E18" s="2997"/>
      <c r="F18" s="2997"/>
      <c r="G18" s="2997"/>
      <c r="H18" s="2997"/>
      <c r="I18" s="2997"/>
      <c r="J18" s="2997"/>
      <c r="K18" s="2996"/>
      <c r="L18" s="2996"/>
      <c r="M18" s="2994"/>
      <c r="N18" s="2994"/>
      <c r="O18" s="2994"/>
      <c r="P18" s="2994"/>
      <c r="Q18" s="2994"/>
      <c r="R18" s="2994"/>
      <c r="S18" s="2994"/>
      <c r="T18" s="2994"/>
      <c r="U18" s="2994"/>
      <c r="V18" s="2994"/>
      <c r="W18" s="2994"/>
      <c r="X18" s="2994"/>
      <c r="Y18" s="2994"/>
      <c r="Z18" s="2994"/>
      <c r="AA18" s="2994"/>
      <c r="AB18" s="2994"/>
      <c r="AC18" s="2994"/>
      <c r="AD18" s="2994"/>
      <c r="AE18" s="2994"/>
      <c r="AF18" s="2994"/>
      <c r="AG18" s="2994"/>
      <c r="AH18" s="2994"/>
      <c r="AI18" s="2994"/>
      <c r="AJ18" s="2994"/>
      <c r="AK18" s="2994"/>
      <c r="AL18" s="2994"/>
      <c r="AM18" s="2994"/>
      <c r="AN18" s="2994"/>
      <c r="AO18" s="2994"/>
      <c r="AP18" s="2994"/>
      <c r="AQ18" s="2994"/>
      <c r="AR18" s="2994"/>
      <c r="AS18" s="2994"/>
      <c r="AT18" s="2994"/>
      <c r="AU18" s="2994"/>
      <c r="AV18" s="2994"/>
      <c r="AW18" s="2994"/>
      <c r="AX18" s="2994"/>
      <c r="AY18" s="2994"/>
      <c r="AZ18" s="2994"/>
    </row>
    <row r="19" spans="1:83" ht="14.25">
      <c r="A19" s="215" t="s">
        <v>264</v>
      </c>
      <c r="B19" s="216">
        <v>0</v>
      </c>
      <c r="C19" s="3009" t="s">
        <v>2716</v>
      </c>
      <c r="D19" s="2998"/>
      <c r="E19" s="2997"/>
      <c r="F19" s="2997"/>
      <c r="G19" s="2997"/>
      <c r="H19" s="2997"/>
      <c r="I19" s="2997"/>
      <c r="J19" s="2997"/>
      <c r="K19" s="2996"/>
      <c r="L19" s="2996"/>
      <c r="M19" s="2994"/>
      <c r="N19" s="2994"/>
      <c r="O19" s="2994"/>
      <c r="P19" s="2994"/>
      <c r="Q19" s="2994"/>
      <c r="R19" s="2994"/>
      <c r="S19" s="2994"/>
      <c r="T19" s="2994"/>
      <c r="U19" s="2994"/>
      <c r="V19" s="2994"/>
      <c r="W19" s="2994"/>
      <c r="X19" s="2994"/>
      <c r="Y19" s="2994"/>
      <c r="Z19" s="2994"/>
      <c r="AA19" s="2994"/>
      <c r="AB19" s="2994"/>
      <c r="AC19" s="2994"/>
      <c r="AD19" s="2994"/>
      <c r="AE19" s="2994"/>
      <c r="AF19" s="2994"/>
      <c r="AG19" s="2994"/>
      <c r="AH19" s="2994"/>
      <c r="AI19" s="2994"/>
      <c r="AJ19" s="2994"/>
      <c r="AK19" s="2994"/>
      <c r="AL19" s="2994"/>
      <c r="AM19" s="2994"/>
      <c r="AN19" s="2994"/>
      <c r="AO19" s="2994"/>
      <c r="AP19" s="2994"/>
      <c r="AQ19" s="2994"/>
      <c r="AR19" s="2994"/>
      <c r="AS19" s="2994"/>
      <c r="AT19" s="2994"/>
      <c r="AU19" s="2994"/>
      <c r="AV19" s="2994"/>
      <c r="AW19" s="2994"/>
      <c r="AX19" s="2994"/>
      <c r="AY19" s="2994"/>
      <c r="AZ19" s="2994"/>
    </row>
    <row r="20" spans="1:83" ht="14.25">
      <c r="A20" s="217" t="s">
        <v>265</v>
      </c>
      <c r="B20" s="218">
        <v>2.5</v>
      </c>
      <c r="C20" s="3009" t="s">
        <v>2124</v>
      </c>
      <c r="D20" s="2998"/>
      <c r="E20" s="2997"/>
      <c r="F20" s="2997"/>
      <c r="G20" s="2997"/>
      <c r="H20" s="2997"/>
      <c r="I20" s="2997"/>
      <c r="J20" s="2997"/>
      <c r="K20" s="2996"/>
      <c r="L20" s="2996"/>
      <c r="M20" s="2994"/>
      <c r="N20" s="2994"/>
      <c r="O20" s="2994"/>
      <c r="P20" s="2994"/>
      <c r="Q20" s="2994"/>
      <c r="R20" s="2994"/>
      <c r="S20" s="2994"/>
      <c r="T20" s="2994"/>
      <c r="U20" s="2994"/>
      <c r="V20" s="2994"/>
      <c r="W20" s="2994"/>
      <c r="X20" s="2994"/>
      <c r="Y20" s="2994"/>
      <c r="Z20" s="2994"/>
      <c r="AA20" s="2994"/>
      <c r="AB20" s="2994"/>
      <c r="AC20" s="2994"/>
      <c r="AD20" s="2994"/>
      <c r="AE20" s="2994"/>
      <c r="AF20" s="2994"/>
      <c r="AG20" s="2994"/>
      <c r="AH20" s="2994"/>
      <c r="AI20" s="2994"/>
      <c r="AJ20" s="2994"/>
      <c r="AK20" s="2994"/>
      <c r="AL20" s="2994"/>
      <c r="AM20" s="2994"/>
      <c r="AN20" s="2994"/>
      <c r="AO20" s="2994"/>
      <c r="AP20" s="2994"/>
      <c r="AQ20" s="2994"/>
      <c r="AR20" s="2994"/>
      <c r="AS20" s="2994"/>
      <c r="AT20" s="2994"/>
      <c r="AU20" s="2994"/>
      <c r="AV20" s="2994"/>
      <c r="AW20" s="2994"/>
      <c r="AX20" s="2994"/>
      <c r="AY20" s="2994"/>
      <c r="AZ20" s="2994"/>
    </row>
    <row r="21" spans="1:83" ht="14.25">
      <c r="A21" s="219" t="s">
        <v>266</v>
      </c>
      <c r="B21" s="218">
        <v>0</v>
      </c>
      <c r="C21" s="2997"/>
      <c r="D21" s="2998"/>
      <c r="E21" s="2997"/>
      <c r="F21" s="2997"/>
      <c r="G21" s="2997"/>
      <c r="H21" s="2997"/>
      <c r="I21" s="2997"/>
      <c r="J21" s="2997"/>
      <c r="K21" s="2996"/>
      <c r="L21" s="2996"/>
      <c r="M21" s="2994"/>
      <c r="N21" s="2994"/>
      <c r="O21" s="2994"/>
      <c r="P21" s="2994"/>
      <c r="Q21" s="2994"/>
      <c r="R21" s="2994"/>
      <c r="S21" s="2994"/>
      <c r="T21" s="2994"/>
      <c r="U21" s="2994"/>
      <c r="V21" s="2994"/>
      <c r="W21" s="2994"/>
      <c r="X21" s="2994"/>
      <c r="Y21" s="2994"/>
      <c r="Z21" s="2994"/>
      <c r="AA21" s="2994"/>
      <c r="AB21" s="2994"/>
      <c r="AC21" s="2994"/>
      <c r="AD21" s="2994"/>
      <c r="AE21" s="2994"/>
      <c r="AF21" s="2994"/>
      <c r="AG21" s="2994"/>
      <c r="AH21" s="2994"/>
      <c r="AI21" s="2994"/>
      <c r="AJ21" s="2994"/>
      <c r="AK21" s="2994"/>
      <c r="AL21" s="2994"/>
      <c r="AM21" s="2994"/>
      <c r="AN21" s="2994"/>
      <c r="AO21" s="2994"/>
      <c r="AP21" s="2994"/>
      <c r="AQ21" s="2994"/>
      <c r="AR21" s="2994"/>
      <c r="AS21" s="2994"/>
      <c r="AT21" s="2994"/>
      <c r="AU21" s="2994"/>
      <c r="AV21" s="2994"/>
      <c r="AW21" s="2994"/>
      <c r="AX21" s="2994"/>
      <c r="AY21" s="2994"/>
      <c r="AZ21" s="2994"/>
    </row>
    <row r="22" spans="1:83" ht="14.25">
      <c r="A22" s="217" t="s">
        <v>267</v>
      </c>
      <c r="B22" s="220">
        <f>B19+B20</f>
        <v>2.5</v>
      </c>
      <c r="C22" s="2997"/>
      <c r="D22" s="2998"/>
      <c r="E22" s="2997"/>
      <c r="F22" s="2997"/>
      <c r="G22" s="2997"/>
      <c r="H22" s="2997"/>
      <c r="I22" s="2997"/>
      <c r="J22" s="2997"/>
      <c r="K22" s="2996"/>
      <c r="L22" s="2996"/>
      <c r="M22" s="2994"/>
      <c r="N22" s="2994"/>
      <c r="O22" s="2994"/>
      <c r="P22" s="2994"/>
      <c r="Q22" s="2994"/>
      <c r="R22" s="2994"/>
      <c r="S22" s="2994"/>
      <c r="T22" s="2994"/>
      <c r="U22" s="2994"/>
      <c r="V22" s="2994"/>
      <c r="W22" s="2994"/>
      <c r="X22" s="2994"/>
      <c r="Y22" s="2994"/>
      <c r="Z22" s="2994"/>
      <c r="AA22" s="2994"/>
      <c r="AB22" s="2994"/>
      <c r="AC22" s="2994"/>
      <c r="AD22" s="2994"/>
      <c r="AE22" s="2994"/>
      <c r="AF22" s="2994"/>
      <c r="AG22" s="2994"/>
      <c r="AH22" s="2994"/>
      <c r="AI22" s="2994"/>
      <c r="AJ22" s="2994"/>
      <c r="AK22" s="2994"/>
      <c r="AL22" s="2994"/>
      <c r="AM22" s="2994"/>
      <c r="AN22" s="2994"/>
      <c r="AO22" s="2994"/>
      <c r="AP22" s="2994"/>
      <c r="AQ22" s="2994"/>
      <c r="AR22" s="2994"/>
      <c r="AS22" s="2994"/>
      <c r="AT22" s="2994"/>
      <c r="AU22" s="2994"/>
      <c r="AV22" s="2994"/>
      <c r="AW22" s="2994"/>
      <c r="AX22" s="2994"/>
      <c r="AY22" s="2994"/>
      <c r="AZ22" s="2994"/>
    </row>
    <row r="23" spans="1:83" ht="14.25">
      <c r="A23" s="219" t="s">
        <v>268</v>
      </c>
      <c r="B23" s="220">
        <f>B19+B21</f>
        <v>0</v>
      </c>
      <c r="C23" s="2997"/>
      <c r="D23" s="2998"/>
      <c r="E23" s="2997"/>
      <c r="F23" s="2997"/>
      <c r="G23" s="2997"/>
      <c r="H23" s="2997"/>
      <c r="I23" s="2997"/>
      <c r="J23" s="2997"/>
      <c r="K23" s="2996"/>
      <c r="L23" s="2996"/>
      <c r="M23" s="2994"/>
      <c r="N23" s="2994"/>
      <c r="O23" s="2994"/>
      <c r="P23" s="2994"/>
      <c r="Q23" s="2994"/>
      <c r="R23" s="2994"/>
      <c r="S23" s="2994"/>
      <c r="T23" s="2994"/>
      <c r="U23" s="2994"/>
      <c r="V23" s="2994"/>
      <c r="W23" s="2994"/>
      <c r="X23" s="2994"/>
      <c r="Y23" s="2994"/>
      <c r="Z23" s="2994"/>
      <c r="AA23" s="2994"/>
      <c r="AB23" s="2994"/>
      <c r="AC23" s="2994"/>
      <c r="AD23" s="2994"/>
      <c r="AE23" s="2994"/>
      <c r="AF23" s="2994"/>
      <c r="AG23" s="2994"/>
      <c r="AH23" s="2994"/>
      <c r="AI23" s="2994"/>
      <c r="AJ23" s="2994"/>
      <c r="AK23" s="2994"/>
      <c r="AL23" s="2994"/>
      <c r="AM23" s="2994"/>
      <c r="AN23" s="2994"/>
      <c r="AO23" s="2994"/>
      <c r="AP23" s="2994"/>
      <c r="AQ23" s="2994"/>
      <c r="AR23" s="2994"/>
      <c r="AS23" s="2994"/>
      <c r="AT23" s="2994"/>
      <c r="AU23" s="2994"/>
      <c r="AV23" s="2994"/>
      <c r="AW23" s="2994"/>
      <c r="AX23" s="2994"/>
      <c r="AY23" s="2994"/>
      <c r="AZ23" s="2994"/>
    </row>
    <row r="24" spans="1:83" ht="15" thickBot="1">
      <c r="A24" s="221" t="s">
        <v>269</v>
      </c>
      <c r="B24" s="222">
        <f>B20-B21</f>
        <v>2.5</v>
      </c>
      <c r="C24" s="2997"/>
      <c r="D24" s="2998"/>
      <c r="E24" s="2997"/>
      <c r="F24" s="2997"/>
      <c r="G24" s="2997"/>
      <c r="H24" s="2997"/>
      <c r="I24" s="2997"/>
      <c r="J24" s="2997"/>
      <c r="K24" s="2996"/>
      <c r="L24" s="2996"/>
      <c r="M24" s="2994"/>
      <c r="N24" s="2994"/>
      <c r="O24" s="2994"/>
      <c r="P24" s="2994"/>
      <c r="Q24" s="2994"/>
      <c r="R24" s="2994"/>
      <c r="S24" s="2994"/>
      <c r="T24" s="2994"/>
      <c r="U24" s="2994"/>
      <c r="V24" s="2994"/>
      <c r="W24" s="2994"/>
      <c r="X24" s="2994"/>
      <c r="Y24" s="2994"/>
      <c r="Z24" s="2994"/>
      <c r="AA24" s="2994"/>
      <c r="AB24" s="2994"/>
      <c r="AC24" s="2994"/>
      <c r="AD24" s="2994"/>
      <c r="AE24" s="2994"/>
      <c r="AF24" s="2994"/>
      <c r="AG24" s="2994"/>
      <c r="AH24" s="2994"/>
      <c r="AI24" s="2994"/>
      <c r="AJ24" s="2994"/>
      <c r="AK24" s="2994"/>
      <c r="AL24" s="2994"/>
      <c r="AM24" s="2994"/>
      <c r="AN24" s="2994"/>
      <c r="AO24" s="2994"/>
      <c r="AP24" s="2994"/>
      <c r="AQ24" s="2994"/>
      <c r="AR24" s="2994"/>
      <c r="AS24" s="2994"/>
      <c r="AT24" s="2994"/>
      <c r="AU24" s="2994"/>
      <c r="AV24" s="2994"/>
      <c r="AW24" s="2994"/>
      <c r="AX24" s="2994"/>
      <c r="AY24" s="2994"/>
      <c r="AZ24" s="2994"/>
    </row>
    <row r="25" spans="1:83" ht="15" thickBot="1">
      <c r="A25" s="1152"/>
      <c r="B25" s="1149"/>
      <c r="C25" s="2997"/>
      <c r="D25" s="2998"/>
      <c r="E25" s="2997"/>
      <c r="F25" s="2997"/>
      <c r="G25" s="2997"/>
      <c r="H25" s="2997"/>
      <c r="I25" s="2997"/>
      <c r="J25" s="2997"/>
      <c r="K25" s="2996"/>
      <c r="L25" s="2996"/>
      <c r="M25" s="2994"/>
      <c r="N25" s="2994"/>
      <c r="O25" s="2994"/>
      <c r="P25" s="2994"/>
      <c r="Q25" s="2994"/>
      <c r="R25" s="2994"/>
      <c r="S25" s="2994"/>
      <c r="T25" s="2994"/>
      <c r="U25" s="2994"/>
      <c r="V25" s="2994"/>
      <c r="W25" s="2994"/>
      <c r="X25" s="2994"/>
      <c r="Y25" s="2994"/>
      <c r="Z25" s="2994"/>
      <c r="AA25" s="2994"/>
      <c r="AB25" s="2994"/>
      <c r="AC25" s="2994"/>
      <c r="AD25" s="2994"/>
      <c r="AE25" s="2994"/>
      <c r="AF25" s="2994"/>
      <c r="AG25" s="2994"/>
      <c r="AH25" s="2994"/>
      <c r="AI25" s="2994"/>
      <c r="AJ25" s="2994"/>
      <c r="AK25" s="2994"/>
      <c r="AL25" s="2994"/>
      <c r="AM25" s="2994"/>
      <c r="AN25" s="2994"/>
      <c r="AO25" s="2994"/>
      <c r="AP25" s="2994"/>
      <c r="AQ25" s="2994"/>
      <c r="AR25" s="2994"/>
      <c r="AS25" s="2994"/>
      <c r="AT25" s="2994"/>
      <c r="AU25" s="2994"/>
      <c r="AV25" s="2994"/>
      <c r="AW25" s="2994"/>
      <c r="AX25" s="2994"/>
      <c r="AY25" s="2994"/>
      <c r="AZ25" s="2994"/>
    </row>
    <row r="26" spans="1:83" ht="15" thickBot="1">
      <c r="A26" s="147" t="s">
        <v>270</v>
      </c>
      <c r="B26" s="223" t="s">
        <v>271</v>
      </c>
      <c r="C26" s="2999" t="s">
        <v>272</v>
      </c>
      <c r="D26" s="2998"/>
      <c r="E26" s="2997"/>
      <c r="F26" s="2997"/>
      <c r="G26" s="2997"/>
      <c r="H26" s="2997"/>
      <c r="I26" s="2997"/>
      <c r="J26" s="2997"/>
      <c r="K26" s="2996"/>
      <c r="L26" s="2996"/>
      <c r="M26" s="2994"/>
      <c r="N26" s="2994"/>
      <c r="O26" s="2994"/>
      <c r="P26" s="2994"/>
      <c r="Q26" s="2994"/>
      <c r="R26" s="2994"/>
      <c r="S26" s="2994"/>
      <c r="T26" s="2994"/>
      <c r="U26" s="2994"/>
      <c r="V26" s="2994"/>
      <c r="W26" s="2994"/>
      <c r="X26" s="2994"/>
      <c r="Y26" s="2994"/>
      <c r="Z26" s="2994"/>
      <c r="AA26" s="2994"/>
      <c r="AB26" s="2994"/>
      <c r="AC26" s="2994"/>
      <c r="AD26" s="2994"/>
      <c r="AE26" s="2994"/>
      <c r="AF26" s="2994"/>
      <c r="AG26" s="2994"/>
      <c r="AH26" s="2994"/>
      <c r="AI26" s="2994"/>
      <c r="AJ26" s="2994"/>
      <c r="AK26" s="2994"/>
      <c r="AL26" s="2994"/>
      <c r="AM26" s="2994"/>
      <c r="AN26" s="2994"/>
      <c r="AO26" s="2994"/>
      <c r="AP26" s="2994"/>
      <c r="AQ26" s="2994"/>
      <c r="AR26" s="2994"/>
      <c r="AS26" s="2994"/>
      <c r="AT26" s="2994"/>
      <c r="AU26" s="2994"/>
      <c r="AV26" s="2994"/>
      <c r="AW26" s="2994"/>
      <c r="AX26" s="2994"/>
      <c r="AY26" s="2994"/>
      <c r="AZ26" s="2994"/>
    </row>
    <row r="27" spans="1:83" s="1160" customFormat="1" ht="27.75">
      <c r="A27" s="224" t="s">
        <v>2126</v>
      </c>
      <c r="B27" s="225">
        <v>170</v>
      </c>
      <c r="C27" s="3010" t="s">
        <v>2717</v>
      </c>
      <c r="D27" s="3001"/>
      <c r="E27" s="3002"/>
      <c r="F27" s="3002"/>
      <c r="G27" s="2997"/>
      <c r="H27" s="2997"/>
      <c r="I27" s="2997"/>
      <c r="J27" s="2997"/>
      <c r="K27" s="2996"/>
      <c r="L27" s="2996"/>
      <c r="M27" s="2994"/>
      <c r="N27" s="2994"/>
      <c r="O27" s="2994"/>
      <c r="P27" s="2994"/>
      <c r="Q27" s="2994"/>
      <c r="R27" s="2994"/>
      <c r="S27" s="2994"/>
      <c r="T27" s="2994"/>
      <c r="U27" s="2994"/>
      <c r="V27" s="2994"/>
      <c r="W27" s="2994"/>
      <c r="X27" s="2994"/>
      <c r="Y27" s="2994"/>
      <c r="Z27" s="2994"/>
      <c r="AA27" s="2994"/>
      <c r="AB27" s="2994"/>
      <c r="AC27" s="2994"/>
      <c r="AD27" s="2994"/>
      <c r="AE27" s="2994"/>
      <c r="AF27" s="2994"/>
      <c r="AG27" s="2994"/>
      <c r="AH27" s="2994"/>
      <c r="AI27" s="2994"/>
      <c r="AJ27" s="2994"/>
      <c r="AK27" s="2994"/>
      <c r="AL27" s="2994"/>
      <c r="AM27" s="2994"/>
      <c r="AN27" s="2994"/>
      <c r="AO27" s="2994"/>
      <c r="AP27" s="2994"/>
      <c r="AQ27" s="2994"/>
      <c r="AR27" s="2994"/>
      <c r="AS27" s="2994"/>
      <c r="AT27" s="2994"/>
      <c r="AU27" s="2994"/>
      <c r="AV27" s="2994"/>
      <c r="AW27" s="2994"/>
      <c r="AX27" s="2994"/>
      <c r="AY27" s="2994"/>
      <c r="AZ27" s="2994"/>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0" customFormat="1" ht="27.75">
      <c r="A28" s="226" t="s">
        <v>2127</v>
      </c>
      <c r="B28" s="227">
        <v>170</v>
      </c>
      <c r="C28" s="3003"/>
      <c r="D28" s="3001"/>
      <c r="E28" s="3002"/>
      <c r="F28" s="3002"/>
      <c r="G28" s="2997"/>
      <c r="H28" s="2997"/>
      <c r="I28" s="2997"/>
      <c r="J28" s="2997"/>
      <c r="K28" s="2996"/>
      <c r="L28" s="2996"/>
      <c r="M28" s="2994"/>
      <c r="N28" s="2994"/>
      <c r="O28" s="2994"/>
      <c r="P28" s="2994"/>
      <c r="Q28" s="2994"/>
      <c r="R28" s="2994"/>
      <c r="S28" s="2994"/>
      <c r="T28" s="2994"/>
      <c r="U28" s="2994"/>
      <c r="V28" s="2994"/>
      <c r="W28" s="2994"/>
      <c r="X28" s="2994"/>
      <c r="Y28" s="2994"/>
      <c r="Z28" s="2994"/>
      <c r="AA28" s="2994"/>
      <c r="AB28" s="2994"/>
      <c r="AC28" s="2994"/>
      <c r="AD28" s="2994"/>
      <c r="AE28" s="2994"/>
      <c r="AF28" s="2994"/>
      <c r="AG28" s="2994"/>
      <c r="AH28" s="2994"/>
      <c r="AI28" s="2994"/>
      <c r="AJ28" s="2994"/>
      <c r="AK28" s="2994"/>
      <c r="AL28" s="2994"/>
      <c r="AM28" s="2994"/>
      <c r="AN28" s="2994"/>
      <c r="AO28" s="2994"/>
      <c r="AP28" s="2994"/>
      <c r="AQ28" s="2994"/>
      <c r="AR28" s="2994"/>
      <c r="AS28" s="2994"/>
      <c r="AT28" s="2994"/>
      <c r="AU28" s="2994"/>
      <c r="AV28" s="2994"/>
      <c r="AW28" s="2994"/>
      <c r="AX28" s="2994"/>
      <c r="AY28" s="2994"/>
      <c r="AZ28" s="2994"/>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0" customFormat="1" ht="28.5" thickBot="1">
      <c r="A29" s="229" t="s">
        <v>2125</v>
      </c>
      <c r="B29" s="230"/>
      <c r="C29" s="3011" t="s">
        <v>2128</v>
      </c>
      <c r="D29" s="3001"/>
      <c r="E29" s="3002"/>
      <c r="F29" s="3002"/>
      <c r="G29" s="2997"/>
      <c r="H29" s="2997"/>
      <c r="I29" s="2997"/>
      <c r="J29" s="2997"/>
      <c r="K29" s="2996"/>
      <c r="L29" s="2996"/>
      <c r="M29" s="2994"/>
      <c r="N29" s="2994"/>
      <c r="O29" s="2994"/>
      <c r="P29" s="2994"/>
      <c r="Q29" s="2994"/>
      <c r="R29" s="2994"/>
      <c r="S29" s="2994"/>
      <c r="T29" s="2994"/>
      <c r="U29" s="2994"/>
      <c r="V29" s="2994"/>
      <c r="W29" s="2994"/>
      <c r="X29" s="2994"/>
      <c r="Y29" s="2994"/>
      <c r="Z29" s="2994"/>
      <c r="AA29" s="2994"/>
      <c r="AB29" s="2994"/>
      <c r="AC29" s="2994"/>
      <c r="AD29" s="2994"/>
      <c r="AE29" s="2994"/>
      <c r="AF29" s="2994"/>
      <c r="AG29" s="2994"/>
      <c r="AH29" s="2994"/>
      <c r="AI29" s="2994"/>
      <c r="AJ29" s="2994"/>
      <c r="AK29" s="2994"/>
      <c r="AL29" s="2994"/>
      <c r="AM29" s="2994"/>
      <c r="AN29" s="2994"/>
      <c r="AO29" s="2994"/>
      <c r="AP29" s="2994"/>
      <c r="AQ29" s="2994"/>
      <c r="AR29" s="2994"/>
      <c r="AS29" s="2994"/>
      <c r="AT29" s="2994"/>
      <c r="AU29" s="2994"/>
      <c r="AV29" s="2994"/>
      <c r="AW29" s="2994"/>
      <c r="AX29" s="2994"/>
      <c r="AY29" s="2994"/>
      <c r="AZ29" s="2994"/>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0" customFormat="1" ht="27">
      <c r="A30" s="233" t="s">
        <v>273</v>
      </c>
      <c r="B30" s="947">
        <v>200</v>
      </c>
      <c r="C30" s="3003"/>
      <c r="D30" s="3001"/>
      <c r="E30" s="3002"/>
      <c r="F30" s="3002"/>
      <c r="G30" s="2997"/>
      <c r="H30" s="2997"/>
      <c r="I30" s="2997"/>
      <c r="J30" s="2997"/>
      <c r="K30" s="2996"/>
      <c r="L30" s="2996"/>
      <c r="M30" s="2994"/>
      <c r="N30" s="2994"/>
      <c r="O30" s="2994"/>
      <c r="P30" s="2994"/>
      <c r="Q30" s="2994"/>
      <c r="R30" s="2994"/>
      <c r="S30" s="2994"/>
      <c r="T30" s="2994"/>
      <c r="U30" s="2994"/>
      <c r="V30" s="2994"/>
      <c r="W30" s="2994"/>
      <c r="X30" s="2994"/>
      <c r="Y30" s="2994"/>
      <c r="Z30" s="2994"/>
      <c r="AA30" s="2994"/>
      <c r="AB30" s="2994"/>
      <c r="AC30" s="2994"/>
      <c r="AD30" s="2994"/>
      <c r="AE30" s="2994"/>
      <c r="AF30" s="2994"/>
      <c r="AG30" s="2994"/>
      <c r="AH30" s="2994"/>
      <c r="AI30" s="2994"/>
      <c r="AJ30" s="2994"/>
      <c r="AK30" s="2994"/>
      <c r="AL30" s="2994"/>
      <c r="AM30" s="2994"/>
      <c r="AN30" s="2994"/>
      <c r="AO30" s="2994"/>
      <c r="AP30" s="2994"/>
      <c r="AQ30" s="2994"/>
      <c r="AR30" s="2994"/>
      <c r="AS30" s="2994"/>
      <c r="AT30" s="2994"/>
      <c r="AU30" s="2994"/>
      <c r="AV30" s="2994"/>
      <c r="AW30" s="2994"/>
      <c r="AX30" s="2994"/>
      <c r="AY30" s="2994"/>
      <c r="AZ30" s="2994"/>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0" customFormat="1" ht="27">
      <c r="A31" s="226" t="s">
        <v>274</v>
      </c>
      <c r="B31" s="228">
        <f>B30-B32</f>
        <v>150</v>
      </c>
      <c r="C31" s="3000"/>
      <c r="D31" s="3001"/>
      <c r="E31" s="3002"/>
      <c r="F31" s="3002"/>
      <c r="G31" s="2997"/>
      <c r="H31" s="2997"/>
      <c r="I31" s="2997"/>
      <c r="J31" s="2997"/>
      <c r="K31" s="2996"/>
      <c r="L31" s="2996"/>
      <c r="M31" s="2994"/>
      <c r="N31" s="2994"/>
      <c r="O31" s="2994"/>
      <c r="P31" s="2994"/>
      <c r="Q31" s="2994"/>
      <c r="R31" s="2994"/>
      <c r="S31" s="2994"/>
      <c r="T31" s="2994"/>
      <c r="U31" s="2994"/>
      <c r="V31" s="2994"/>
      <c r="W31" s="2994"/>
      <c r="X31" s="2994"/>
      <c r="Y31" s="2994"/>
      <c r="Z31" s="2994"/>
      <c r="AA31" s="2994"/>
      <c r="AB31" s="2994"/>
      <c r="AC31" s="2994"/>
      <c r="AD31" s="2994"/>
      <c r="AE31" s="2994"/>
      <c r="AF31" s="2994"/>
      <c r="AG31" s="2994"/>
      <c r="AH31" s="2994"/>
      <c r="AI31" s="2994"/>
      <c r="AJ31" s="2994"/>
      <c r="AK31" s="2994"/>
      <c r="AL31" s="2994"/>
      <c r="AM31" s="2994"/>
      <c r="AN31" s="2994"/>
      <c r="AO31" s="2994"/>
      <c r="AP31" s="2994"/>
      <c r="AQ31" s="2994"/>
      <c r="AR31" s="2994"/>
      <c r="AS31" s="2994"/>
      <c r="AT31" s="2994"/>
      <c r="AU31" s="2994"/>
      <c r="AV31" s="2994"/>
      <c r="AW31" s="2994"/>
      <c r="AX31" s="2994"/>
      <c r="AY31" s="2994"/>
      <c r="AZ31" s="2994"/>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0" customFormat="1" ht="27.75" thickBot="1">
      <c r="A32" s="235" t="s">
        <v>275</v>
      </c>
      <c r="B32" s="1282">
        <v>50</v>
      </c>
      <c r="C32" s="3003"/>
      <c r="D32" s="2998"/>
      <c r="E32" s="2997"/>
      <c r="F32" s="2997"/>
      <c r="G32" s="2997"/>
      <c r="H32" s="2997"/>
      <c r="I32" s="2997"/>
      <c r="J32" s="2997"/>
      <c r="K32" s="2996"/>
      <c r="L32" s="2996"/>
      <c r="M32" s="2994"/>
      <c r="N32" s="2994"/>
      <c r="O32" s="2994"/>
      <c r="P32" s="2994"/>
      <c r="Q32" s="2994"/>
      <c r="R32" s="2994"/>
      <c r="S32" s="2994"/>
      <c r="T32" s="2994"/>
      <c r="U32" s="2994"/>
      <c r="V32" s="2994"/>
      <c r="W32" s="2994"/>
      <c r="X32" s="2994"/>
      <c r="Y32" s="2994"/>
      <c r="Z32" s="2994"/>
      <c r="AA32" s="2994"/>
      <c r="AB32" s="2994"/>
      <c r="AC32" s="2994"/>
      <c r="AD32" s="2994"/>
      <c r="AE32" s="2994"/>
      <c r="AF32" s="2994"/>
      <c r="AG32" s="2994"/>
      <c r="AH32" s="2994"/>
      <c r="AI32" s="2994"/>
      <c r="AJ32" s="2994"/>
      <c r="AK32" s="2994"/>
      <c r="AL32" s="2994"/>
      <c r="AM32" s="2994"/>
      <c r="AN32" s="2994"/>
      <c r="AO32" s="2994"/>
      <c r="AP32" s="2994"/>
      <c r="AQ32" s="2994"/>
      <c r="AR32" s="2994"/>
      <c r="AS32" s="2994"/>
      <c r="AT32" s="2994"/>
      <c r="AU32" s="2994"/>
      <c r="AV32" s="2994"/>
      <c r="AW32" s="2994"/>
      <c r="AX32" s="2994"/>
      <c r="AY32" s="2994"/>
      <c r="AZ32" s="2994"/>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0" customFormat="1" ht="14.25">
      <c r="A33" s="224" t="s">
        <v>278</v>
      </c>
      <c r="B33" s="1283">
        <v>0.03</v>
      </c>
      <c r="C33" s="3012" t="s">
        <v>2705</v>
      </c>
      <c r="D33" s="3001"/>
      <c r="E33" s="3002"/>
      <c r="F33" s="3002"/>
      <c r="G33" s="2997"/>
      <c r="H33" s="2997"/>
      <c r="I33" s="2997"/>
      <c r="J33" s="2997"/>
      <c r="K33" s="2996"/>
      <c r="L33" s="2996"/>
      <c r="M33" s="2994"/>
      <c r="N33" s="2994"/>
      <c r="O33" s="2994"/>
      <c r="P33" s="2994"/>
      <c r="Q33" s="2994"/>
      <c r="R33" s="2994"/>
      <c r="S33" s="2994"/>
      <c r="T33" s="2994"/>
      <c r="U33" s="2994"/>
      <c r="V33" s="2994"/>
      <c r="W33" s="2994"/>
      <c r="X33" s="2994"/>
      <c r="Y33" s="2994"/>
      <c r="Z33" s="2994"/>
      <c r="AA33" s="2994"/>
      <c r="AB33" s="2994"/>
      <c r="AC33" s="2994"/>
      <c r="AD33" s="2994"/>
      <c r="AE33" s="2994"/>
      <c r="AF33" s="2994"/>
      <c r="AG33" s="2994"/>
      <c r="AH33" s="2994"/>
      <c r="AI33" s="2994"/>
      <c r="AJ33" s="2994"/>
      <c r="AK33" s="2994"/>
      <c r="AL33" s="2994"/>
      <c r="AM33" s="2994"/>
      <c r="AN33" s="2994"/>
      <c r="AO33" s="2994"/>
      <c r="AP33" s="2994"/>
      <c r="AQ33" s="2994"/>
      <c r="AR33" s="2994"/>
      <c r="AS33" s="2994"/>
      <c r="AT33" s="2994"/>
      <c r="AU33" s="2994"/>
      <c r="AV33" s="2994"/>
      <c r="AW33" s="2994"/>
      <c r="AX33" s="2994"/>
      <c r="AY33" s="2994"/>
      <c r="AZ33" s="2994"/>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6" t="s">
        <v>279</v>
      </c>
      <c r="B34" s="231">
        <v>0.05</v>
      </c>
      <c r="C34" s="3012" t="s">
        <v>2706</v>
      </c>
      <c r="D34" s="3013" t="s">
        <v>2713</v>
      </c>
      <c r="E34" s="2994"/>
      <c r="F34" s="2997"/>
      <c r="G34" s="2997"/>
      <c r="H34" s="2997"/>
      <c r="I34" s="2997"/>
      <c r="J34" s="2997"/>
      <c r="K34" s="2996"/>
      <c r="L34" s="2996"/>
      <c r="M34" s="2994"/>
      <c r="N34" s="2994"/>
      <c r="O34" s="2994"/>
      <c r="P34" s="2994"/>
      <c r="Q34" s="2994"/>
      <c r="R34" s="2994"/>
      <c r="S34" s="2994"/>
      <c r="T34" s="2994"/>
      <c r="U34" s="2994"/>
      <c r="V34" s="2994"/>
      <c r="W34" s="2994"/>
      <c r="X34" s="2994"/>
      <c r="Y34" s="2994"/>
      <c r="Z34" s="2994"/>
      <c r="AA34" s="2994"/>
      <c r="AB34" s="2994"/>
      <c r="AC34" s="2994"/>
      <c r="AD34" s="2994"/>
      <c r="AE34" s="2994"/>
      <c r="AF34" s="2994"/>
      <c r="AG34" s="2994"/>
      <c r="AH34" s="2994"/>
      <c r="AI34" s="2994"/>
      <c r="AJ34" s="2994"/>
      <c r="AK34" s="2994"/>
      <c r="AL34" s="2994"/>
      <c r="AM34" s="2994"/>
      <c r="AN34" s="2994"/>
      <c r="AO34" s="2994"/>
      <c r="AP34" s="2994"/>
      <c r="AQ34" s="2994"/>
      <c r="AR34" s="2994"/>
      <c r="AS34" s="2994"/>
      <c r="AT34" s="2994"/>
      <c r="AU34" s="2994"/>
      <c r="AV34" s="2994"/>
      <c r="AW34" s="2994"/>
      <c r="AX34" s="2994"/>
      <c r="AY34" s="2994"/>
      <c r="AZ34" s="2994"/>
    </row>
    <row r="35" spans="1:83" ht="14.25">
      <c r="A35" s="226" t="s">
        <v>276</v>
      </c>
      <c r="B35" s="227">
        <v>200</v>
      </c>
      <c r="C35" s="3012" t="s">
        <v>2707</v>
      </c>
      <c r="D35" s="2998"/>
      <c r="E35" s="2997"/>
      <c r="F35" s="2997"/>
      <c r="G35" s="2997"/>
      <c r="H35" s="2997"/>
      <c r="I35" s="2997"/>
      <c r="J35" s="2997"/>
      <c r="K35" s="2996"/>
      <c r="L35" s="2996"/>
      <c r="M35" s="2994"/>
      <c r="N35" s="2994"/>
      <c r="O35" s="2994"/>
      <c r="P35" s="2994"/>
      <c r="Q35" s="2994"/>
      <c r="R35" s="2994"/>
      <c r="S35" s="2994"/>
      <c r="T35" s="2994"/>
      <c r="U35" s="2994"/>
      <c r="V35" s="2994"/>
      <c r="W35" s="2994"/>
      <c r="X35" s="2994"/>
      <c r="Y35" s="2994"/>
      <c r="Z35" s="2994"/>
      <c r="AA35" s="2994"/>
      <c r="AB35" s="2994"/>
      <c r="AC35" s="2994"/>
      <c r="AD35" s="2994"/>
      <c r="AE35" s="2994"/>
      <c r="AF35" s="2994"/>
      <c r="AG35" s="2994"/>
      <c r="AH35" s="2994"/>
      <c r="AI35" s="2994"/>
      <c r="AJ35" s="2994"/>
      <c r="AK35" s="2994"/>
      <c r="AL35" s="2994"/>
      <c r="AM35" s="2994"/>
      <c r="AN35" s="2994"/>
      <c r="AO35" s="2994"/>
      <c r="AP35" s="2994"/>
      <c r="AQ35" s="2994"/>
      <c r="AR35" s="2994"/>
      <c r="AS35" s="2994"/>
      <c r="AT35" s="2994"/>
      <c r="AU35" s="2994"/>
      <c r="AV35" s="2994"/>
      <c r="AW35" s="2994"/>
      <c r="AX35" s="2994"/>
      <c r="AY35" s="2994"/>
      <c r="AZ35" s="2994"/>
    </row>
    <row r="36" spans="1:83" ht="15" thickBot="1">
      <c r="A36" s="229" t="s">
        <v>277</v>
      </c>
      <c r="B36" s="232">
        <v>1.4999999999999999E-2</v>
      </c>
      <c r="C36" s="3012" t="s">
        <v>2708</v>
      </c>
      <c r="D36" s="2995"/>
      <c r="E36" s="2994"/>
      <c r="F36" s="2997"/>
      <c r="G36" s="2997"/>
      <c r="H36" s="2997"/>
      <c r="I36" s="2997"/>
      <c r="J36" s="2997"/>
      <c r="K36" s="2996"/>
      <c r="L36" s="2996"/>
      <c r="M36" s="2994"/>
      <c r="N36" s="2994"/>
      <c r="O36" s="2994"/>
      <c r="P36" s="2994"/>
      <c r="Q36" s="2994"/>
      <c r="R36" s="2994"/>
      <c r="S36" s="2994"/>
      <c r="T36" s="2994"/>
      <c r="U36" s="2994"/>
      <c r="V36" s="2994"/>
      <c r="W36" s="2994"/>
      <c r="X36" s="2994"/>
      <c r="Y36" s="2994"/>
      <c r="Z36" s="2994"/>
      <c r="AA36" s="2994"/>
      <c r="AB36" s="2994"/>
      <c r="AC36" s="2994"/>
      <c r="AD36" s="2994"/>
      <c r="AE36" s="2994"/>
      <c r="AF36" s="2994"/>
      <c r="AG36" s="2994"/>
      <c r="AH36" s="2994"/>
      <c r="AI36" s="2994"/>
      <c r="AJ36" s="2994"/>
      <c r="AK36" s="2994"/>
      <c r="AL36" s="2994"/>
      <c r="AM36" s="2994"/>
      <c r="AN36" s="2994"/>
      <c r="AO36" s="2994"/>
      <c r="AP36" s="2994"/>
      <c r="AQ36" s="2994"/>
      <c r="AR36" s="2994"/>
      <c r="AS36" s="2994"/>
      <c r="AT36" s="2994"/>
      <c r="AU36" s="2994"/>
      <c r="AV36" s="2994"/>
      <c r="AW36" s="2994"/>
      <c r="AX36" s="2994"/>
      <c r="AY36" s="2994"/>
      <c r="AZ36" s="2994"/>
    </row>
    <row r="37" spans="1:83" ht="14.25">
      <c r="A37" s="233" t="s">
        <v>280</v>
      </c>
      <c r="B37" s="234">
        <v>0.02</v>
      </c>
      <c r="C37" s="3012" t="s">
        <v>2709</v>
      </c>
      <c r="D37" s="2998"/>
      <c r="E37" s="2997"/>
      <c r="F37" s="2997"/>
      <c r="G37" s="2997"/>
      <c r="H37" s="2997"/>
      <c r="I37" s="2997"/>
      <c r="J37" s="2997"/>
      <c r="K37" s="2996"/>
      <c r="L37" s="2996"/>
      <c r="M37" s="2994"/>
      <c r="N37" s="2994"/>
      <c r="O37" s="2994"/>
      <c r="P37" s="2994"/>
      <c r="Q37" s="2994"/>
      <c r="R37" s="2994"/>
      <c r="S37" s="2994"/>
      <c r="T37" s="2994"/>
      <c r="U37" s="2994"/>
      <c r="V37" s="2994"/>
      <c r="W37" s="2994"/>
      <c r="X37" s="2994"/>
      <c r="Y37" s="2994"/>
      <c r="Z37" s="2994"/>
      <c r="AA37" s="2994"/>
      <c r="AB37" s="2994"/>
      <c r="AC37" s="2994"/>
      <c r="AD37" s="2994"/>
      <c r="AE37" s="2994"/>
      <c r="AF37" s="2994"/>
      <c r="AG37" s="2994"/>
      <c r="AH37" s="2994"/>
      <c r="AI37" s="2994"/>
      <c r="AJ37" s="2994"/>
      <c r="AK37" s="2994"/>
      <c r="AL37" s="2994"/>
      <c r="AM37" s="2994"/>
      <c r="AN37" s="2994"/>
      <c r="AO37" s="2994"/>
      <c r="AP37" s="2994"/>
      <c r="AQ37" s="2994"/>
      <c r="AR37" s="2994"/>
      <c r="AS37" s="2994"/>
      <c r="AT37" s="2994"/>
      <c r="AU37" s="2994"/>
      <c r="AV37" s="2994"/>
      <c r="AW37" s="2994"/>
      <c r="AX37" s="2994"/>
      <c r="AY37" s="2994"/>
      <c r="AZ37" s="2994"/>
    </row>
    <row r="38" spans="1:83" ht="14.25">
      <c r="A38" s="226" t="s">
        <v>281</v>
      </c>
      <c r="B38" s="231">
        <v>0.02</v>
      </c>
      <c r="C38" s="3012" t="s">
        <v>2709</v>
      </c>
      <c r="D38" s="2998"/>
      <c r="E38" s="2997"/>
      <c r="F38" s="2997"/>
      <c r="G38" s="2997"/>
      <c r="H38" s="2997"/>
      <c r="I38" s="2997"/>
      <c r="J38" s="2997"/>
      <c r="K38" s="2996"/>
      <c r="L38" s="2996"/>
      <c r="M38" s="2994"/>
      <c r="N38" s="2994"/>
      <c r="O38" s="2994"/>
      <c r="P38" s="2994"/>
      <c r="Q38" s="2994"/>
      <c r="R38" s="2994"/>
      <c r="S38" s="2994"/>
      <c r="T38" s="2994"/>
      <c r="U38" s="2994"/>
      <c r="V38" s="2994"/>
      <c r="W38" s="2994"/>
      <c r="X38" s="2994"/>
      <c r="Y38" s="2994"/>
      <c r="Z38" s="2994"/>
      <c r="AA38" s="2994"/>
      <c r="AB38" s="2994"/>
      <c r="AC38" s="2994"/>
      <c r="AD38" s="2994"/>
      <c r="AE38" s="2994"/>
      <c r="AF38" s="2994"/>
      <c r="AG38" s="2994"/>
      <c r="AH38" s="2994"/>
      <c r="AI38" s="2994"/>
      <c r="AJ38" s="2994"/>
      <c r="AK38" s="2994"/>
      <c r="AL38" s="2994"/>
      <c r="AM38" s="2994"/>
      <c r="AN38" s="2994"/>
      <c r="AO38" s="2994"/>
      <c r="AP38" s="2994"/>
      <c r="AQ38" s="2994"/>
      <c r="AR38" s="2994"/>
      <c r="AS38" s="2994"/>
      <c r="AT38" s="2994"/>
      <c r="AU38" s="2994"/>
      <c r="AV38" s="2994"/>
      <c r="AW38" s="2994"/>
      <c r="AX38" s="2994"/>
      <c r="AY38" s="2994"/>
      <c r="AZ38" s="2994"/>
    </row>
    <row r="39" spans="1:83" ht="14.25">
      <c r="A39" s="2291" t="s">
        <v>2235</v>
      </c>
      <c r="B39" s="773">
        <f ca="1">存贷款利率!C4</f>
        <v>1.4999999999999999E-2</v>
      </c>
      <c r="C39" s="3004"/>
      <c r="D39" s="2998"/>
      <c r="E39" s="2997"/>
      <c r="F39" s="2997"/>
      <c r="G39" s="2997"/>
      <c r="H39" s="2997"/>
      <c r="I39" s="2997"/>
      <c r="J39" s="2997"/>
      <c r="K39" s="2996"/>
      <c r="L39" s="2996"/>
      <c r="M39" s="2994"/>
      <c r="N39" s="2994"/>
      <c r="O39" s="2994"/>
      <c r="P39" s="2994"/>
      <c r="Q39" s="2994"/>
      <c r="R39" s="2994"/>
      <c r="S39" s="2994"/>
      <c r="T39" s="2994"/>
      <c r="U39" s="2994"/>
      <c r="V39" s="2994"/>
      <c r="W39" s="2994"/>
      <c r="X39" s="2994"/>
      <c r="Y39" s="2994"/>
      <c r="Z39" s="2994"/>
      <c r="AA39" s="2994"/>
      <c r="AB39" s="2994"/>
      <c r="AC39" s="2994"/>
      <c r="AD39" s="2994"/>
      <c r="AE39" s="2994"/>
      <c r="AF39" s="2994"/>
      <c r="AG39" s="2994"/>
      <c r="AH39" s="2994"/>
      <c r="AI39" s="2994"/>
      <c r="AJ39" s="2994"/>
      <c r="AK39" s="2994"/>
      <c r="AL39" s="2994"/>
      <c r="AM39" s="2994"/>
      <c r="AN39" s="2994"/>
      <c r="AO39" s="2994"/>
      <c r="AP39" s="2994"/>
      <c r="AQ39" s="2994"/>
      <c r="AR39" s="2994"/>
      <c r="AS39" s="2994"/>
      <c r="AT39" s="2994"/>
      <c r="AU39" s="2994"/>
      <c r="AV39" s="2994"/>
      <c r="AW39" s="2994"/>
      <c r="AX39" s="2994"/>
      <c r="AY39" s="2994"/>
      <c r="AZ39" s="2994"/>
    </row>
    <row r="40" spans="1:83" ht="15" thickBot="1">
      <c r="A40" s="3184" t="s">
        <v>3161</v>
      </c>
      <c r="B40" s="2285">
        <f ca="1">IF(A40="利息：取LPR",存贷款利率!E2,存贷款利率!E2+C40)</f>
        <v>4.1499999999999995E-2</v>
      </c>
      <c r="C40" s="3185">
        <v>5.0000000000000001E-3</v>
      </c>
      <c r="D40" s="2998"/>
      <c r="E40" s="2997"/>
      <c r="F40" s="2997"/>
      <c r="G40" s="2997"/>
      <c r="H40" s="2997"/>
      <c r="I40" s="2997"/>
      <c r="J40" s="2997"/>
      <c r="K40" s="2996"/>
      <c r="L40" s="2996"/>
      <c r="M40" s="2994"/>
      <c r="N40" s="2994"/>
      <c r="O40" s="2994"/>
      <c r="P40" s="2994"/>
      <c r="Q40" s="2994"/>
      <c r="R40" s="2994"/>
      <c r="S40" s="2994"/>
      <c r="T40" s="2994"/>
      <c r="U40" s="2994"/>
      <c r="V40" s="2994"/>
      <c r="W40" s="2994"/>
      <c r="X40" s="2994"/>
      <c r="Y40" s="2994"/>
      <c r="Z40" s="2994"/>
      <c r="AA40" s="2994"/>
      <c r="AB40" s="2994"/>
      <c r="AC40" s="2994"/>
      <c r="AD40" s="2994"/>
      <c r="AE40" s="2994"/>
      <c r="AF40" s="2994"/>
      <c r="AG40" s="2994"/>
      <c r="AH40" s="2994"/>
      <c r="AI40" s="2994"/>
      <c r="AJ40" s="2994"/>
      <c r="AK40" s="2994"/>
      <c r="AL40" s="2994"/>
      <c r="AM40" s="2994"/>
      <c r="AN40" s="2994"/>
      <c r="AO40" s="2994"/>
      <c r="AP40" s="2994"/>
      <c r="AQ40" s="2994"/>
      <c r="AR40" s="2994"/>
      <c r="AS40" s="2994"/>
      <c r="AT40" s="2994"/>
      <c r="AU40" s="2994"/>
      <c r="AV40" s="2994"/>
      <c r="AW40" s="2994"/>
      <c r="AX40" s="2994"/>
      <c r="AY40" s="2994"/>
      <c r="AZ40" s="2994"/>
    </row>
    <row r="41" spans="1:83" ht="14.25">
      <c r="A41" s="224" t="s">
        <v>282</v>
      </c>
      <c r="B41" s="236">
        <f>B42+B43</f>
        <v>5.6000000000000001E-2</v>
      </c>
      <c r="C41" s="3000"/>
      <c r="D41" s="2998"/>
      <c r="E41" s="2997"/>
      <c r="F41" s="2997"/>
      <c r="G41" s="2997"/>
      <c r="H41" s="2997"/>
      <c r="I41" s="2997"/>
      <c r="J41" s="2997"/>
      <c r="K41" s="2996"/>
      <c r="L41" s="2996"/>
      <c r="M41" s="2994"/>
      <c r="N41" s="2994"/>
      <c r="O41" s="2994"/>
      <c r="P41" s="2994"/>
      <c r="Q41" s="2994"/>
      <c r="R41" s="2994"/>
      <c r="S41" s="2994"/>
      <c r="T41" s="2994"/>
      <c r="U41" s="2994"/>
      <c r="V41" s="2994"/>
      <c r="W41" s="2994"/>
      <c r="X41" s="2994"/>
      <c r="Y41" s="2994"/>
      <c r="Z41" s="2994"/>
      <c r="AA41" s="2994"/>
      <c r="AB41" s="2994"/>
      <c r="AC41" s="2994"/>
      <c r="AD41" s="2994"/>
      <c r="AE41" s="2994"/>
      <c r="AF41" s="2994"/>
      <c r="AG41" s="2994"/>
      <c r="AH41" s="2994"/>
      <c r="AI41" s="2994"/>
      <c r="AJ41" s="2994"/>
      <c r="AK41" s="2994"/>
      <c r="AL41" s="2994"/>
      <c r="AM41" s="2994"/>
      <c r="AN41" s="2994"/>
      <c r="AO41" s="2994"/>
      <c r="AP41" s="2994"/>
      <c r="AQ41" s="2994"/>
      <c r="AR41" s="2994"/>
      <c r="AS41" s="2994"/>
      <c r="AT41" s="2994"/>
      <c r="AU41" s="2994"/>
      <c r="AV41" s="2994"/>
      <c r="AW41" s="2994"/>
      <c r="AX41" s="2994"/>
      <c r="AY41" s="2994"/>
      <c r="AZ41" s="2994"/>
    </row>
    <row r="42" spans="1:83" ht="14.25">
      <c r="A42" s="948" t="s">
        <v>283</v>
      </c>
      <c r="B42" s="238">
        <v>0.05</v>
      </c>
      <c r="C42" s="3014">
        <f>IF(B2&lt;DATE(2016,5,1),0,B42)</f>
        <v>0.05</v>
      </c>
      <c r="D42" s="2998"/>
      <c r="E42" s="2997"/>
      <c r="F42" s="2997"/>
      <c r="G42" s="2997"/>
      <c r="H42" s="2997"/>
      <c r="I42" s="2997"/>
      <c r="J42" s="2997"/>
      <c r="K42" s="2996"/>
      <c r="L42" s="2996"/>
      <c r="M42" s="2994"/>
      <c r="N42" s="2994"/>
      <c r="O42" s="2994"/>
      <c r="P42" s="2994"/>
      <c r="Q42" s="2994"/>
      <c r="R42" s="2994"/>
      <c r="S42" s="2994"/>
      <c r="T42" s="2994"/>
      <c r="U42" s="2994"/>
      <c r="V42" s="2994"/>
      <c r="W42" s="2994"/>
      <c r="X42" s="2994"/>
      <c r="Y42" s="2994"/>
      <c r="Z42" s="2994"/>
      <c r="AA42" s="2994"/>
      <c r="AB42" s="2994"/>
      <c r="AC42" s="2994"/>
      <c r="AD42" s="2994"/>
      <c r="AE42" s="2994"/>
      <c r="AF42" s="2994"/>
      <c r="AG42" s="2994"/>
      <c r="AH42" s="2994"/>
      <c r="AI42" s="2994"/>
      <c r="AJ42" s="2994"/>
      <c r="AK42" s="2994"/>
      <c r="AL42" s="2994"/>
      <c r="AM42" s="2994"/>
      <c r="AN42" s="2994"/>
      <c r="AO42" s="2994"/>
      <c r="AP42" s="2994"/>
      <c r="AQ42" s="2994"/>
      <c r="AR42" s="2994"/>
      <c r="AS42" s="2994"/>
      <c r="AT42" s="2994"/>
      <c r="AU42" s="2994"/>
      <c r="AV42" s="2994"/>
      <c r="AW42" s="2994"/>
      <c r="AX42" s="2994"/>
      <c r="AY42" s="2994"/>
      <c r="AZ42" s="2994"/>
    </row>
    <row r="43" spans="1:83" ht="14.25">
      <c r="A43" s="948" t="s">
        <v>284</v>
      </c>
      <c r="B43" s="239">
        <f>B42*(B44+B45+B46)+B47</f>
        <v>6.000000000000001E-3</v>
      </c>
      <c r="C43" s="3000"/>
      <c r="D43" s="2998"/>
      <c r="E43" s="2997"/>
      <c r="F43" s="2997"/>
      <c r="G43" s="2997"/>
      <c r="H43" s="2997"/>
      <c r="I43" s="2997"/>
      <c r="J43" s="2997"/>
      <c r="K43" s="2996"/>
      <c r="L43" s="2996"/>
      <c r="M43" s="2994"/>
      <c r="N43" s="2994"/>
      <c r="O43" s="2994"/>
      <c r="P43" s="2994"/>
      <c r="Q43" s="2994"/>
      <c r="R43" s="2994"/>
      <c r="S43" s="2994"/>
      <c r="T43" s="2994"/>
      <c r="U43" s="2994"/>
      <c r="V43" s="2994"/>
      <c r="W43" s="2994"/>
      <c r="X43" s="2994"/>
      <c r="Y43" s="2994"/>
      <c r="Z43" s="2994"/>
      <c r="AA43" s="2994"/>
      <c r="AB43" s="2994"/>
      <c r="AC43" s="2994"/>
      <c r="AD43" s="2994"/>
      <c r="AE43" s="2994"/>
      <c r="AF43" s="2994"/>
      <c r="AG43" s="2994"/>
      <c r="AH43" s="2994"/>
      <c r="AI43" s="2994"/>
      <c r="AJ43" s="2994"/>
      <c r="AK43" s="2994"/>
      <c r="AL43" s="2994"/>
      <c r="AM43" s="2994"/>
      <c r="AN43" s="2994"/>
      <c r="AO43" s="2994"/>
      <c r="AP43" s="2994"/>
      <c r="AQ43" s="2994"/>
      <c r="AR43" s="2994"/>
      <c r="AS43" s="2994"/>
      <c r="AT43" s="2994"/>
      <c r="AU43" s="2994"/>
      <c r="AV43" s="2994"/>
      <c r="AW43" s="2994"/>
      <c r="AX43" s="2994"/>
      <c r="AY43" s="2994"/>
      <c r="AZ43" s="2994"/>
    </row>
    <row r="44" spans="1:83" ht="14.25">
      <c r="A44" s="237" t="s">
        <v>285</v>
      </c>
      <c r="B44" s="240">
        <v>7.0000000000000007E-2</v>
      </c>
      <c r="C44" s="3012" t="s">
        <v>2714</v>
      </c>
      <c r="D44" s="2998"/>
      <c r="E44" s="2997"/>
      <c r="F44" s="2997"/>
      <c r="G44" s="2997"/>
      <c r="H44" s="2997"/>
      <c r="I44" s="2997"/>
      <c r="J44" s="2997"/>
      <c r="K44" s="2996"/>
      <c r="L44" s="2996"/>
      <c r="M44" s="2994"/>
      <c r="N44" s="2994"/>
      <c r="O44" s="2994"/>
      <c r="P44" s="2994"/>
      <c r="Q44" s="2994"/>
      <c r="R44" s="2994"/>
      <c r="S44" s="2994"/>
      <c r="T44" s="2994"/>
      <c r="U44" s="2994"/>
      <c r="V44" s="2994"/>
      <c r="W44" s="2994"/>
      <c r="X44" s="2994"/>
      <c r="Y44" s="2994"/>
      <c r="Z44" s="2994"/>
      <c r="AA44" s="2994"/>
      <c r="AB44" s="2994"/>
      <c r="AC44" s="2994"/>
      <c r="AD44" s="2994"/>
      <c r="AE44" s="2994"/>
      <c r="AF44" s="2994"/>
      <c r="AG44" s="2994"/>
      <c r="AH44" s="2994"/>
      <c r="AI44" s="2994"/>
      <c r="AJ44" s="2994"/>
      <c r="AK44" s="2994"/>
      <c r="AL44" s="2994"/>
      <c r="AM44" s="2994"/>
      <c r="AN44" s="2994"/>
      <c r="AO44" s="2994"/>
      <c r="AP44" s="2994"/>
      <c r="AQ44" s="2994"/>
      <c r="AR44" s="2994"/>
      <c r="AS44" s="2994"/>
      <c r="AT44" s="2994"/>
      <c r="AU44" s="2994"/>
      <c r="AV44" s="2994"/>
      <c r="AW44" s="2994"/>
      <c r="AX44" s="2994"/>
      <c r="AY44" s="2994"/>
      <c r="AZ44" s="2994"/>
    </row>
    <row r="45" spans="1:83" ht="14.25">
      <c r="A45" s="237" t="s">
        <v>286</v>
      </c>
      <c r="B45" s="238">
        <v>0.03</v>
      </c>
      <c r="C45" s="3015" t="s">
        <v>2710</v>
      </c>
      <c r="D45" s="2998"/>
      <c r="E45" s="2997"/>
      <c r="F45" s="2997"/>
      <c r="G45" s="2997"/>
      <c r="H45" s="2997"/>
      <c r="I45" s="2997"/>
      <c r="J45" s="2997"/>
      <c r="K45" s="2996"/>
      <c r="L45" s="2996"/>
      <c r="M45" s="2994"/>
      <c r="N45" s="2994"/>
      <c r="O45" s="2994"/>
      <c r="P45" s="2994"/>
      <c r="Q45" s="2994"/>
      <c r="R45" s="2994"/>
      <c r="S45" s="2994"/>
      <c r="T45" s="2994"/>
      <c r="U45" s="2994"/>
      <c r="V45" s="2994"/>
      <c r="W45" s="2994"/>
      <c r="X45" s="2994"/>
      <c r="Y45" s="2994"/>
      <c r="Z45" s="2994"/>
      <c r="AA45" s="2994"/>
      <c r="AB45" s="2994"/>
      <c r="AC45" s="2994"/>
      <c r="AD45" s="2994"/>
      <c r="AE45" s="2994"/>
      <c r="AF45" s="2994"/>
      <c r="AG45" s="2994"/>
      <c r="AH45" s="2994"/>
      <c r="AI45" s="2994"/>
      <c r="AJ45" s="2994"/>
      <c r="AK45" s="2994"/>
      <c r="AL45" s="2994"/>
      <c r="AM45" s="2994"/>
      <c r="AN45" s="2994"/>
      <c r="AO45" s="2994"/>
      <c r="AP45" s="2994"/>
      <c r="AQ45" s="2994"/>
      <c r="AR45" s="2994"/>
      <c r="AS45" s="2994"/>
      <c r="AT45" s="2994"/>
      <c r="AU45" s="2994"/>
      <c r="AV45" s="2994"/>
      <c r="AW45" s="2994"/>
      <c r="AX45" s="2994"/>
      <c r="AY45" s="2994"/>
      <c r="AZ45" s="2994"/>
    </row>
    <row r="46" spans="1:83" ht="14.25">
      <c r="A46" s="237" t="s">
        <v>287</v>
      </c>
      <c r="B46" s="238">
        <v>0.02</v>
      </c>
      <c r="C46" s="3015" t="s">
        <v>2711</v>
      </c>
      <c r="D46" s="2998"/>
      <c r="E46" s="2997"/>
      <c r="F46" s="2997"/>
      <c r="G46" s="2997"/>
      <c r="H46" s="2997"/>
      <c r="I46" s="2997"/>
      <c r="J46" s="2997"/>
      <c r="K46" s="2996"/>
      <c r="L46" s="2996"/>
      <c r="M46" s="2994"/>
      <c r="N46" s="2994"/>
      <c r="O46" s="2994"/>
      <c r="P46" s="2994"/>
      <c r="Q46" s="2994"/>
      <c r="R46" s="2994"/>
      <c r="S46" s="2994"/>
      <c r="T46" s="2994"/>
      <c r="U46" s="2994"/>
      <c r="V46" s="2994"/>
      <c r="W46" s="2994"/>
      <c r="X46" s="2994"/>
      <c r="Y46" s="2994"/>
      <c r="Z46" s="2994"/>
      <c r="AA46" s="2994"/>
      <c r="AB46" s="2994"/>
      <c r="AC46" s="2994"/>
      <c r="AD46" s="2994"/>
      <c r="AE46" s="2994"/>
      <c r="AF46" s="2994"/>
      <c r="AG46" s="2994"/>
      <c r="AH46" s="2994"/>
      <c r="AI46" s="2994"/>
      <c r="AJ46" s="2994"/>
      <c r="AK46" s="2994"/>
      <c r="AL46" s="2994"/>
      <c r="AM46" s="2994"/>
      <c r="AN46" s="2994"/>
      <c r="AO46" s="2994"/>
      <c r="AP46" s="2994"/>
      <c r="AQ46" s="2994"/>
      <c r="AR46" s="2994"/>
      <c r="AS46" s="2994"/>
      <c r="AT46" s="2994"/>
      <c r="AU46" s="2994"/>
      <c r="AV46" s="2994"/>
      <c r="AW46" s="2994"/>
      <c r="AX46" s="2994"/>
      <c r="AY46" s="2994"/>
      <c r="AZ46" s="2994"/>
    </row>
    <row r="47" spans="1:83" ht="15" thickBot="1">
      <c r="A47" s="241" t="s">
        <v>288</v>
      </c>
      <c r="B47" s="242"/>
      <c r="C47" s="3010" t="s">
        <v>2718</v>
      </c>
      <c r="D47" s="2998"/>
      <c r="E47" s="2997"/>
      <c r="F47" s="2997"/>
      <c r="G47" s="2997"/>
      <c r="H47" s="2997"/>
      <c r="I47" s="2997"/>
      <c r="J47" s="2997"/>
      <c r="K47" s="2996"/>
      <c r="L47" s="2996"/>
      <c r="M47" s="2994"/>
      <c r="N47" s="2994"/>
      <c r="O47" s="2994"/>
      <c r="P47" s="2994"/>
      <c r="Q47" s="2994"/>
      <c r="R47" s="2994"/>
      <c r="S47" s="2994"/>
      <c r="T47" s="2994"/>
      <c r="U47" s="2994"/>
      <c r="V47" s="2994"/>
      <c r="W47" s="2994"/>
      <c r="X47" s="2994"/>
      <c r="Y47" s="2994"/>
      <c r="Z47" s="2994"/>
      <c r="AA47" s="2994"/>
      <c r="AB47" s="2994"/>
      <c r="AC47" s="2994"/>
      <c r="AD47" s="2994"/>
      <c r="AE47" s="2994"/>
      <c r="AF47" s="2994"/>
      <c r="AG47" s="2994"/>
      <c r="AH47" s="2994"/>
      <c r="AI47" s="2994"/>
      <c r="AJ47" s="2994"/>
      <c r="AK47" s="2994"/>
      <c r="AL47" s="2994"/>
      <c r="AM47" s="2994"/>
      <c r="AN47" s="2994"/>
      <c r="AO47" s="2994"/>
      <c r="AP47" s="2994"/>
      <c r="AQ47" s="2994"/>
      <c r="AR47" s="2994"/>
      <c r="AS47" s="2994"/>
      <c r="AT47" s="2994"/>
      <c r="AU47" s="2994"/>
      <c r="AV47" s="2994"/>
      <c r="AW47" s="2994"/>
      <c r="AX47" s="2994"/>
      <c r="AY47" s="2994"/>
      <c r="AZ47" s="2994"/>
    </row>
    <row r="48" spans="1:83" ht="14.25">
      <c r="A48" s="243" t="s">
        <v>289</v>
      </c>
      <c r="B48" s="244">
        <v>0.04</v>
      </c>
      <c r="C48" s="3015" t="s">
        <v>2710</v>
      </c>
      <c r="D48" s="2998"/>
      <c r="E48" s="2997"/>
      <c r="F48" s="2997"/>
      <c r="G48" s="2997"/>
      <c r="H48" s="2997"/>
      <c r="I48" s="2997"/>
      <c r="J48" s="2997"/>
      <c r="K48" s="2996"/>
      <c r="L48" s="2996"/>
      <c r="M48" s="2994"/>
      <c r="N48" s="2994"/>
      <c r="O48" s="2994"/>
      <c r="P48" s="2994"/>
      <c r="Q48" s="2994"/>
      <c r="R48" s="2994"/>
      <c r="S48" s="2994"/>
      <c r="T48" s="2994"/>
      <c r="U48" s="2994"/>
      <c r="V48" s="2994"/>
      <c r="W48" s="2994"/>
      <c r="X48" s="2994"/>
      <c r="Y48" s="2994"/>
      <c r="Z48" s="2994"/>
      <c r="AA48" s="2994"/>
      <c r="AB48" s="2994"/>
      <c r="AC48" s="2994"/>
      <c r="AD48" s="2994"/>
      <c r="AE48" s="2994"/>
      <c r="AF48" s="2994"/>
      <c r="AG48" s="2994"/>
      <c r="AH48" s="2994"/>
      <c r="AI48" s="2994"/>
      <c r="AJ48" s="2994"/>
      <c r="AK48" s="2994"/>
      <c r="AL48" s="2994"/>
      <c r="AM48" s="2994"/>
      <c r="AN48" s="2994"/>
      <c r="AO48" s="2994"/>
      <c r="AP48" s="2994"/>
      <c r="AQ48" s="2994"/>
      <c r="AR48" s="2994"/>
      <c r="AS48" s="2994"/>
      <c r="AT48" s="2994"/>
      <c r="AU48" s="2994"/>
      <c r="AV48" s="2994"/>
      <c r="AW48" s="2994"/>
      <c r="AX48" s="2994"/>
      <c r="AY48" s="2994"/>
      <c r="AZ48" s="2994"/>
    </row>
    <row r="49" spans="1:52" ht="15" thickBot="1">
      <c r="A49" s="235" t="s">
        <v>290</v>
      </c>
      <c r="B49" s="238">
        <v>5.0000000000000001E-4</v>
      </c>
      <c r="C49" s="3015" t="s">
        <v>2712</v>
      </c>
      <c r="D49" s="2998"/>
      <c r="E49" s="2997"/>
      <c r="F49" s="2997"/>
      <c r="G49" s="2997"/>
      <c r="H49" s="2997"/>
      <c r="I49" s="2997"/>
      <c r="J49" s="2997"/>
      <c r="K49" s="2996"/>
      <c r="L49" s="2996"/>
      <c r="M49" s="2994"/>
      <c r="N49" s="2994"/>
      <c r="O49" s="2994"/>
      <c r="P49" s="2994"/>
      <c r="Q49" s="2994"/>
      <c r="R49" s="2994"/>
      <c r="S49" s="2994"/>
      <c r="T49" s="2994"/>
      <c r="U49" s="2994"/>
      <c r="V49" s="2994"/>
      <c r="W49" s="2994"/>
      <c r="X49" s="2994"/>
      <c r="Y49" s="2994"/>
      <c r="Z49" s="2994"/>
      <c r="AA49" s="2994"/>
      <c r="AB49" s="2994"/>
      <c r="AC49" s="2994"/>
      <c r="AD49" s="2994"/>
      <c r="AE49" s="2994"/>
      <c r="AF49" s="2994"/>
      <c r="AG49" s="2994"/>
      <c r="AH49" s="2994"/>
      <c r="AI49" s="2994"/>
      <c r="AJ49" s="2994"/>
      <c r="AK49" s="2994"/>
      <c r="AL49" s="2994"/>
      <c r="AM49" s="2994"/>
      <c r="AN49" s="2994"/>
      <c r="AO49" s="2994"/>
      <c r="AP49" s="2994"/>
      <c r="AQ49" s="2994"/>
      <c r="AR49" s="2994"/>
      <c r="AS49" s="2994"/>
      <c r="AT49" s="2994"/>
      <c r="AU49" s="2994"/>
      <c r="AV49" s="2994"/>
      <c r="AW49" s="2994"/>
      <c r="AX49" s="2994"/>
      <c r="AY49" s="2994"/>
      <c r="AZ49" s="2994"/>
    </row>
    <row r="50" spans="1:52" ht="14.25">
      <c r="A50" s="245" t="s">
        <v>291</v>
      </c>
      <c r="B50" s="246">
        <v>1.2E-2</v>
      </c>
      <c r="C50" s="3003"/>
      <c r="D50" s="2998"/>
      <c r="E50" s="2997"/>
      <c r="F50" s="2997"/>
      <c r="G50" s="2997"/>
      <c r="H50" s="2997"/>
      <c r="I50" s="2997"/>
      <c r="J50" s="2997"/>
      <c r="K50" s="2996"/>
      <c r="L50" s="2996"/>
      <c r="M50" s="2994"/>
      <c r="N50" s="2994"/>
      <c r="O50" s="2994"/>
      <c r="P50" s="2994"/>
      <c r="Q50" s="2994"/>
      <c r="R50" s="2994"/>
      <c r="S50" s="2994"/>
      <c r="T50" s="2994"/>
      <c r="U50" s="2994"/>
      <c r="V50" s="2994"/>
      <c r="W50" s="2994"/>
      <c r="X50" s="2994"/>
      <c r="Y50" s="2994"/>
      <c r="Z50" s="2994"/>
      <c r="AA50" s="2994"/>
      <c r="AB50" s="2994"/>
      <c r="AC50" s="2994"/>
      <c r="AD50" s="2994"/>
      <c r="AE50" s="2994"/>
      <c r="AF50" s="2994"/>
      <c r="AG50" s="2994"/>
      <c r="AH50" s="2994"/>
      <c r="AI50" s="2994"/>
      <c r="AJ50" s="2994"/>
      <c r="AK50" s="2994"/>
      <c r="AL50" s="2994"/>
      <c r="AM50" s="2994"/>
      <c r="AN50" s="2994"/>
      <c r="AO50" s="2994"/>
      <c r="AP50" s="2994"/>
      <c r="AQ50" s="2994"/>
      <c r="AR50" s="2994"/>
      <c r="AS50" s="2994"/>
      <c r="AT50" s="2994"/>
      <c r="AU50" s="2994"/>
      <c r="AV50" s="2994"/>
      <c r="AW50" s="2994"/>
      <c r="AX50" s="2994"/>
      <c r="AY50" s="2994"/>
      <c r="AZ50" s="2994"/>
    </row>
    <row r="51" spans="1:52" ht="15" thickBot="1">
      <c r="A51" s="229" t="s">
        <v>292</v>
      </c>
      <c r="B51" s="247">
        <v>0.12</v>
      </c>
      <c r="C51" s="3003"/>
      <c r="D51" s="2998"/>
      <c r="E51" s="2997"/>
      <c r="F51" s="2997"/>
      <c r="G51" s="2997"/>
      <c r="H51" s="2997"/>
      <c r="I51" s="2997"/>
      <c r="J51" s="2997"/>
      <c r="K51" s="2996"/>
      <c r="L51" s="2996"/>
      <c r="M51" s="2994"/>
      <c r="N51" s="2994"/>
      <c r="O51" s="2994"/>
      <c r="P51" s="2994"/>
      <c r="Q51" s="2994"/>
      <c r="R51" s="2994"/>
      <c r="S51" s="2994"/>
      <c r="T51" s="2994"/>
      <c r="U51" s="2994"/>
      <c r="V51" s="2994"/>
      <c r="W51" s="2994"/>
      <c r="X51" s="2994"/>
      <c r="Y51" s="2994"/>
      <c r="Z51" s="2994"/>
      <c r="AA51" s="2994"/>
      <c r="AB51" s="2994"/>
      <c r="AC51" s="2994"/>
      <c r="AD51" s="2994"/>
      <c r="AE51" s="2994"/>
      <c r="AF51" s="2994"/>
      <c r="AG51" s="2994"/>
      <c r="AH51" s="2994"/>
      <c r="AI51" s="2994"/>
      <c r="AJ51" s="2994"/>
      <c r="AK51" s="2994"/>
      <c r="AL51" s="2994"/>
      <c r="AM51" s="2994"/>
      <c r="AN51" s="2994"/>
      <c r="AO51" s="2994"/>
      <c r="AP51" s="2994"/>
      <c r="AQ51" s="2994"/>
      <c r="AR51" s="2994"/>
      <c r="AS51" s="2994"/>
      <c r="AT51" s="2994"/>
      <c r="AU51" s="2994"/>
      <c r="AV51" s="2994"/>
      <c r="AW51" s="2994"/>
      <c r="AX51" s="2994"/>
      <c r="AY51" s="2994"/>
      <c r="AZ51" s="2994"/>
    </row>
    <row r="52" spans="1:52" ht="14.25">
      <c r="A52" s="245" t="s">
        <v>293</v>
      </c>
      <c r="B52" s="248">
        <f>SUMIF(A54:A63,B53,B54:B63)</f>
        <v>18</v>
      </c>
      <c r="C52" s="3003"/>
      <c r="D52" s="2998"/>
      <c r="E52" s="2997"/>
      <c r="F52" s="2997"/>
      <c r="G52" s="2997"/>
      <c r="H52" s="2997"/>
      <c r="I52" s="2997"/>
      <c r="J52" s="2997"/>
      <c r="K52" s="2996"/>
      <c r="L52" s="2996"/>
      <c r="M52" s="2994"/>
      <c r="N52" s="2994"/>
      <c r="O52" s="2994"/>
      <c r="P52" s="2994"/>
      <c r="Q52" s="2994"/>
      <c r="R52" s="2994"/>
      <c r="S52" s="2994"/>
      <c r="T52" s="2994"/>
      <c r="U52" s="2994"/>
      <c r="V52" s="2994"/>
      <c r="W52" s="2994"/>
      <c r="X52" s="2994"/>
      <c r="Y52" s="2994"/>
      <c r="Z52" s="2994"/>
      <c r="AA52" s="2994"/>
      <c r="AB52" s="2994"/>
      <c r="AC52" s="2994"/>
      <c r="AD52" s="2994"/>
      <c r="AE52" s="2994"/>
      <c r="AF52" s="2994"/>
      <c r="AG52" s="2994"/>
      <c r="AH52" s="2994"/>
      <c r="AI52" s="2994"/>
      <c r="AJ52" s="2994"/>
      <c r="AK52" s="2994"/>
      <c r="AL52" s="2994"/>
      <c r="AM52" s="2994"/>
      <c r="AN52" s="2994"/>
      <c r="AO52" s="2994"/>
      <c r="AP52" s="2994"/>
      <c r="AQ52" s="2994"/>
      <c r="AR52" s="2994"/>
      <c r="AS52" s="2994"/>
      <c r="AT52" s="2994"/>
      <c r="AU52" s="2994"/>
      <c r="AV52" s="2994"/>
      <c r="AW52" s="2994"/>
      <c r="AX52" s="2994"/>
      <c r="AY52" s="2994"/>
      <c r="AZ52" s="2994"/>
    </row>
    <row r="53" spans="1:52" ht="27">
      <c r="A53" s="226" t="s">
        <v>294</v>
      </c>
      <c r="B53" s="249" t="s">
        <v>1074</v>
      </c>
      <c r="C53" s="3005" t="s">
        <v>2605</v>
      </c>
      <c r="D53" s="3016" t="s">
        <v>2715</v>
      </c>
      <c r="E53" s="2997"/>
      <c r="F53" s="2997"/>
      <c r="G53" s="2997"/>
      <c r="H53" s="2997"/>
      <c r="I53" s="2997"/>
      <c r="J53" s="2997"/>
      <c r="K53" s="2996"/>
      <c r="L53" s="2996"/>
      <c r="M53" s="2994"/>
      <c r="N53" s="2994"/>
      <c r="O53" s="2994"/>
      <c r="P53" s="2994"/>
      <c r="Q53" s="2994"/>
      <c r="R53" s="2994"/>
      <c r="S53" s="2994"/>
      <c r="T53" s="2994"/>
      <c r="U53" s="2994"/>
      <c r="V53" s="2994"/>
      <c r="W53" s="2994"/>
      <c r="X53" s="2994"/>
      <c r="Y53" s="2994"/>
      <c r="Z53" s="2994"/>
      <c r="AA53" s="2994"/>
      <c r="AB53" s="2994"/>
      <c r="AC53" s="2994"/>
      <c r="AD53" s="2994"/>
      <c r="AE53" s="2994"/>
      <c r="AF53" s="2994"/>
      <c r="AG53" s="2994"/>
      <c r="AH53" s="2994"/>
      <c r="AI53" s="2994"/>
      <c r="AJ53" s="2994"/>
      <c r="AK53" s="2994"/>
      <c r="AL53" s="2994"/>
      <c r="AM53" s="2994"/>
      <c r="AN53" s="2994"/>
      <c r="AO53" s="2994"/>
      <c r="AP53" s="2994"/>
      <c r="AQ53" s="2994"/>
      <c r="AR53" s="2994"/>
      <c r="AS53" s="2994"/>
      <c r="AT53" s="2994"/>
      <c r="AU53" s="2994"/>
      <c r="AV53" s="2994"/>
      <c r="AW53" s="2994"/>
      <c r="AX53" s="2994"/>
      <c r="AY53" s="2994"/>
      <c r="AZ53" s="2994"/>
    </row>
    <row r="54" spans="1:52" ht="14.25">
      <c r="A54" s="2689" t="s">
        <v>2606</v>
      </c>
      <c r="B54" s="184">
        <v>18</v>
      </c>
      <c r="C54" s="3002">
        <v>30</v>
      </c>
      <c r="D54" s="3006"/>
      <c r="E54" s="2997"/>
      <c r="F54" s="2997"/>
      <c r="G54" s="2997"/>
      <c r="H54" s="2997"/>
      <c r="I54" s="2997"/>
      <c r="J54" s="2997"/>
      <c r="K54" s="2996"/>
      <c r="L54" s="2996"/>
      <c r="M54" s="2994"/>
      <c r="N54" s="2994"/>
      <c r="O54" s="2994"/>
      <c r="P54" s="2994"/>
      <c r="Q54" s="2994"/>
      <c r="R54" s="2994"/>
      <c r="S54" s="2994"/>
      <c r="T54" s="2994"/>
      <c r="U54" s="2994"/>
      <c r="V54" s="2994"/>
      <c r="W54" s="2994"/>
      <c r="X54" s="2994"/>
      <c r="Y54" s="2994"/>
      <c r="Z54" s="2994"/>
      <c r="AA54" s="2994"/>
      <c r="AB54" s="2994"/>
      <c r="AC54" s="2994"/>
      <c r="AD54" s="2994"/>
      <c r="AE54" s="2994"/>
      <c r="AF54" s="2994"/>
      <c r="AG54" s="2994"/>
      <c r="AH54" s="2994"/>
      <c r="AI54" s="2994"/>
      <c r="AJ54" s="2994"/>
      <c r="AK54" s="2994"/>
      <c r="AL54" s="2994"/>
      <c r="AM54" s="2994"/>
      <c r="AN54" s="2994"/>
      <c r="AO54" s="2994"/>
      <c r="AP54" s="2994"/>
      <c r="AQ54" s="2994"/>
      <c r="AR54" s="2994"/>
      <c r="AS54" s="2994"/>
      <c r="AT54" s="2994"/>
      <c r="AU54" s="2994"/>
      <c r="AV54" s="2994"/>
      <c r="AW54" s="2994"/>
      <c r="AX54" s="2994"/>
      <c r="AY54" s="2994"/>
      <c r="AZ54" s="2994"/>
    </row>
    <row r="55" spans="1:52" ht="14.25">
      <c r="A55" s="2689" t="s">
        <v>2607</v>
      </c>
      <c r="B55" s="184"/>
      <c r="C55" s="3002">
        <v>24</v>
      </c>
      <c r="D55" s="3006"/>
      <c r="E55" s="2997"/>
      <c r="F55" s="2997"/>
      <c r="G55" s="2997"/>
      <c r="H55" s="2997"/>
      <c r="I55" s="3007"/>
      <c r="J55" s="2997"/>
      <c r="K55" s="2996"/>
      <c r="L55" s="2996"/>
      <c r="M55" s="2994"/>
      <c r="N55" s="2994"/>
      <c r="O55" s="2994"/>
      <c r="P55" s="2994"/>
      <c r="Q55" s="2994"/>
      <c r="R55" s="2994"/>
      <c r="S55" s="2994"/>
      <c r="T55" s="2994"/>
      <c r="U55" s="2994"/>
      <c r="V55" s="2994"/>
      <c r="W55" s="2994"/>
      <c r="X55" s="2994"/>
      <c r="Y55" s="2994"/>
      <c r="Z55" s="2994"/>
      <c r="AA55" s="2994"/>
      <c r="AB55" s="2994"/>
      <c r="AC55" s="2994"/>
      <c r="AD55" s="2994"/>
      <c r="AE55" s="2994"/>
      <c r="AF55" s="2994"/>
      <c r="AG55" s="2994"/>
      <c r="AH55" s="2994"/>
      <c r="AI55" s="2994"/>
      <c r="AJ55" s="2994"/>
      <c r="AK55" s="2994"/>
      <c r="AL55" s="2994"/>
      <c r="AM55" s="2994"/>
      <c r="AN55" s="2994"/>
      <c r="AO55" s="2994"/>
      <c r="AP55" s="2994"/>
      <c r="AQ55" s="2994"/>
      <c r="AR55" s="2994"/>
      <c r="AS55" s="2994"/>
      <c r="AT55" s="2994"/>
      <c r="AU55" s="2994"/>
      <c r="AV55" s="2994"/>
      <c r="AW55" s="2994"/>
      <c r="AX55" s="2994"/>
      <c r="AY55" s="2994"/>
      <c r="AZ55" s="2994"/>
    </row>
    <row r="56" spans="1:52" ht="14.25">
      <c r="A56" s="2689" t="s">
        <v>2608</v>
      </c>
      <c r="B56" s="184"/>
      <c r="C56" s="3002">
        <v>18</v>
      </c>
      <c r="D56" s="3006"/>
      <c r="E56" s="2997"/>
      <c r="F56" s="2997"/>
      <c r="G56" s="2997"/>
      <c r="H56" s="2997"/>
      <c r="I56" s="2997"/>
      <c r="J56" s="2997"/>
      <c r="K56" s="2996"/>
      <c r="L56" s="2996"/>
      <c r="M56" s="2994"/>
      <c r="N56" s="2994"/>
      <c r="O56" s="2994"/>
      <c r="P56" s="2994"/>
      <c r="Q56" s="2994"/>
      <c r="R56" s="2994"/>
      <c r="S56" s="2994"/>
      <c r="T56" s="2994"/>
      <c r="U56" s="2994"/>
      <c r="V56" s="2994"/>
      <c r="W56" s="2994"/>
      <c r="X56" s="2994"/>
      <c r="Y56" s="2994"/>
      <c r="Z56" s="2994"/>
      <c r="AA56" s="2994"/>
      <c r="AB56" s="2994"/>
      <c r="AC56" s="2994"/>
      <c r="AD56" s="2994"/>
      <c r="AE56" s="2994"/>
      <c r="AF56" s="2994"/>
      <c r="AG56" s="2994"/>
      <c r="AH56" s="2994"/>
      <c r="AI56" s="2994"/>
      <c r="AJ56" s="2994"/>
      <c r="AK56" s="2994"/>
      <c r="AL56" s="2994"/>
      <c r="AM56" s="2994"/>
      <c r="AN56" s="2994"/>
      <c r="AO56" s="2994"/>
      <c r="AP56" s="2994"/>
      <c r="AQ56" s="2994"/>
      <c r="AR56" s="2994"/>
      <c r="AS56" s="2994"/>
      <c r="AT56" s="2994"/>
      <c r="AU56" s="2994"/>
      <c r="AV56" s="2994"/>
      <c r="AW56" s="2994"/>
      <c r="AX56" s="2994"/>
      <c r="AY56" s="2994"/>
      <c r="AZ56" s="2994"/>
    </row>
    <row r="57" spans="1:52" ht="14.25">
      <c r="A57" s="2689" t="s">
        <v>2609</v>
      </c>
      <c r="B57" s="184"/>
      <c r="C57" s="3002">
        <v>12</v>
      </c>
      <c r="D57" s="3006"/>
      <c r="E57" s="2997"/>
      <c r="F57" s="2997"/>
      <c r="G57" s="2997"/>
      <c r="H57" s="2997"/>
      <c r="I57" s="2997"/>
      <c r="J57" s="2997"/>
      <c r="K57" s="2996"/>
      <c r="L57" s="2996"/>
      <c r="M57" s="2994"/>
      <c r="N57" s="2994"/>
      <c r="O57" s="2994"/>
      <c r="P57" s="2994"/>
      <c r="Q57" s="2994"/>
      <c r="R57" s="2994"/>
      <c r="S57" s="2994"/>
      <c r="T57" s="2994"/>
      <c r="U57" s="2994"/>
      <c r="V57" s="2994"/>
      <c r="W57" s="2994"/>
      <c r="X57" s="2994"/>
      <c r="Y57" s="2994"/>
      <c r="Z57" s="2994"/>
      <c r="AA57" s="2994"/>
      <c r="AB57" s="2994"/>
      <c r="AC57" s="2994"/>
      <c r="AD57" s="2994"/>
      <c r="AE57" s="2994"/>
      <c r="AF57" s="2994"/>
      <c r="AG57" s="2994"/>
      <c r="AH57" s="2994"/>
      <c r="AI57" s="2994"/>
      <c r="AJ57" s="2994"/>
      <c r="AK57" s="2994"/>
      <c r="AL57" s="2994"/>
      <c r="AM57" s="2994"/>
      <c r="AN57" s="2994"/>
      <c r="AO57" s="2994"/>
      <c r="AP57" s="2994"/>
      <c r="AQ57" s="2994"/>
      <c r="AR57" s="2994"/>
      <c r="AS57" s="2994"/>
      <c r="AT57" s="2994"/>
      <c r="AU57" s="2994"/>
      <c r="AV57" s="2994"/>
      <c r="AW57" s="2994"/>
      <c r="AX57" s="2994"/>
      <c r="AY57" s="2994"/>
      <c r="AZ57" s="2994"/>
    </row>
    <row r="58" spans="1:52" ht="14.25">
      <c r="A58" s="2689" t="s">
        <v>2610</v>
      </c>
      <c r="B58" s="184"/>
      <c r="C58" s="3002">
        <v>3</v>
      </c>
      <c r="D58" s="3006"/>
      <c r="E58" s="2997"/>
      <c r="F58" s="2997"/>
      <c r="G58" s="2997"/>
      <c r="H58" s="2997"/>
      <c r="I58" s="2997"/>
      <c r="J58" s="2997"/>
      <c r="K58" s="2996"/>
      <c r="L58" s="2996"/>
      <c r="M58" s="2994"/>
      <c r="N58" s="2994"/>
      <c r="O58" s="2994"/>
      <c r="P58" s="2994"/>
      <c r="Q58" s="2994"/>
      <c r="R58" s="2994"/>
      <c r="S58" s="2994"/>
      <c r="T58" s="2994"/>
      <c r="U58" s="2994"/>
      <c r="V58" s="2994"/>
      <c r="W58" s="2994"/>
      <c r="X58" s="2994"/>
      <c r="Y58" s="2994"/>
      <c r="Z58" s="2994"/>
      <c r="AA58" s="2994"/>
      <c r="AB58" s="2994"/>
      <c r="AC58" s="2994"/>
      <c r="AD58" s="2994"/>
      <c r="AE58" s="2994"/>
      <c r="AF58" s="2994"/>
      <c r="AG58" s="2994"/>
      <c r="AH58" s="2994"/>
      <c r="AI58" s="2994"/>
      <c r="AJ58" s="2994"/>
      <c r="AK58" s="2994"/>
      <c r="AL58" s="2994"/>
      <c r="AM58" s="2994"/>
      <c r="AN58" s="2994"/>
      <c r="AO58" s="2994"/>
      <c r="AP58" s="2994"/>
      <c r="AQ58" s="2994"/>
      <c r="AR58" s="2994"/>
      <c r="AS58" s="2994"/>
      <c r="AT58" s="2994"/>
      <c r="AU58" s="2994"/>
      <c r="AV58" s="2994"/>
      <c r="AW58" s="2994"/>
      <c r="AX58" s="2994"/>
      <c r="AY58" s="2994"/>
      <c r="AZ58" s="2994"/>
    </row>
    <row r="59" spans="1:52" ht="14.25">
      <c r="A59" s="2689" t="s">
        <v>2611</v>
      </c>
      <c r="B59" s="184"/>
      <c r="C59" s="3002">
        <v>1.5</v>
      </c>
      <c r="D59" s="3006"/>
      <c r="E59" s="2997"/>
      <c r="F59" s="2997"/>
      <c r="G59" s="2997"/>
      <c r="H59" s="2997"/>
      <c r="I59" s="2997"/>
      <c r="J59" s="2997"/>
      <c r="K59" s="2996"/>
      <c r="L59" s="2996"/>
      <c r="M59" s="2994"/>
      <c r="N59" s="2994"/>
      <c r="O59" s="2994"/>
      <c r="P59" s="2994"/>
      <c r="Q59" s="2994"/>
      <c r="R59" s="2994"/>
      <c r="S59" s="2994"/>
      <c r="T59" s="2994"/>
      <c r="U59" s="2994"/>
      <c r="V59" s="2994"/>
      <c r="W59" s="2994"/>
      <c r="X59" s="2994"/>
      <c r="Y59" s="2994"/>
      <c r="Z59" s="2994"/>
      <c r="AA59" s="2994"/>
      <c r="AB59" s="2994"/>
      <c r="AC59" s="2994"/>
      <c r="AD59" s="2994"/>
      <c r="AE59" s="2994"/>
      <c r="AF59" s="2994"/>
      <c r="AG59" s="2994"/>
      <c r="AH59" s="2994"/>
      <c r="AI59" s="2994"/>
      <c r="AJ59" s="2994"/>
      <c r="AK59" s="2994"/>
      <c r="AL59" s="2994"/>
      <c r="AM59" s="2994"/>
      <c r="AN59" s="2994"/>
      <c r="AO59" s="2994"/>
      <c r="AP59" s="2994"/>
      <c r="AQ59" s="2994"/>
      <c r="AR59" s="2994"/>
      <c r="AS59" s="2994"/>
      <c r="AT59" s="2994"/>
      <c r="AU59" s="2994"/>
      <c r="AV59" s="2994"/>
      <c r="AW59" s="2994"/>
      <c r="AX59" s="2994"/>
      <c r="AY59" s="2994"/>
      <c r="AZ59" s="2994"/>
    </row>
    <row r="60" spans="1:52" ht="14.25">
      <c r="A60" s="2689" t="s">
        <v>2612</v>
      </c>
      <c r="B60" s="184"/>
      <c r="C60" s="2997"/>
      <c r="D60" s="2998"/>
      <c r="E60" s="2997"/>
      <c r="F60" s="2997"/>
      <c r="G60" s="2997"/>
      <c r="H60" s="2997"/>
      <c r="I60" s="2997"/>
      <c r="J60" s="2997"/>
      <c r="K60" s="2996"/>
      <c r="L60" s="2996"/>
      <c r="M60" s="2994"/>
      <c r="N60" s="2994"/>
      <c r="O60" s="2994"/>
      <c r="P60" s="2994"/>
      <c r="Q60" s="2994"/>
      <c r="R60" s="2994"/>
      <c r="S60" s="2994"/>
      <c r="T60" s="2994"/>
      <c r="U60" s="2994"/>
      <c r="V60" s="2994"/>
      <c r="W60" s="2994"/>
      <c r="X60" s="2994"/>
      <c r="Y60" s="2994"/>
      <c r="Z60" s="2994"/>
      <c r="AA60" s="2994"/>
      <c r="AB60" s="2994"/>
      <c r="AC60" s="2994"/>
      <c r="AD60" s="2994"/>
      <c r="AE60" s="2994"/>
      <c r="AF60" s="2994"/>
      <c r="AG60" s="2994"/>
      <c r="AH60" s="2994"/>
      <c r="AI60" s="2994"/>
      <c r="AJ60" s="2994"/>
      <c r="AK60" s="2994"/>
      <c r="AL60" s="2994"/>
      <c r="AM60" s="2994"/>
      <c r="AN60" s="2994"/>
      <c r="AO60" s="2994"/>
      <c r="AP60" s="2994"/>
      <c r="AQ60" s="2994"/>
      <c r="AR60" s="2994"/>
      <c r="AS60" s="2994"/>
      <c r="AT60" s="2994"/>
      <c r="AU60" s="2994"/>
      <c r="AV60" s="2994"/>
      <c r="AW60" s="2994"/>
      <c r="AX60" s="2994"/>
      <c r="AY60" s="2994"/>
      <c r="AZ60" s="2994"/>
    </row>
    <row r="61" spans="1:52" ht="14.25">
      <c r="A61" s="2689" t="s">
        <v>2613</v>
      </c>
      <c r="B61" s="184"/>
      <c r="C61" s="2997"/>
      <c r="D61" s="2998"/>
      <c r="E61" s="2997"/>
      <c r="F61" s="2997"/>
      <c r="G61" s="2997"/>
      <c r="H61" s="2997"/>
      <c r="I61" s="2997"/>
      <c r="J61" s="2997"/>
      <c r="K61" s="2996"/>
      <c r="L61" s="2996"/>
      <c r="M61" s="2994"/>
      <c r="N61" s="2994"/>
      <c r="O61" s="2994"/>
      <c r="P61" s="2994"/>
      <c r="Q61" s="2994"/>
      <c r="R61" s="2994"/>
      <c r="S61" s="2994"/>
      <c r="T61" s="2994"/>
      <c r="U61" s="2994"/>
      <c r="V61" s="2994"/>
      <c r="W61" s="2994"/>
      <c r="X61" s="2994"/>
      <c r="Y61" s="2994"/>
      <c r="Z61" s="2994"/>
      <c r="AA61" s="2994"/>
      <c r="AB61" s="2994"/>
      <c r="AC61" s="2994"/>
      <c r="AD61" s="2994"/>
      <c r="AE61" s="2994"/>
      <c r="AF61" s="2994"/>
      <c r="AG61" s="2994"/>
      <c r="AH61" s="2994"/>
      <c r="AI61" s="2994"/>
      <c r="AJ61" s="2994"/>
      <c r="AK61" s="2994"/>
      <c r="AL61" s="2994"/>
      <c r="AM61" s="2994"/>
      <c r="AN61" s="2994"/>
      <c r="AO61" s="2994"/>
      <c r="AP61" s="2994"/>
      <c r="AQ61" s="2994"/>
      <c r="AR61" s="2994"/>
      <c r="AS61" s="2994"/>
      <c r="AT61" s="2994"/>
      <c r="AU61" s="2994"/>
      <c r="AV61" s="2994"/>
      <c r="AW61" s="2994"/>
      <c r="AX61" s="2994"/>
      <c r="AY61" s="2994"/>
      <c r="AZ61" s="2994"/>
    </row>
    <row r="62" spans="1:52" ht="14.25">
      <c r="A62" s="2689" t="s">
        <v>2614</v>
      </c>
      <c r="B62" s="184"/>
      <c r="C62" s="2997"/>
      <c r="D62" s="2998"/>
      <c r="E62" s="2997"/>
      <c r="F62" s="2997"/>
      <c r="G62" s="2997"/>
      <c r="H62" s="2997"/>
      <c r="I62" s="2997"/>
      <c r="J62" s="2997"/>
      <c r="K62" s="2996"/>
      <c r="L62" s="2996"/>
      <c r="M62" s="2994"/>
      <c r="N62" s="2994"/>
      <c r="O62" s="2994"/>
      <c r="P62" s="2994"/>
      <c r="Q62" s="2994"/>
      <c r="R62" s="2994"/>
      <c r="S62" s="2994"/>
      <c r="T62" s="2994"/>
      <c r="U62" s="2994"/>
      <c r="V62" s="2994"/>
      <c r="W62" s="2994"/>
      <c r="X62" s="2994"/>
      <c r="Y62" s="2994"/>
      <c r="Z62" s="2994"/>
      <c r="AA62" s="2994"/>
      <c r="AB62" s="2994"/>
      <c r="AC62" s="2994"/>
      <c r="AD62" s="2994"/>
      <c r="AE62" s="2994"/>
      <c r="AF62" s="2994"/>
      <c r="AG62" s="2994"/>
      <c r="AH62" s="2994"/>
      <c r="AI62" s="2994"/>
      <c r="AJ62" s="2994"/>
      <c r="AK62" s="2994"/>
      <c r="AL62" s="2994"/>
      <c r="AM62" s="2994"/>
      <c r="AN62" s="2994"/>
      <c r="AO62" s="2994"/>
      <c r="AP62" s="2994"/>
      <c r="AQ62" s="2994"/>
      <c r="AR62" s="2994"/>
      <c r="AS62" s="2994"/>
      <c r="AT62" s="2994"/>
      <c r="AU62" s="2994"/>
      <c r="AV62" s="2994"/>
      <c r="AW62" s="2994"/>
      <c r="AX62" s="2994"/>
      <c r="AY62" s="2994"/>
      <c r="AZ62" s="2994"/>
    </row>
    <row r="63" spans="1:52" ht="15" thickBot="1">
      <c r="A63" s="2690" t="s">
        <v>2615</v>
      </c>
      <c r="B63" s="250"/>
      <c r="C63" s="2997"/>
      <c r="D63" s="2998"/>
      <c r="E63" s="2997"/>
      <c r="F63" s="2997"/>
      <c r="G63" s="2997"/>
      <c r="H63" s="2997"/>
      <c r="I63" s="2997"/>
      <c r="J63" s="2997"/>
      <c r="K63" s="2996"/>
      <c r="L63" s="2996"/>
      <c r="M63" s="2994"/>
      <c r="N63" s="2994"/>
      <c r="O63" s="2994"/>
      <c r="P63" s="2994"/>
      <c r="Q63" s="2994"/>
      <c r="R63" s="2994"/>
      <c r="S63" s="2994"/>
      <c r="T63" s="2994"/>
      <c r="U63" s="2994"/>
      <c r="V63" s="2994"/>
      <c r="W63" s="2994"/>
      <c r="X63" s="2994"/>
      <c r="Y63" s="2994"/>
      <c r="Z63" s="2994"/>
      <c r="AA63" s="2994"/>
      <c r="AB63" s="2994"/>
      <c r="AC63" s="2994"/>
      <c r="AD63" s="2994"/>
      <c r="AE63" s="2994"/>
      <c r="AF63" s="2994"/>
      <c r="AG63" s="2994"/>
      <c r="AH63" s="2994"/>
      <c r="AI63" s="2994"/>
      <c r="AJ63" s="2994"/>
      <c r="AK63" s="2994"/>
      <c r="AL63" s="2994"/>
      <c r="AM63" s="2994"/>
      <c r="AN63" s="2994"/>
      <c r="AO63" s="2994"/>
      <c r="AP63" s="2994"/>
      <c r="AQ63" s="2994"/>
      <c r="AR63" s="2994"/>
      <c r="AS63" s="2994"/>
      <c r="AT63" s="2994"/>
      <c r="AU63" s="2994"/>
      <c r="AV63" s="2994"/>
      <c r="AW63" s="2994"/>
      <c r="AX63" s="2994"/>
      <c r="AY63" s="2994"/>
      <c r="AZ63" s="2994"/>
    </row>
    <row r="64" spans="1:52" s="1859" customFormat="1">
      <c r="A64" s="251"/>
      <c r="D64" s="1860"/>
      <c r="K64" s="57"/>
      <c r="L64" s="57"/>
    </row>
    <row r="65" spans="1:12" s="1859" customFormat="1">
      <c r="A65" s="251"/>
      <c r="D65" s="1860"/>
      <c r="K65" s="57"/>
      <c r="L65" s="57"/>
    </row>
    <row r="66" spans="1:12" s="1859" customFormat="1">
      <c r="A66" s="251"/>
      <c r="D66" s="1860"/>
      <c r="K66" s="57"/>
      <c r="L66" s="57"/>
    </row>
    <row r="67" spans="1:12" s="1859" customFormat="1">
      <c r="A67" s="251"/>
      <c r="D67" s="1860"/>
      <c r="K67" s="57"/>
      <c r="L67" s="57"/>
    </row>
    <row r="68" spans="1:12" s="1859" customFormat="1">
      <c r="A68" s="251"/>
      <c r="D68" s="1860"/>
      <c r="K68" s="57"/>
      <c r="L68" s="57"/>
    </row>
    <row r="69" spans="1:12" s="1859" customFormat="1">
      <c r="A69" s="251"/>
      <c r="D69" s="1860"/>
      <c r="K69" s="57"/>
      <c r="L69" s="57"/>
    </row>
    <row r="70" spans="1:12" s="1859" customFormat="1">
      <c r="A70" s="251"/>
      <c r="D70" s="1860"/>
      <c r="K70" s="57"/>
      <c r="L70" s="57"/>
    </row>
    <row r="71" spans="1:12" s="1859" customFormat="1">
      <c r="A71" s="251"/>
      <c r="D71" s="1860"/>
      <c r="K71" s="57"/>
      <c r="L71" s="57"/>
    </row>
    <row r="72" spans="1:12" s="1859" customFormat="1">
      <c r="A72" s="251"/>
      <c r="D72" s="1860"/>
      <c r="K72" s="57"/>
      <c r="L72" s="57"/>
    </row>
    <row r="73" spans="1:12" s="1859" customFormat="1">
      <c r="A73" s="251"/>
      <c r="D73" s="1860"/>
      <c r="K73" s="57"/>
      <c r="L73" s="57"/>
    </row>
    <row r="74" spans="1:12" s="1859" customFormat="1">
      <c r="A74" s="251"/>
      <c r="D74" s="1860"/>
      <c r="K74" s="57"/>
      <c r="L74" s="57"/>
    </row>
    <row r="75" spans="1:12" s="1859" customFormat="1">
      <c r="A75" s="251"/>
      <c r="D75" s="1860"/>
      <c r="K75" s="57"/>
      <c r="L75" s="57"/>
    </row>
    <row r="76" spans="1:12" s="1859" customFormat="1">
      <c r="A76" s="251"/>
      <c r="D76" s="1860"/>
      <c r="K76" s="57"/>
      <c r="L76" s="57"/>
    </row>
    <row r="77" spans="1:12" s="1859" customFormat="1">
      <c r="A77" s="251"/>
      <c r="D77" s="1860"/>
      <c r="K77" s="57"/>
      <c r="L77" s="57"/>
    </row>
    <row r="78" spans="1:12" s="1859" customFormat="1">
      <c r="A78" s="251"/>
      <c r="D78" s="1860"/>
      <c r="K78" s="57"/>
      <c r="L78" s="57"/>
    </row>
    <row r="79" spans="1:12" s="1859" customFormat="1">
      <c r="A79" s="251"/>
      <c r="D79" s="1860"/>
      <c r="K79" s="57"/>
      <c r="L79" s="57"/>
    </row>
    <row r="80" spans="1:12" s="1859" customFormat="1">
      <c r="A80" s="251"/>
      <c r="D80" s="1860"/>
      <c r="K80" s="57"/>
      <c r="L80" s="57"/>
    </row>
    <row r="81" spans="1:12" s="1859" customFormat="1">
      <c r="A81" s="251"/>
      <c r="D81" s="1860"/>
      <c r="K81" s="57"/>
      <c r="L81" s="57"/>
    </row>
    <row r="82" spans="1:12" s="1859" customFormat="1">
      <c r="A82" s="251"/>
      <c r="D82" s="1860"/>
      <c r="K82" s="57"/>
      <c r="L82" s="57"/>
    </row>
    <row r="83" spans="1:12" s="1859" customFormat="1">
      <c r="A83" s="251"/>
      <c r="D83" s="1860"/>
      <c r="K83" s="57"/>
      <c r="L83" s="57"/>
    </row>
    <row r="84" spans="1:12" s="1859" customFormat="1">
      <c r="A84" s="251"/>
      <c r="D84" s="1860"/>
      <c r="K84" s="57"/>
      <c r="L84" s="57"/>
    </row>
    <row r="85" spans="1:12" s="1859" customFormat="1">
      <c r="A85" s="251"/>
      <c r="D85" s="1860"/>
      <c r="K85" s="57"/>
      <c r="L85" s="57"/>
    </row>
    <row r="86" spans="1:12" s="1859" customFormat="1">
      <c r="A86" s="251"/>
      <c r="D86" s="1860"/>
      <c r="K86" s="57"/>
      <c r="L86" s="57"/>
    </row>
    <row r="87" spans="1:12" s="1859" customFormat="1">
      <c r="A87" s="251"/>
      <c r="D87" s="1860"/>
      <c r="K87" s="57"/>
      <c r="L87" s="57"/>
    </row>
    <row r="88" spans="1:12" s="1859" customFormat="1">
      <c r="A88" s="251"/>
      <c r="D88" s="1860"/>
      <c r="K88" s="57"/>
      <c r="L88" s="57"/>
    </row>
    <row r="89" spans="1:12" s="1859" customFormat="1">
      <c r="A89" s="251"/>
      <c r="D89" s="1860"/>
      <c r="K89" s="57"/>
      <c r="L89" s="57"/>
    </row>
    <row r="90" spans="1:12" s="1859" customFormat="1">
      <c r="A90" s="251"/>
      <c r="D90" s="1860"/>
      <c r="K90" s="57"/>
      <c r="L90" s="57"/>
    </row>
    <row r="91" spans="1:12" s="1859" customFormat="1">
      <c r="A91" s="251"/>
      <c r="D91" s="1860"/>
      <c r="K91" s="57"/>
      <c r="L91" s="57"/>
    </row>
    <row r="92" spans="1:12" s="1859" customFormat="1">
      <c r="A92" s="251"/>
      <c r="D92" s="1860"/>
      <c r="K92" s="57"/>
      <c r="L92" s="57"/>
    </row>
    <row r="93" spans="1:12" s="1859" customFormat="1">
      <c r="A93" s="251"/>
      <c r="D93" s="1860"/>
      <c r="K93" s="57"/>
      <c r="L93" s="57"/>
    </row>
    <row r="94" spans="1:12" s="1859" customFormat="1">
      <c r="A94" s="251"/>
      <c r="D94" s="1860"/>
      <c r="K94" s="57"/>
      <c r="L94" s="57"/>
    </row>
    <row r="95" spans="1:12" s="1859" customFormat="1">
      <c r="A95" s="251"/>
      <c r="D95" s="1860"/>
      <c r="K95" s="57"/>
      <c r="L95" s="57"/>
    </row>
    <row r="96" spans="1:12" s="1859" customFormat="1">
      <c r="A96" s="251"/>
      <c r="D96" s="1860"/>
      <c r="K96" s="57"/>
      <c r="L96" s="57"/>
    </row>
    <row r="97" spans="1:12" s="1859" customFormat="1">
      <c r="A97" s="251"/>
      <c r="D97" s="1860"/>
      <c r="K97" s="57"/>
      <c r="L97" s="57"/>
    </row>
    <row r="98" spans="1:12" s="1859" customFormat="1">
      <c r="A98" s="251"/>
      <c r="D98" s="1860"/>
      <c r="K98" s="57"/>
      <c r="L98" s="57"/>
    </row>
    <row r="99" spans="1:12" s="1859" customFormat="1">
      <c r="A99" s="251"/>
      <c r="D99" s="1860"/>
      <c r="K99" s="57"/>
      <c r="L99" s="57"/>
    </row>
    <row r="100" spans="1:12" s="1859" customFormat="1">
      <c r="A100" s="251"/>
      <c r="D100" s="1860"/>
      <c r="K100" s="57"/>
      <c r="L100" s="57"/>
    </row>
    <row r="101" spans="1:12" s="1859" customFormat="1">
      <c r="A101" s="251"/>
      <c r="D101" s="1860"/>
      <c r="K101" s="57"/>
      <c r="L101" s="57"/>
    </row>
    <row r="102" spans="1:12" s="1859" customFormat="1">
      <c r="A102" s="251"/>
      <c r="D102" s="1860"/>
      <c r="K102" s="57"/>
      <c r="L102" s="57"/>
    </row>
    <row r="103" spans="1:12" s="1859" customFormat="1">
      <c r="A103" s="251"/>
      <c r="D103" s="1860"/>
      <c r="K103" s="57"/>
      <c r="L103" s="57"/>
    </row>
    <row r="104" spans="1:12" s="1859" customFormat="1">
      <c r="A104" s="251"/>
      <c r="D104" s="1860"/>
      <c r="K104" s="57"/>
      <c r="L104" s="57"/>
    </row>
    <row r="105" spans="1:12" s="1859" customFormat="1">
      <c r="A105" s="251"/>
      <c r="D105" s="1860"/>
      <c r="K105" s="57"/>
      <c r="L105" s="57"/>
    </row>
    <row r="106" spans="1:12" s="1859" customFormat="1">
      <c r="A106" s="251"/>
      <c r="D106" s="1860"/>
      <c r="K106" s="57"/>
      <c r="L106" s="57"/>
    </row>
    <row r="107" spans="1:12" s="1859" customFormat="1">
      <c r="A107" s="251"/>
      <c r="D107" s="1860"/>
      <c r="K107" s="57"/>
      <c r="L107" s="57"/>
    </row>
    <row r="108" spans="1:12" s="1859" customFormat="1">
      <c r="A108" s="251"/>
      <c r="D108" s="1860"/>
      <c r="K108" s="57"/>
      <c r="L108" s="57"/>
    </row>
    <row r="109" spans="1:12" s="1859" customFormat="1">
      <c r="A109" s="251"/>
      <c r="D109" s="1860"/>
      <c r="K109" s="57"/>
      <c r="L109" s="57"/>
    </row>
    <row r="110" spans="1:12" s="1859" customFormat="1">
      <c r="A110" s="251"/>
      <c r="D110" s="1860"/>
      <c r="K110" s="57"/>
      <c r="L110" s="57"/>
    </row>
    <row r="111" spans="1:12" s="1859" customFormat="1">
      <c r="A111" s="251"/>
      <c r="D111" s="1860"/>
      <c r="K111" s="57"/>
      <c r="L111" s="57"/>
    </row>
    <row r="112" spans="1:12" s="1859" customFormat="1">
      <c r="A112" s="251"/>
      <c r="D112" s="1860"/>
      <c r="K112" s="57"/>
      <c r="L112" s="57"/>
    </row>
    <row r="113" spans="1:12" s="1859" customFormat="1">
      <c r="A113" s="251"/>
      <c r="D113" s="1860"/>
      <c r="K113" s="57"/>
      <c r="L113" s="57"/>
    </row>
    <row r="114" spans="1:12" s="1859" customFormat="1">
      <c r="A114" s="251"/>
      <c r="D114" s="1860"/>
      <c r="K114" s="57"/>
      <c r="L114" s="57"/>
    </row>
    <row r="115" spans="1:12" s="1859" customFormat="1">
      <c r="A115" s="251"/>
      <c r="D115" s="1860"/>
      <c r="K115" s="57"/>
      <c r="L115" s="57"/>
    </row>
    <row r="116" spans="1:12" s="1859" customFormat="1">
      <c r="A116" s="251"/>
      <c r="D116" s="1860"/>
      <c r="K116" s="57"/>
      <c r="L116" s="57"/>
    </row>
    <row r="117" spans="1:12" s="1859" customFormat="1">
      <c r="A117" s="251"/>
      <c r="D117" s="1860"/>
      <c r="K117" s="57"/>
      <c r="L117" s="57"/>
    </row>
    <row r="118" spans="1:12" s="1859" customFormat="1">
      <c r="A118" s="251"/>
      <c r="D118" s="1860"/>
      <c r="K118" s="57"/>
      <c r="L118" s="57"/>
    </row>
    <row r="119" spans="1:12" s="1859" customFormat="1">
      <c r="A119" s="251"/>
      <c r="D119" s="1860"/>
      <c r="K119" s="57"/>
      <c r="L119" s="57"/>
    </row>
    <row r="120" spans="1:12" s="1859" customFormat="1">
      <c r="A120" s="251"/>
      <c r="D120" s="1860"/>
      <c r="K120" s="57"/>
      <c r="L120" s="57"/>
    </row>
    <row r="121" spans="1:12" s="1859" customFormat="1">
      <c r="A121" s="251"/>
      <c r="D121" s="1860"/>
      <c r="K121" s="57"/>
      <c r="L121" s="57"/>
    </row>
    <row r="122" spans="1:12" s="1859" customFormat="1">
      <c r="A122" s="251"/>
      <c r="D122" s="1860"/>
      <c r="K122" s="57"/>
      <c r="L122" s="57"/>
    </row>
    <row r="123" spans="1:12" s="1859" customFormat="1">
      <c r="A123" s="251"/>
      <c r="D123" s="1860"/>
      <c r="K123" s="57"/>
      <c r="L123" s="57"/>
    </row>
    <row r="124" spans="1:12" s="1859" customFormat="1">
      <c r="A124" s="251"/>
      <c r="D124" s="1860"/>
      <c r="K124" s="57"/>
      <c r="L124" s="57"/>
    </row>
    <row r="125" spans="1:12" s="1859" customFormat="1">
      <c r="A125" s="251"/>
      <c r="D125" s="1860"/>
      <c r="K125" s="57"/>
      <c r="L125" s="57"/>
    </row>
    <row r="126" spans="1:12" s="1859" customFormat="1">
      <c r="A126" s="251"/>
      <c r="D126" s="1860"/>
      <c r="K126" s="57"/>
      <c r="L126" s="57"/>
    </row>
    <row r="127" spans="1:12" s="1859" customFormat="1">
      <c r="A127" s="251"/>
      <c r="D127" s="1860"/>
      <c r="K127" s="57"/>
      <c r="L127" s="57"/>
    </row>
    <row r="128" spans="1:12" s="1859" customFormat="1">
      <c r="A128" s="251"/>
      <c r="D128" s="1860"/>
      <c r="K128" s="57"/>
      <c r="L128" s="57"/>
    </row>
    <row r="129" spans="1:12" s="1859" customFormat="1">
      <c r="A129" s="251"/>
      <c r="D129" s="1860"/>
      <c r="K129" s="57"/>
      <c r="L129" s="57"/>
    </row>
    <row r="130" spans="1:12" s="1859" customFormat="1">
      <c r="A130" s="251"/>
      <c r="D130" s="1860"/>
      <c r="K130" s="57"/>
      <c r="L130" s="57"/>
    </row>
    <row r="131" spans="1:12" s="1859" customFormat="1">
      <c r="A131" s="251"/>
      <c r="D131" s="1860"/>
      <c r="K131" s="57"/>
      <c r="L131" s="57"/>
    </row>
    <row r="132" spans="1:12" s="1859" customFormat="1">
      <c r="A132" s="251"/>
      <c r="D132" s="1860"/>
      <c r="K132" s="57"/>
      <c r="L132" s="57"/>
    </row>
    <row r="133" spans="1:12" s="1859" customFormat="1">
      <c r="A133" s="251"/>
      <c r="D133" s="1860"/>
      <c r="K133" s="57"/>
      <c r="L133" s="57"/>
    </row>
    <row r="134" spans="1:12" s="1859" customFormat="1">
      <c r="A134" s="251"/>
      <c r="D134" s="1860"/>
      <c r="K134" s="57"/>
      <c r="L134" s="57"/>
    </row>
    <row r="135" spans="1:12" s="1859" customFormat="1">
      <c r="A135" s="251"/>
      <c r="D135" s="1860"/>
      <c r="K135" s="57"/>
      <c r="L135" s="57"/>
    </row>
    <row r="136" spans="1:12" s="1859" customFormat="1">
      <c r="A136" s="251"/>
      <c r="D136" s="1860"/>
      <c r="K136" s="57"/>
      <c r="L136" s="57"/>
    </row>
    <row r="137" spans="1:12" s="1859" customFormat="1">
      <c r="A137" s="251"/>
      <c r="D137" s="1860"/>
      <c r="K137" s="57"/>
      <c r="L137" s="57"/>
    </row>
    <row r="138" spans="1:12" s="1859" customFormat="1">
      <c r="A138" s="251"/>
      <c r="D138" s="1860"/>
      <c r="K138" s="57"/>
      <c r="L138" s="57"/>
    </row>
    <row r="139" spans="1:12" s="1859" customFormat="1">
      <c r="A139" s="251"/>
      <c r="D139" s="1860"/>
      <c r="K139" s="57"/>
      <c r="L139" s="57"/>
    </row>
    <row r="140" spans="1:12" s="1859" customFormat="1">
      <c r="A140" s="251"/>
      <c r="D140" s="1860"/>
      <c r="K140" s="57"/>
      <c r="L140" s="57"/>
    </row>
    <row r="141" spans="1:12" s="1859" customFormat="1">
      <c r="A141" s="251"/>
      <c r="D141" s="1860"/>
      <c r="K141" s="57"/>
      <c r="L141" s="57"/>
    </row>
    <row r="142" spans="1:12" s="1859" customFormat="1">
      <c r="A142" s="251"/>
      <c r="D142" s="1860"/>
      <c r="K142" s="57"/>
      <c r="L142" s="57"/>
    </row>
    <row r="143" spans="1:12" s="1859" customFormat="1">
      <c r="A143" s="251"/>
      <c r="D143" s="1860"/>
      <c r="K143" s="57"/>
      <c r="L143" s="57"/>
    </row>
    <row r="144" spans="1:12" s="1859" customFormat="1">
      <c r="A144" s="251"/>
      <c r="D144" s="1860"/>
      <c r="K144" s="57"/>
      <c r="L144" s="57"/>
    </row>
    <row r="145" spans="1:12" s="1859" customFormat="1">
      <c r="A145" s="251"/>
      <c r="D145" s="1860"/>
      <c r="K145" s="57"/>
      <c r="L145" s="57"/>
    </row>
    <row r="146" spans="1:12" s="1859" customFormat="1">
      <c r="A146" s="251"/>
      <c r="D146" s="1860"/>
      <c r="K146" s="57"/>
      <c r="L146" s="57"/>
    </row>
    <row r="147" spans="1:12" s="1859" customFormat="1">
      <c r="A147" s="251"/>
      <c r="D147" s="1860"/>
      <c r="K147" s="57"/>
      <c r="L147" s="57"/>
    </row>
    <row r="148" spans="1:12" s="1859" customFormat="1">
      <c r="A148" s="251"/>
      <c r="D148" s="1860"/>
      <c r="K148" s="57"/>
      <c r="L148" s="57"/>
    </row>
    <row r="149" spans="1:12" s="1859" customFormat="1">
      <c r="A149" s="251"/>
      <c r="D149" s="1860"/>
      <c r="K149" s="57"/>
      <c r="L149" s="57"/>
    </row>
    <row r="150" spans="1:12" s="1859" customFormat="1">
      <c r="A150" s="251"/>
      <c r="D150" s="1860"/>
      <c r="K150" s="57"/>
      <c r="L150" s="57"/>
    </row>
    <row r="151" spans="1:12" s="1859" customFormat="1">
      <c r="A151" s="251"/>
      <c r="D151" s="1860"/>
      <c r="K151" s="57"/>
      <c r="L151" s="57"/>
    </row>
    <row r="152" spans="1:12" s="1859" customFormat="1">
      <c r="A152" s="251"/>
      <c r="D152" s="1860"/>
      <c r="K152" s="57"/>
      <c r="L152" s="57"/>
    </row>
    <row r="153" spans="1:12" s="1859" customFormat="1">
      <c r="A153" s="251"/>
      <c r="D153" s="1860"/>
      <c r="K153" s="57"/>
      <c r="L153" s="57"/>
    </row>
    <row r="154" spans="1:12" s="1859" customFormat="1">
      <c r="A154" s="251"/>
      <c r="D154" s="1860"/>
      <c r="K154" s="57"/>
      <c r="L154" s="57"/>
    </row>
    <row r="155" spans="1:12" s="1859" customFormat="1">
      <c r="A155" s="251"/>
      <c r="D155" s="1860"/>
      <c r="K155" s="57"/>
      <c r="L155" s="57"/>
    </row>
    <row r="156" spans="1:12" s="1859" customFormat="1">
      <c r="A156" s="251"/>
      <c r="D156" s="1860"/>
      <c r="K156" s="57"/>
      <c r="L156" s="57"/>
    </row>
    <row r="157" spans="1:12" s="1859" customFormat="1">
      <c r="A157" s="251"/>
      <c r="D157" s="1860"/>
      <c r="K157" s="57"/>
      <c r="L157" s="57"/>
    </row>
    <row r="158" spans="1:12" s="1859" customFormat="1">
      <c r="A158" s="251"/>
      <c r="D158" s="1860"/>
      <c r="K158" s="57"/>
      <c r="L158" s="57"/>
    </row>
    <row r="159" spans="1:12" s="1859" customFormat="1">
      <c r="A159" s="251"/>
      <c r="D159" s="1860"/>
      <c r="K159" s="57"/>
      <c r="L159" s="57"/>
    </row>
    <row r="160" spans="1:12" s="1859" customFormat="1">
      <c r="A160" s="251"/>
      <c r="D160" s="1860"/>
      <c r="K160" s="57"/>
      <c r="L160" s="57"/>
    </row>
    <row r="161" spans="1:12" s="1859" customFormat="1">
      <c r="A161" s="251"/>
      <c r="D161" s="1860"/>
      <c r="K161" s="57"/>
      <c r="L161" s="57"/>
    </row>
    <row r="162" spans="1:12" s="1859" customFormat="1">
      <c r="A162" s="251"/>
      <c r="D162" s="1860"/>
      <c r="K162" s="57"/>
      <c r="L162" s="57"/>
    </row>
    <row r="163" spans="1:12" s="1859" customFormat="1">
      <c r="A163" s="251"/>
      <c r="D163" s="1860"/>
      <c r="K163" s="57"/>
      <c r="L163" s="57"/>
    </row>
    <row r="164" spans="1:12" s="1859" customFormat="1">
      <c r="A164" s="251"/>
      <c r="D164" s="1860"/>
      <c r="K164" s="57"/>
      <c r="L164" s="57"/>
    </row>
    <row r="165" spans="1:12" s="1859" customFormat="1">
      <c r="A165" s="251"/>
      <c r="D165" s="1860"/>
      <c r="K165" s="57"/>
      <c r="L165" s="57"/>
    </row>
    <row r="166" spans="1:12" s="1859" customFormat="1">
      <c r="A166" s="251"/>
      <c r="D166" s="1860"/>
      <c r="K166" s="57"/>
      <c r="L166" s="57"/>
    </row>
    <row r="167" spans="1:12" s="1859" customFormat="1">
      <c r="A167" s="251"/>
      <c r="D167" s="1860"/>
      <c r="K167" s="57"/>
      <c r="L167" s="57"/>
    </row>
    <row r="168" spans="1:12" s="1859" customFormat="1">
      <c r="A168" s="251"/>
      <c r="D168" s="1860"/>
      <c r="K168" s="57"/>
      <c r="L168" s="57"/>
    </row>
    <row r="169" spans="1:12" s="1859" customFormat="1">
      <c r="A169" s="251"/>
      <c r="D169" s="1860"/>
      <c r="K169" s="57"/>
      <c r="L169" s="57"/>
    </row>
    <row r="170" spans="1:12" s="1859" customFormat="1">
      <c r="A170" s="251"/>
      <c r="D170" s="1860"/>
      <c r="K170" s="57"/>
      <c r="L170" s="57"/>
    </row>
    <row r="171" spans="1:12" s="1859" customFormat="1">
      <c r="A171" s="251"/>
      <c r="D171" s="1860"/>
      <c r="K171" s="57"/>
      <c r="L171" s="57"/>
    </row>
    <row r="172" spans="1:12" s="1859" customFormat="1">
      <c r="A172" s="251"/>
      <c r="D172" s="1860"/>
      <c r="K172" s="57"/>
      <c r="L172" s="57"/>
    </row>
    <row r="173" spans="1:12" s="1859" customFormat="1">
      <c r="A173" s="251"/>
      <c r="D173" s="1860"/>
      <c r="K173" s="57"/>
      <c r="L173" s="57"/>
    </row>
    <row r="174" spans="1:12" s="1859" customFormat="1">
      <c r="A174" s="251"/>
      <c r="D174" s="1860"/>
      <c r="K174" s="57"/>
      <c r="L174" s="57"/>
    </row>
    <row r="175" spans="1:12" s="1859" customFormat="1">
      <c r="A175" s="251"/>
      <c r="D175" s="1860"/>
      <c r="K175" s="57"/>
      <c r="L175" s="57"/>
    </row>
    <row r="176" spans="1:12" s="1859" customFormat="1">
      <c r="A176" s="251"/>
      <c r="D176" s="1860"/>
      <c r="K176" s="57"/>
      <c r="L176" s="57"/>
    </row>
    <row r="177" spans="1:12" s="1859" customFormat="1">
      <c r="A177" s="251"/>
      <c r="D177" s="1860"/>
      <c r="K177" s="57"/>
      <c r="L177" s="57"/>
    </row>
    <row r="178" spans="1:12" s="1859" customFormat="1">
      <c r="A178" s="251"/>
      <c r="D178" s="1860"/>
      <c r="K178" s="57"/>
      <c r="L178" s="57"/>
    </row>
    <row r="179" spans="1:12" s="1859" customFormat="1">
      <c r="A179" s="251"/>
      <c r="D179" s="1860"/>
      <c r="K179" s="57"/>
      <c r="L179" s="57"/>
    </row>
    <row r="180" spans="1:12" s="1859" customFormat="1">
      <c r="A180" s="251"/>
      <c r="D180" s="1860"/>
      <c r="K180" s="57"/>
      <c r="L180" s="57"/>
    </row>
    <row r="181" spans="1:12" s="1859" customFormat="1">
      <c r="A181" s="251"/>
      <c r="D181" s="1860"/>
      <c r="K181" s="57"/>
      <c r="L181" s="57"/>
    </row>
    <row r="182" spans="1:12" s="1859" customFormat="1">
      <c r="A182" s="251"/>
      <c r="D182" s="1860"/>
      <c r="K182" s="57"/>
      <c r="L182" s="57"/>
    </row>
    <row r="183" spans="1:12" s="1859" customFormat="1">
      <c r="A183" s="251"/>
      <c r="D183" s="1860"/>
      <c r="K183" s="57"/>
      <c r="L183" s="57"/>
    </row>
    <row r="184" spans="1:12" s="1859" customFormat="1">
      <c r="A184" s="251"/>
      <c r="D184" s="1860"/>
      <c r="K184" s="57"/>
      <c r="L184" s="57"/>
    </row>
    <row r="185" spans="1:12" s="1859" customFormat="1">
      <c r="A185" s="251"/>
      <c r="D185" s="1860"/>
      <c r="K185" s="57"/>
      <c r="L185" s="57"/>
    </row>
    <row r="186" spans="1:12" s="1859" customFormat="1">
      <c r="A186" s="251"/>
      <c r="D186" s="1860"/>
      <c r="K186" s="57"/>
      <c r="L186" s="57"/>
    </row>
    <row r="187" spans="1:12" s="1859" customFormat="1">
      <c r="A187" s="251"/>
      <c r="D187" s="1860"/>
      <c r="K187" s="57"/>
      <c r="L187" s="57"/>
    </row>
    <row r="188" spans="1:12" s="1859" customFormat="1">
      <c r="A188" s="251"/>
      <c r="D188" s="1860"/>
      <c r="K188" s="57"/>
      <c r="L188" s="57"/>
    </row>
    <row r="189" spans="1:12" s="1859" customFormat="1">
      <c r="A189" s="251"/>
      <c r="D189" s="1860"/>
      <c r="K189" s="57"/>
      <c r="L189" s="57"/>
    </row>
    <row r="190" spans="1:12" s="1859" customFormat="1">
      <c r="A190" s="251"/>
      <c r="D190" s="1860"/>
      <c r="K190" s="57"/>
      <c r="L190" s="57"/>
    </row>
    <row r="191" spans="1:12" s="1859" customFormat="1">
      <c r="A191" s="251"/>
      <c r="D191" s="1860"/>
      <c r="K191" s="57"/>
      <c r="L191" s="57"/>
    </row>
    <row r="192" spans="1:12" s="1859" customFormat="1">
      <c r="A192" s="251"/>
      <c r="D192" s="1860"/>
      <c r="K192" s="57"/>
      <c r="L192" s="57"/>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1" sqref="G31"/>
    </sheetView>
  </sheetViews>
  <sheetFormatPr defaultColWidth="9" defaultRowHeight="13.5"/>
  <cols>
    <col min="1" max="1" width="9.5" style="3028" customWidth="1"/>
    <col min="2" max="2" width="23.5" style="3063" customWidth="1"/>
    <col min="3" max="3" width="32.25" style="3065" customWidth="1"/>
    <col min="4" max="4" width="2.625" style="3065" customWidth="1"/>
    <col min="5" max="5" width="5.875" style="3065" customWidth="1"/>
    <col min="6" max="6" width="23.625" style="3063" customWidth="1"/>
    <col min="7" max="7" width="33.375" style="3064" customWidth="1"/>
    <col min="8" max="8" width="11.875" style="3063" customWidth="1"/>
    <col min="9" max="9" width="16.75" style="3064" customWidth="1"/>
    <col min="10" max="10" width="2.625" style="3065" customWidth="1"/>
    <col min="11" max="11" width="11.875" style="3063" customWidth="1"/>
    <col min="12" max="12" width="16.75" style="3064" customWidth="1"/>
    <col min="13" max="13" width="2.625" style="3065" customWidth="1"/>
    <col min="14" max="14" width="11.875" style="3063" customWidth="1"/>
    <col min="15" max="15" width="16.75" style="3064" customWidth="1"/>
    <col min="16" max="16" width="2.625" style="3065" customWidth="1"/>
    <col min="17" max="17" width="11.875" style="3063" customWidth="1"/>
    <col min="18" max="18" width="16.75" style="3066" customWidth="1"/>
    <col min="19" max="16384" width="9" style="3028"/>
  </cols>
  <sheetData>
    <row r="1" spans="1:18" s="3022" customFormat="1" ht="19.5" thickBot="1">
      <c r="A1" s="3586" t="s">
        <v>1462</v>
      </c>
      <c r="B1" s="3587"/>
      <c r="C1" s="3587"/>
      <c r="D1" s="3587"/>
      <c r="E1" s="3587"/>
      <c r="F1" s="3587"/>
      <c r="G1" s="3587"/>
      <c r="H1" s="3017"/>
      <c r="I1" s="3018"/>
      <c r="J1" s="3019"/>
      <c r="K1" s="3017"/>
      <c r="L1" s="3018"/>
      <c r="M1" s="3019"/>
      <c r="N1" s="3017"/>
      <c r="O1" s="3018"/>
      <c r="P1" s="3019"/>
      <c r="Q1" s="3020"/>
      <c r="R1" s="3021"/>
    </row>
    <row r="2" spans="1:18" ht="14.25" thickBot="1">
      <c r="A2" s="3023"/>
      <c r="B2" s="3024"/>
      <c r="C2" s="3025" t="s">
        <v>1463</v>
      </c>
      <c r="D2" s="3026"/>
      <c r="E2" s="3023"/>
      <c r="F2" s="3027"/>
      <c r="G2" s="3025" t="s">
        <v>1464</v>
      </c>
      <c r="H2" s="3028"/>
      <c r="I2" s="3028"/>
      <c r="J2" s="3028"/>
      <c r="K2" s="3028"/>
      <c r="L2" s="3028"/>
      <c r="M2" s="3028"/>
      <c r="N2" s="3028"/>
      <c r="O2" s="3028"/>
      <c r="P2" s="3028"/>
      <c r="Q2" s="3028"/>
      <c r="R2" s="3028"/>
    </row>
    <row r="3" spans="1:18" ht="40.5">
      <c r="A3" s="3029" t="s">
        <v>1465</v>
      </c>
      <c r="B3" s="3030" t="s">
        <v>1452</v>
      </c>
      <c r="C3" s="3031" t="s">
        <v>2622</v>
      </c>
      <c r="D3" s="3032"/>
      <c r="E3" s="3033" t="s">
        <v>1465</v>
      </c>
      <c r="F3" s="3034" t="s">
        <v>1453</v>
      </c>
      <c r="G3" s="3035" t="s">
        <v>2621</v>
      </c>
      <c r="H3" s="3028"/>
      <c r="I3" s="3028"/>
      <c r="J3" s="3028"/>
      <c r="K3" s="3028"/>
      <c r="L3" s="3028"/>
      <c r="M3" s="3028"/>
      <c r="N3" s="3028"/>
      <c r="O3" s="3028"/>
      <c r="P3" s="3028"/>
      <c r="Q3" s="3028"/>
      <c r="R3" s="3028"/>
    </row>
    <row r="4" spans="1:18" ht="40.5">
      <c r="A4" s="3033"/>
      <c r="B4" s="3036" t="s">
        <v>1466</v>
      </c>
      <c r="C4" s="3037" t="s">
        <v>2623</v>
      </c>
      <c r="D4" s="3032"/>
      <c r="E4" s="3038"/>
      <c r="F4" s="3039" t="s">
        <v>1467</v>
      </c>
      <c r="G4" s="3040" t="s">
        <v>2618</v>
      </c>
      <c r="H4" s="3028"/>
      <c r="I4" s="3028"/>
      <c r="J4" s="3028"/>
      <c r="K4" s="3028"/>
      <c r="L4" s="3028"/>
      <c r="M4" s="3028"/>
      <c r="N4" s="3028"/>
      <c r="O4" s="3028"/>
      <c r="P4" s="3028"/>
      <c r="Q4" s="3028"/>
      <c r="R4" s="3028"/>
    </row>
    <row r="5" spans="1:18" ht="41.25">
      <c r="A5" s="3033"/>
      <c r="B5" s="3036" t="s">
        <v>1468</v>
      </c>
      <c r="C5" s="3037" t="s">
        <v>2624</v>
      </c>
      <c r="D5" s="3032"/>
      <c r="E5" s="3038"/>
      <c r="F5" s="3036" t="s">
        <v>2263</v>
      </c>
      <c r="G5" s="3040" t="s">
        <v>2619</v>
      </c>
      <c r="H5" s="3028"/>
      <c r="I5" s="3028"/>
      <c r="J5" s="3028"/>
      <c r="K5" s="3028"/>
      <c r="L5" s="3028"/>
      <c r="M5" s="3028"/>
      <c r="N5" s="3028"/>
      <c r="O5" s="3028"/>
      <c r="P5" s="3028"/>
      <c r="Q5" s="3028"/>
      <c r="R5" s="3028"/>
    </row>
    <row r="6" spans="1:18" ht="40.5">
      <c r="A6" s="3033"/>
      <c r="B6" s="3036" t="s">
        <v>1454</v>
      </c>
      <c r="C6" s="3040" t="s">
        <v>2618</v>
      </c>
      <c r="D6" s="3032"/>
      <c r="E6" s="3038"/>
      <c r="F6" s="3036" t="s">
        <v>2264</v>
      </c>
      <c r="G6" s="3040" t="s">
        <v>2616</v>
      </c>
      <c r="H6" s="3028"/>
      <c r="I6" s="3028"/>
      <c r="J6" s="3028"/>
      <c r="K6" s="3028"/>
      <c r="L6" s="3028"/>
      <c r="M6" s="3028"/>
      <c r="N6" s="3028"/>
      <c r="O6" s="3028"/>
      <c r="P6" s="3028"/>
      <c r="Q6" s="3028"/>
      <c r="R6" s="3028"/>
    </row>
    <row r="7" spans="1:18" ht="27.75" thickBot="1">
      <c r="A7" s="3033"/>
      <c r="B7" s="3036" t="s">
        <v>2263</v>
      </c>
      <c r="C7" s="3040" t="s">
        <v>2619</v>
      </c>
      <c r="D7" s="3041"/>
      <c r="E7" s="3042"/>
      <c r="F7" s="3043" t="s">
        <v>1469</v>
      </c>
      <c r="G7" s="3044" t="s">
        <v>2620</v>
      </c>
      <c r="H7" s="3028"/>
      <c r="I7" s="3028"/>
      <c r="J7" s="3028"/>
      <c r="K7" s="3028"/>
      <c r="L7" s="3028"/>
      <c r="M7" s="3028"/>
      <c r="N7" s="3028"/>
      <c r="O7" s="3028"/>
      <c r="P7" s="3028"/>
      <c r="Q7" s="3028"/>
      <c r="R7" s="3028"/>
    </row>
    <row r="8" spans="1:18">
      <c r="A8" s="3033"/>
      <c r="B8" s="3036" t="s">
        <v>2264</v>
      </c>
      <c r="C8" s="3040" t="s">
        <v>2616</v>
      </c>
      <c r="D8" s="3041"/>
      <c r="E8" s="3041"/>
      <c r="F8" s="3045"/>
      <c r="G8" s="3045"/>
      <c r="H8" s="3028"/>
      <c r="I8" s="3028"/>
      <c r="J8" s="3028"/>
      <c r="K8" s="3028"/>
      <c r="L8" s="3028"/>
      <c r="M8" s="3028"/>
      <c r="N8" s="3028"/>
      <c r="O8" s="3028"/>
      <c r="P8" s="3028"/>
      <c r="Q8" s="3028"/>
      <c r="R8" s="3028"/>
    </row>
    <row r="9" spans="1:18" ht="27">
      <c r="A9" s="3033"/>
      <c r="B9" s="3036" t="s">
        <v>1455</v>
      </c>
      <c r="C9" s="3037" t="s">
        <v>2617</v>
      </c>
      <c r="D9" s="3032"/>
      <c r="E9" s="3041"/>
      <c r="F9" s="3045"/>
      <c r="G9" s="3045"/>
      <c r="H9" s="3028"/>
      <c r="I9" s="3028"/>
      <c r="J9" s="3028"/>
      <c r="K9" s="3028"/>
      <c r="L9" s="3028"/>
      <c r="M9" s="3028"/>
      <c r="N9" s="3028"/>
      <c r="O9" s="3028"/>
      <c r="P9" s="3028"/>
      <c r="Q9" s="3028"/>
      <c r="R9" s="3028"/>
    </row>
    <row r="10" spans="1:18" s="3052" customFormat="1" ht="15" thickBot="1">
      <c r="A10" s="3046"/>
      <c r="B10" s="3047" t="s">
        <v>1470</v>
      </c>
      <c r="C10" s="3048"/>
      <c r="D10" s="3032"/>
      <c r="E10" s="3032"/>
      <c r="F10" s="3045"/>
      <c r="G10" s="3045"/>
      <c r="H10" s="3049"/>
      <c r="I10" s="3050"/>
      <c r="J10" s="3051"/>
      <c r="K10" s="3049"/>
      <c r="L10" s="3050"/>
      <c r="M10" s="3051"/>
      <c r="N10" s="3049"/>
      <c r="O10" s="3050"/>
      <c r="P10" s="3051"/>
      <c r="Q10" s="3049"/>
      <c r="R10" s="3050"/>
    </row>
    <row r="11" spans="1:18" s="3052" customFormat="1">
      <c r="A11" s="3053"/>
      <c r="B11" s="3041"/>
      <c r="C11" s="3032"/>
      <c r="D11" s="3032"/>
      <c r="E11" s="3032"/>
      <c r="F11" s="3041"/>
      <c r="G11" s="3054"/>
      <c r="H11" s="3049"/>
      <c r="I11" s="3050"/>
      <c r="J11" s="3051"/>
      <c r="K11" s="3049"/>
      <c r="L11" s="3050"/>
      <c r="M11" s="3051"/>
      <c r="N11" s="3049"/>
      <c r="O11" s="3050"/>
      <c r="P11" s="3051"/>
      <c r="Q11" s="3049"/>
      <c r="R11" s="3050"/>
    </row>
    <row r="12" spans="1:18" s="3022" customFormat="1" ht="18.75">
      <c r="A12" s="3053"/>
      <c r="B12" s="3041"/>
      <c r="C12" s="3032"/>
      <c r="D12" s="3055"/>
      <c r="E12" s="3032"/>
      <c r="F12" s="3041"/>
      <c r="G12" s="3054"/>
      <c r="H12" s="3056"/>
      <c r="I12" s="3057"/>
      <c r="J12" s="3056"/>
      <c r="K12" s="3056"/>
      <c r="L12" s="3058"/>
      <c r="M12" s="3056"/>
      <c r="N12" s="3059"/>
      <c r="O12" s="3060"/>
      <c r="P12" s="3061"/>
      <c r="Q12" s="3059"/>
      <c r="R12" s="3021"/>
    </row>
    <row r="13" spans="1:18" ht="19.5" thickBot="1">
      <c r="A13" s="3062" t="s">
        <v>1471</v>
      </c>
      <c r="B13" s="3055"/>
      <c r="C13" s="3055"/>
      <c r="D13" s="3026"/>
      <c r="E13" s="3055"/>
      <c r="F13" s="3055"/>
      <c r="G13" s="3055"/>
    </row>
    <row r="14" spans="1:18" ht="14.25" thickBot="1">
      <c r="A14" s="3067"/>
      <c r="B14" s="3067"/>
      <c r="C14" s="3068" t="s">
        <v>1463</v>
      </c>
      <c r="D14" s="3032"/>
      <c r="E14" s="3069"/>
      <c r="F14" s="3069"/>
      <c r="G14" s="3025" t="s">
        <v>1464</v>
      </c>
    </row>
    <row r="15" spans="1:18" ht="40.5">
      <c r="A15" s="3070" t="s">
        <v>1456</v>
      </c>
      <c r="B15" s="3071" t="s">
        <v>1452</v>
      </c>
      <c r="C15" s="3072" t="str">
        <f>C3</f>
        <v>估价对象周边居住用地比例、居住小区规模和社区发展完善程度，综合评价居住社区成熟度一般</v>
      </c>
      <c r="D15" s="3032"/>
      <c r="E15" s="3073" t="s">
        <v>1457</v>
      </c>
      <c r="F15" s="3071" t="s">
        <v>1472</v>
      </c>
      <c r="G15" s="3074" t="str">
        <f>G3</f>
        <v>估价对象位于XX开发区，园区建设成熟度XX，产业集聚程度XX</v>
      </c>
    </row>
    <row r="16" spans="1:18" ht="40.5">
      <c r="A16" s="3075"/>
      <c r="B16" s="3076" t="s">
        <v>1466</v>
      </c>
      <c r="C16" s="3077" t="str">
        <f>C4</f>
        <v>估价对象位于XX商圈，周边商业氛围成熟，人流量大，商业繁华度好</v>
      </c>
      <c r="D16" s="3032"/>
      <c r="E16" s="3078"/>
      <c r="F16" s="3079" t="s">
        <v>1467</v>
      </c>
      <c r="G16" s="3080" t="str">
        <f>G4</f>
        <v>估价对象周边道路状况、公共交通通达情况、停车便捷程度，综合评价交通便捷度较好</v>
      </c>
    </row>
    <row r="17" spans="1:7" ht="40.5">
      <c r="A17" s="3075"/>
      <c r="B17" s="3076" t="s">
        <v>1468</v>
      </c>
      <c r="C17" s="3077" t="str">
        <f>C5</f>
        <v>估价对象位于XX商圈，周边办公楼项目较多，入驻率高，办公集聚程度较好</v>
      </c>
      <c r="D17" s="3041"/>
      <c r="E17" s="3078"/>
      <c r="F17" s="3079" t="s">
        <v>1473</v>
      </c>
      <c r="G17" s="3081"/>
    </row>
    <row r="18" spans="1:7" ht="40.5">
      <c r="A18" s="3075"/>
      <c r="B18" s="3079" t="s">
        <v>1454</v>
      </c>
      <c r="C18" s="3080" t="str">
        <f>C6</f>
        <v>估价对象周边道路状况、公共交通通达情况、停车便捷程度，综合评价交通便捷度较好</v>
      </c>
      <c r="D18" s="3041"/>
      <c r="E18" s="3078"/>
      <c r="F18" s="3079" t="s">
        <v>1469</v>
      </c>
      <c r="G18" s="3080" t="str">
        <f>G7</f>
        <v>该园区内是否有污染型企业，绿化情况，卫生条件，整体环境状况判断</v>
      </c>
    </row>
    <row r="19" spans="1:7" ht="27">
      <c r="A19" s="3075"/>
      <c r="B19" s="3079" t="s">
        <v>1458</v>
      </c>
      <c r="C19" s="3081"/>
      <c r="D19" s="3032"/>
      <c r="E19" s="3078"/>
      <c r="F19" s="3036" t="s">
        <v>2263</v>
      </c>
      <c r="G19" s="3080" t="str">
        <f>G5</f>
        <v>估价对象所在区域公共配套设施齐备情况</v>
      </c>
    </row>
    <row r="20" spans="1:7" ht="27">
      <c r="A20" s="3075"/>
      <c r="B20" s="3079" t="s">
        <v>1459</v>
      </c>
      <c r="C20" s="3077" t="str">
        <f>C9</f>
        <v>区域自然环境：；人文环境；综合评价环境状况一般</v>
      </c>
      <c r="D20" s="3041"/>
      <c r="E20" s="3078"/>
      <c r="F20" s="3036" t="s">
        <v>2264</v>
      </c>
      <c r="G20" s="3080" t="str">
        <f>G6</f>
        <v>估价对象所在区域基础设施水平</v>
      </c>
    </row>
    <row r="21" spans="1:7" ht="27">
      <c r="A21" s="3075"/>
      <c r="B21" s="3036" t="s">
        <v>2263</v>
      </c>
      <c r="C21" s="3080" t="str">
        <f>C7</f>
        <v>估价对象所在区域公共配套设施齐备情况</v>
      </c>
      <c r="D21" s="3032"/>
      <c r="E21" s="3078"/>
      <c r="F21" s="3079" t="s">
        <v>1460</v>
      </c>
      <c r="G21" s="3082"/>
    </row>
    <row r="22" spans="1:7" ht="14.25">
      <c r="A22" s="3075"/>
      <c r="B22" s="3036" t="s">
        <v>2264</v>
      </c>
      <c r="C22" s="3080" t="str">
        <f>C8</f>
        <v>估价对象所在区域基础设施水平</v>
      </c>
      <c r="D22" s="3032"/>
      <c r="E22" s="3078"/>
      <c r="F22" s="3079" t="s">
        <v>1470</v>
      </c>
      <c r="G22" s="3081"/>
    </row>
    <row r="23" spans="1:7" ht="15" thickBot="1">
      <c r="A23" s="3075"/>
      <c r="B23" s="3079" t="s">
        <v>1460</v>
      </c>
      <c r="C23" s="3082"/>
      <c r="E23" s="3083"/>
      <c r="F23" s="3084" t="s">
        <v>1474</v>
      </c>
      <c r="G23" s="3085"/>
    </row>
    <row r="24" spans="1:7" ht="14.25" thickBot="1">
      <c r="A24" s="3086"/>
      <c r="B24" s="3084" t="s">
        <v>1461</v>
      </c>
      <c r="C24" s="3087">
        <f>C10</f>
        <v>0</v>
      </c>
      <c r="E24" s="3088"/>
      <c r="F24" s="3088"/>
      <c r="G24" s="3089"/>
    </row>
    <row r="25" spans="1:7">
      <c r="E25" s="3028"/>
      <c r="F25" s="3028"/>
      <c r="G25" s="3028"/>
    </row>
    <row r="26" spans="1:7">
      <c r="E26" s="3028"/>
      <c r="F26" s="3028"/>
      <c r="G26" s="3028"/>
    </row>
    <row r="27" spans="1:7">
      <c r="E27" s="3028"/>
      <c r="F27" s="3028"/>
      <c r="G27" s="3028"/>
    </row>
    <row r="28" spans="1:7">
      <c r="E28" s="3028"/>
      <c r="F28" s="3028"/>
      <c r="G28" s="3028"/>
    </row>
    <row r="29" spans="1:7">
      <c r="E29" s="3028"/>
      <c r="F29" s="3028"/>
      <c r="G29" s="3028"/>
    </row>
    <row r="30" spans="1:7">
      <c r="E30" s="3028"/>
      <c r="F30" s="3028"/>
      <c r="G30" s="3028"/>
    </row>
    <row r="31" spans="1:7">
      <c r="E31" s="3028"/>
      <c r="F31" s="3028"/>
      <c r="G31" s="3028"/>
    </row>
    <row r="32" spans="1:7">
      <c r="E32" s="3028"/>
      <c r="F32" s="3028"/>
      <c r="G32" s="3028"/>
    </row>
    <row r="33" spans="5:7">
      <c r="E33" s="3028"/>
      <c r="F33" s="3028"/>
      <c r="G33" s="3028"/>
    </row>
    <row r="34" spans="5:7">
      <c r="E34" s="3028"/>
      <c r="F34" s="3028"/>
      <c r="G34" s="3028"/>
    </row>
    <row r="35" spans="5:7">
      <c r="E35" s="3028"/>
      <c r="F35" s="3028"/>
      <c r="G35" s="3028"/>
    </row>
    <row r="36" spans="5:7">
      <c r="E36" s="3028"/>
      <c r="F36" s="3028"/>
      <c r="G36" s="3028"/>
    </row>
    <row r="37" spans="5:7">
      <c r="E37" s="3028"/>
      <c r="F37" s="3028"/>
      <c r="G37" s="302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91" customWidth="1"/>
    <col min="2" max="16384" width="14.625" style="3091"/>
  </cols>
  <sheetData>
    <row r="1" spans="1:10" ht="16.5">
      <c r="A1" s="3090" t="s">
        <v>2556</v>
      </c>
      <c r="B1" s="3090">
        <f>SUM(B14:B23)</f>
        <v>184715.46</v>
      </c>
      <c r="C1" s="3099"/>
      <c r="D1" s="3099"/>
      <c r="E1" s="3099"/>
      <c r="F1" s="3099"/>
      <c r="G1" s="3100"/>
      <c r="H1" s="3100"/>
      <c r="I1" s="3100"/>
      <c r="J1" s="3100"/>
    </row>
    <row r="2" spans="1:10" ht="16.5">
      <c r="A2" s="3090" t="s">
        <v>2557</v>
      </c>
      <c r="B2" s="3090">
        <f>SUM(C14:C23)</f>
        <v>23308.880000000001</v>
      </c>
      <c r="C2" s="3099"/>
      <c r="D2" s="3099"/>
      <c r="E2" s="3099"/>
      <c r="F2" s="3099"/>
      <c r="G2" s="3100"/>
      <c r="H2" s="3100"/>
      <c r="I2" s="3100"/>
      <c r="J2" s="3100"/>
    </row>
    <row r="3" spans="1:10" ht="16.5">
      <c r="A3" s="3090" t="s">
        <v>2558</v>
      </c>
      <c r="B3" s="3092">
        <f>项目基本情况!D3</f>
        <v>44895</v>
      </c>
      <c r="C3" s="3099"/>
      <c r="D3" s="3099"/>
      <c r="E3" s="3099"/>
      <c r="F3" s="3099"/>
      <c r="G3" s="3100"/>
      <c r="H3" s="3100"/>
      <c r="I3" s="3100"/>
      <c r="J3" s="3100"/>
    </row>
    <row r="4" spans="1:10" ht="33">
      <c r="A4" s="3090" t="s">
        <v>2559</v>
      </c>
      <c r="B4" s="3090" t="s">
        <v>2560</v>
      </c>
      <c r="C4" s="3090" t="s">
        <v>2561</v>
      </c>
      <c r="D4" s="3090" t="s">
        <v>2562</v>
      </c>
      <c r="E4" s="3099"/>
      <c r="F4" s="3099"/>
      <c r="G4" s="3100"/>
      <c r="H4" s="3100"/>
      <c r="I4" s="3100"/>
      <c r="J4" s="3100"/>
    </row>
    <row r="5" spans="1:10" ht="16.5">
      <c r="A5" s="3090" t="s">
        <v>2563</v>
      </c>
      <c r="B5" s="3090">
        <f ca="1">SUM(D14:D23)</f>
        <v>51672</v>
      </c>
      <c r="C5" s="3090">
        <f ca="1">ROUND(B5*10000/$B$1,0)</f>
        <v>2797</v>
      </c>
      <c r="D5" s="3090">
        <f ca="1">ROUND(B5*10000/$B$2,0)</f>
        <v>22168</v>
      </c>
      <c r="E5" s="3099"/>
      <c r="F5" s="3099"/>
      <c r="G5" s="3100"/>
      <c r="H5" s="3100"/>
      <c r="I5" s="3100"/>
      <c r="J5" s="3100"/>
    </row>
    <row r="6" spans="1:10" ht="16.5">
      <c r="A6" s="3090" t="s">
        <v>2564</v>
      </c>
      <c r="B6" s="3090">
        <f ca="1">SUM(G14:G23)</f>
        <v>51672</v>
      </c>
      <c r="C6" s="3090">
        <f t="shared" ref="C6:C8" ca="1" si="0">ROUND(B6*10000/$B$1,0)</f>
        <v>2797</v>
      </c>
      <c r="D6" s="3090">
        <f t="shared" ref="D6:D8" ca="1" si="1">ROUND(B6*10000/$B$2,0)</f>
        <v>22168</v>
      </c>
      <c r="E6" s="3099"/>
      <c r="F6" s="3099"/>
      <c r="G6" s="3100"/>
      <c r="H6" s="3100"/>
      <c r="I6" s="3100"/>
      <c r="J6" s="3100"/>
    </row>
    <row r="7" spans="1:10" ht="16.5">
      <c r="A7" s="3090" t="s">
        <v>2565</v>
      </c>
      <c r="B7" s="3090">
        <f>SUM(H14:H23)</f>
        <v>0</v>
      </c>
      <c r="C7" s="3090">
        <f t="shared" si="0"/>
        <v>0</v>
      </c>
      <c r="D7" s="3090">
        <f t="shared" si="1"/>
        <v>0</v>
      </c>
      <c r="E7" s="3099"/>
      <c r="F7" s="3099"/>
      <c r="G7" s="3100"/>
      <c r="H7" s="3100"/>
      <c r="I7" s="3100"/>
      <c r="J7" s="3100"/>
    </row>
    <row r="8" spans="1:10" ht="16.5">
      <c r="A8" s="3090" t="s">
        <v>2566</v>
      </c>
      <c r="B8" s="3090">
        <f>SUM(I14:I23)</f>
        <v>0</v>
      </c>
      <c r="C8" s="3090">
        <f t="shared" si="0"/>
        <v>0</v>
      </c>
      <c r="D8" s="3090">
        <f t="shared" si="1"/>
        <v>0</v>
      </c>
      <c r="E8" s="3099"/>
      <c r="F8" s="3099"/>
      <c r="G8" s="3100"/>
      <c r="H8" s="3100"/>
      <c r="I8" s="3100"/>
      <c r="J8" s="3100"/>
    </row>
    <row r="9" spans="1:10" ht="16.5">
      <c r="A9" s="3090" t="s">
        <v>2567</v>
      </c>
      <c r="B9" s="3098"/>
      <c r="C9" s="3099"/>
      <c r="D9" s="3099"/>
      <c r="E9" s="3099"/>
      <c r="F9" s="3099"/>
      <c r="G9" s="3100"/>
      <c r="H9" s="3100"/>
      <c r="I9" s="3100"/>
      <c r="J9" s="3100"/>
    </row>
    <row r="10" spans="1:10" ht="16.5">
      <c r="A10" s="3090" t="s">
        <v>2568</v>
      </c>
      <c r="B10" s="3098"/>
      <c r="C10" s="3099"/>
      <c r="D10" s="3099"/>
      <c r="E10" s="3099"/>
      <c r="F10" s="3099"/>
      <c r="G10" s="3100"/>
      <c r="H10" s="3100"/>
      <c r="I10" s="3100"/>
      <c r="J10" s="3100"/>
    </row>
    <row r="11" spans="1:10" ht="16.5">
      <c r="A11" s="3090" t="s">
        <v>2585</v>
      </c>
      <c r="B11" s="3098"/>
      <c r="C11" s="3099"/>
      <c r="D11" s="3099"/>
      <c r="E11" s="3099"/>
      <c r="F11" s="3099"/>
      <c r="G11" s="3100"/>
      <c r="H11" s="3100"/>
      <c r="I11" s="3100"/>
      <c r="J11" s="3100"/>
    </row>
    <row r="12" spans="1:10" ht="16.5">
      <c r="A12" s="3099"/>
      <c r="B12" s="3099"/>
      <c r="C12" s="3099"/>
      <c r="D12" s="3099"/>
      <c r="E12" s="3099"/>
      <c r="F12" s="3099"/>
      <c r="G12" s="3100"/>
      <c r="H12" s="3100"/>
      <c r="I12" s="3100"/>
      <c r="J12" s="3100"/>
    </row>
    <row r="13" spans="1:10" ht="33">
      <c r="A13" s="3093" t="s">
        <v>2584</v>
      </c>
      <c r="B13" s="3094" t="s">
        <v>2556</v>
      </c>
      <c r="C13" s="3094" t="s">
        <v>2557</v>
      </c>
      <c r="D13" s="3094" t="s">
        <v>2569</v>
      </c>
      <c r="E13" s="3090" t="s">
        <v>2583</v>
      </c>
      <c r="F13" s="3090" t="s">
        <v>2562</v>
      </c>
      <c r="G13" s="3094" t="s">
        <v>2570</v>
      </c>
      <c r="H13" s="3094" t="s">
        <v>2571</v>
      </c>
      <c r="I13" s="3094" t="s">
        <v>2572</v>
      </c>
      <c r="J13" s="3100"/>
    </row>
    <row r="14" spans="1:10" ht="16.5">
      <c r="A14" s="3095" t="s">
        <v>2582</v>
      </c>
      <c r="B14" s="3096">
        <f>结果表!L38</f>
        <v>184715.46</v>
      </c>
      <c r="C14" s="3096">
        <f>结果表!K38</f>
        <v>23308.880000000001</v>
      </c>
      <c r="D14" s="3096">
        <f ca="1">结果表!C42</f>
        <v>51672</v>
      </c>
      <c r="E14" s="3096">
        <f ca="1">ROUND(D14*10000/B14,0)</f>
        <v>2797</v>
      </c>
      <c r="F14" s="3096">
        <f ca="1">ROUND(D14*10000/C14,0)</f>
        <v>22168</v>
      </c>
      <c r="G14" s="3096">
        <f ca="1">结果表!C44</f>
        <v>51672</v>
      </c>
      <c r="H14" s="3096" t="str">
        <f>结果表!C45</f>
        <v>——</v>
      </c>
      <c r="I14" s="3096" t="str">
        <f>结果表!C46</f>
        <v>——</v>
      </c>
      <c r="J14" s="3100"/>
    </row>
    <row r="15" spans="1:10" ht="16.5">
      <c r="A15" s="3095" t="s">
        <v>2573</v>
      </c>
      <c r="B15" s="3097"/>
      <c r="C15" s="3097"/>
      <c r="D15" s="3097"/>
      <c r="E15" s="3096" t="e">
        <f t="shared" ref="E15:E23" si="2">ROUND(D15*10000/B15,0)</f>
        <v>#DIV/0!</v>
      </c>
      <c r="F15" s="3096" t="e">
        <f t="shared" ref="F15:F23" si="3">ROUND(D15*10000/C15,0)</f>
        <v>#DIV/0!</v>
      </c>
      <c r="G15" s="2672"/>
      <c r="H15" s="2672"/>
      <c r="I15" s="3097"/>
      <c r="J15" s="3100"/>
    </row>
    <row r="16" spans="1:10" ht="16.5">
      <c r="A16" s="3095" t="s">
        <v>2574</v>
      </c>
      <c r="B16" s="3097"/>
      <c r="C16" s="3097"/>
      <c r="D16" s="3097"/>
      <c r="E16" s="3096" t="e">
        <f t="shared" si="2"/>
        <v>#DIV/0!</v>
      </c>
      <c r="F16" s="3096" t="e">
        <f t="shared" si="3"/>
        <v>#DIV/0!</v>
      </c>
      <c r="G16" s="2672"/>
      <c r="H16" s="2672"/>
      <c r="I16" s="3097"/>
      <c r="J16" s="3100"/>
    </row>
    <row r="17" spans="1:10" ht="16.5">
      <c r="A17" s="3095" t="s">
        <v>2575</v>
      </c>
      <c r="B17" s="3097"/>
      <c r="C17" s="3097"/>
      <c r="D17" s="3097"/>
      <c r="E17" s="3096" t="e">
        <f t="shared" si="2"/>
        <v>#DIV/0!</v>
      </c>
      <c r="F17" s="3096" t="e">
        <f t="shared" si="3"/>
        <v>#DIV/0!</v>
      </c>
      <c r="G17" s="2672"/>
      <c r="H17" s="2672"/>
      <c r="I17" s="3097"/>
      <c r="J17" s="3100"/>
    </row>
    <row r="18" spans="1:10" ht="16.5">
      <c r="A18" s="3095" t="s">
        <v>2576</v>
      </c>
      <c r="B18" s="3097"/>
      <c r="C18" s="3097"/>
      <c r="D18" s="3097"/>
      <c r="E18" s="3096" t="e">
        <f t="shared" si="2"/>
        <v>#DIV/0!</v>
      </c>
      <c r="F18" s="3096" t="e">
        <f t="shared" si="3"/>
        <v>#DIV/0!</v>
      </c>
      <c r="G18" s="3097"/>
      <c r="H18" s="3097"/>
      <c r="I18" s="3097"/>
      <c r="J18" s="3100"/>
    </row>
    <row r="19" spans="1:10" ht="16.5">
      <c r="A19" s="3095" t="s">
        <v>2577</v>
      </c>
      <c r="B19" s="3097"/>
      <c r="C19" s="3097"/>
      <c r="D19" s="3097"/>
      <c r="E19" s="3096" t="e">
        <f t="shared" si="2"/>
        <v>#DIV/0!</v>
      </c>
      <c r="F19" s="3096" t="e">
        <f t="shared" si="3"/>
        <v>#DIV/0!</v>
      </c>
      <c r="G19" s="3097"/>
      <c r="H19" s="3097"/>
      <c r="I19" s="3097"/>
      <c r="J19" s="3100"/>
    </row>
    <row r="20" spans="1:10" ht="16.5">
      <c r="A20" s="3095" t="s">
        <v>2578</v>
      </c>
      <c r="B20" s="3097"/>
      <c r="C20" s="3097"/>
      <c r="D20" s="3097"/>
      <c r="E20" s="3096" t="e">
        <f t="shared" si="2"/>
        <v>#DIV/0!</v>
      </c>
      <c r="F20" s="3096" t="e">
        <f t="shared" si="3"/>
        <v>#DIV/0!</v>
      </c>
      <c r="G20" s="3097"/>
      <c r="H20" s="3097"/>
      <c r="I20" s="3097"/>
      <c r="J20" s="3100"/>
    </row>
    <row r="21" spans="1:10" ht="16.5">
      <c r="A21" s="3095" t="s">
        <v>2579</v>
      </c>
      <c r="B21" s="3097"/>
      <c r="C21" s="3097"/>
      <c r="D21" s="3097"/>
      <c r="E21" s="3096" t="e">
        <f t="shared" si="2"/>
        <v>#DIV/0!</v>
      </c>
      <c r="F21" s="3096" t="e">
        <f t="shared" si="3"/>
        <v>#DIV/0!</v>
      </c>
      <c r="G21" s="3097"/>
      <c r="H21" s="3097"/>
      <c r="I21" s="3097"/>
      <c r="J21" s="3100"/>
    </row>
    <row r="22" spans="1:10" ht="16.5">
      <c r="A22" s="3095" t="s">
        <v>2580</v>
      </c>
      <c r="B22" s="3097"/>
      <c r="C22" s="3097"/>
      <c r="D22" s="3097"/>
      <c r="E22" s="3096" t="e">
        <f t="shared" si="2"/>
        <v>#DIV/0!</v>
      </c>
      <c r="F22" s="3096" t="e">
        <f t="shared" si="3"/>
        <v>#DIV/0!</v>
      </c>
      <c r="G22" s="3097"/>
      <c r="H22" s="3097"/>
      <c r="I22" s="3097"/>
      <c r="J22" s="3100"/>
    </row>
    <row r="23" spans="1:10" ht="16.5">
      <c r="A23" s="3095" t="s">
        <v>2581</v>
      </c>
      <c r="B23" s="3097"/>
      <c r="C23" s="3097"/>
      <c r="D23" s="3097"/>
      <c r="E23" s="3098" t="e">
        <f t="shared" si="2"/>
        <v>#DIV/0!</v>
      </c>
      <c r="F23" s="3098" t="e">
        <f t="shared" si="3"/>
        <v>#DIV/0!</v>
      </c>
      <c r="G23" s="3097"/>
      <c r="H23" s="3097"/>
      <c r="I23" s="3097"/>
      <c r="J23" s="3100"/>
    </row>
    <row r="24" spans="1:10">
      <c r="A24" s="3100"/>
      <c r="B24" s="3100"/>
      <c r="C24" s="3100"/>
      <c r="D24" s="3100"/>
      <c r="E24" s="3100"/>
      <c r="F24" s="3100"/>
      <c r="G24" s="3100"/>
      <c r="H24" s="3100"/>
      <c r="I24" s="3100"/>
      <c r="J24" s="3100"/>
    </row>
    <row r="25" spans="1:10">
      <c r="A25" s="3100"/>
      <c r="B25" s="3100"/>
      <c r="C25" s="3100"/>
      <c r="D25" s="3100"/>
      <c r="E25" s="3100"/>
      <c r="F25" s="3100"/>
      <c r="G25" s="3100"/>
      <c r="H25" s="3100"/>
      <c r="I25" s="3100"/>
      <c r="J25" s="3100"/>
    </row>
    <row r="26" spans="1:10">
      <c r="A26" s="3100"/>
      <c r="B26" s="3100"/>
      <c r="C26" s="3100"/>
      <c r="D26" s="3100"/>
      <c r="E26" s="3100"/>
      <c r="F26" s="3100"/>
      <c r="G26" s="3100"/>
      <c r="H26" s="3100"/>
      <c r="I26" s="3100"/>
      <c r="J26" s="310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L29" sqref="L29"/>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6"/>
  </cols>
  <sheetData>
    <row r="1" spans="1:22" ht="21.75" customHeight="1" thickBot="1">
      <c r="A1" s="1643" t="s">
        <v>1846</v>
      </c>
      <c r="B1" s="1644"/>
      <c r="C1" s="1672" t="s">
        <v>1847</v>
      </c>
      <c r="D1" s="1673"/>
      <c r="E1" s="1672" t="s">
        <v>1848</v>
      </c>
      <c r="F1" s="1674"/>
      <c r="G1" s="309"/>
      <c r="H1" s="309"/>
      <c r="I1" s="309"/>
      <c r="J1" s="1863"/>
      <c r="K1" s="1863"/>
      <c r="L1" s="1863"/>
      <c r="M1" s="1863"/>
      <c r="N1" s="1863"/>
      <c r="O1" s="1863"/>
      <c r="P1" s="1863"/>
      <c r="Q1" s="1863"/>
      <c r="R1" s="1863"/>
      <c r="S1" s="1863"/>
      <c r="T1" s="1863"/>
      <c r="U1" s="1863"/>
      <c r="V1" s="1863"/>
    </row>
    <row r="2" spans="1:22" ht="21.75" customHeight="1" thickBot="1">
      <c r="A2" s="3632" t="str">
        <f>项目基本情况!K2</f>
        <v>出让国有建设用地使用权</v>
      </c>
      <c r="B2" s="3633"/>
      <c r="C2" s="3634"/>
      <c r="D2" s="3634"/>
      <c r="E2" s="3634"/>
      <c r="F2" s="3634"/>
      <c r="G2" s="3633"/>
      <c r="H2" s="3633"/>
      <c r="I2" s="3635"/>
      <c r="J2" s="1864"/>
      <c r="K2" s="1863"/>
      <c r="L2" s="1863"/>
      <c r="M2" s="1863"/>
      <c r="N2" s="1863"/>
      <c r="O2" s="1863"/>
      <c r="P2" s="1863"/>
      <c r="Q2" s="1863"/>
      <c r="R2" s="1863"/>
      <c r="S2" s="1863"/>
      <c r="T2" s="1863"/>
      <c r="U2" s="1863"/>
      <c r="V2" s="1863"/>
    </row>
    <row r="3" spans="1:22" ht="14.25">
      <c r="A3" s="3625" t="s">
        <v>298</v>
      </c>
      <c r="B3" s="3626"/>
      <c r="C3" s="3626"/>
      <c r="D3" s="3626"/>
      <c r="E3" s="3626"/>
      <c r="F3" s="3626"/>
      <c r="G3" s="3626"/>
      <c r="H3" s="3626"/>
      <c r="I3" s="3626"/>
      <c r="J3" s="1864"/>
      <c r="K3" s="1863"/>
      <c r="L3" s="1863"/>
      <c r="M3" s="1863"/>
      <c r="N3" s="1863"/>
      <c r="O3" s="1863"/>
      <c r="P3" s="1863"/>
      <c r="Q3" s="1863"/>
      <c r="R3" s="1863"/>
      <c r="S3" s="1863"/>
      <c r="T3" s="1863"/>
      <c r="U3" s="1863"/>
      <c r="V3" s="1863"/>
    </row>
    <row r="4" spans="1:22" ht="14.25">
      <c r="A4" s="256" t="s">
        <v>299</v>
      </c>
      <c r="B4" s="257" t="s">
        <v>300</v>
      </c>
      <c r="C4" s="258" t="s">
        <v>3468</v>
      </c>
      <c r="D4" s="258" t="s">
        <v>3469</v>
      </c>
      <c r="E4" s="3591" t="s">
        <v>301</v>
      </c>
      <c r="F4" s="3592"/>
      <c r="G4" s="3592"/>
      <c r="H4" s="3592"/>
      <c r="I4" s="3627"/>
      <c r="J4" s="1864"/>
      <c r="K4" s="1863"/>
      <c r="L4" s="3101"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3"/>
      <c r="O4" s="1863"/>
      <c r="P4" s="1863"/>
      <c r="Q4" s="1863"/>
      <c r="R4" s="1863"/>
      <c r="S4" s="1863"/>
      <c r="T4" s="1863"/>
      <c r="U4" s="1863"/>
      <c r="V4" s="1863"/>
    </row>
    <row r="5" spans="1:22" ht="14.25">
      <c r="A5" s="3590" t="s">
        <v>302</v>
      </c>
      <c r="B5" s="3619">
        <v>25</v>
      </c>
      <c r="C5" s="3617"/>
      <c r="D5" s="3621"/>
      <c r="E5" s="259" t="s">
        <v>303</v>
      </c>
      <c r="F5" s="260"/>
      <c r="G5" s="260"/>
      <c r="H5" s="260"/>
      <c r="I5" s="261"/>
      <c r="J5" s="1864"/>
      <c r="K5" s="1863"/>
      <c r="L5" s="1863"/>
      <c r="M5" s="1863"/>
      <c r="N5" s="1863"/>
      <c r="O5" s="1863"/>
      <c r="P5" s="1863"/>
      <c r="Q5" s="1863"/>
      <c r="R5" s="1863"/>
      <c r="S5" s="1863"/>
      <c r="T5" s="1863"/>
      <c r="U5" s="1863"/>
      <c r="V5" s="1863"/>
    </row>
    <row r="6" spans="1:22" ht="14.25">
      <c r="A6" s="3590"/>
      <c r="B6" s="3619"/>
      <c r="C6" s="3620"/>
      <c r="D6" s="3621"/>
      <c r="E6" s="259" t="s">
        <v>304</v>
      </c>
      <c r="F6" s="260"/>
      <c r="G6" s="260"/>
      <c r="H6" s="260"/>
      <c r="I6" s="261"/>
      <c r="J6" s="1864"/>
      <c r="K6" s="1863"/>
      <c r="L6" s="1863"/>
      <c r="M6" s="1863"/>
      <c r="N6" s="1863"/>
      <c r="O6" s="1863"/>
      <c r="P6" s="1863"/>
      <c r="Q6" s="1863"/>
      <c r="R6" s="1863"/>
      <c r="S6" s="1863"/>
      <c r="T6" s="1863"/>
      <c r="U6" s="1863"/>
      <c r="V6" s="1863"/>
    </row>
    <row r="7" spans="1:22" ht="14.25">
      <c r="A7" s="3590"/>
      <c r="B7" s="3619"/>
      <c r="C7" s="3618"/>
      <c r="D7" s="3621"/>
      <c r="E7" s="259" t="s">
        <v>305</v>
      </c>
      <c r="F7" s="260"/>
      <c r="G7" s="260"/>
      <c r="H7" s="260"/>
      <c r="I7" s="261"/>
      <c r="J7" s="1864"/>
      <c r="K7" s="1863"/>
      <c r="L7" s="1863"/>
      <c r="M7" s="1863"/>
      <c r="N7" s="1863"/>
      <c r="O7" s="1863"/>
      <c r="P7" s="1863"/>
      <c r="Q7" s="1863"/>
      <c r="R7" s="1863"/>
      <c r="S7" s="1863"/>
      <c r="T7" s="1863"/>
      <c r="U7" s="1863"/>
      <c r="V7" s="1863"/>
    </row>
    <row r="8" spans="1:22" ht="14.25">
      <c r="A8" s="3590" t="s">
        <v>306</v>
      </c>
      <c r="B8" s="3619">
        <v>15</v>
      </c>
      <c r="C8" s="3617"/>
      <c r="D8" s="3621"/>
      <c r="E8" s="259" t="s">
        <v>307</v>
      </c>
      <c r="F8" s="260"/>
      <c r="G8" s="260"/>
      <c r="H8" s="260"/>
      <c r="I8" s="261"/>
      <c r="J8" s="1864"/>
      <c r="K8" s="1863"/>
      <c r="L8" s="1863"/>
      <c r="M8" s="1863"/>
      <c r="N8" s="1863"/>
      <c r="O8" s="1863"/>
      <c r="P8" s="1863"/>
      <c r="Q8" s="1863"/>
      <c r="R8" s="1863"/>
      <c r="S8" s="1863"/>
      <c r="T8" s="1863"/>
      <c r="U8" s="1863"/>
      <c r="V8" s="1863"/>
    </row>
    <row r="9" spans="1:22" ht="14.25">
      <c r="A9" s="3590"/>
      <c r="B9" s="3619"/>
      <c r="C9" s="3618"/>
      <c r="D9" s="3621"/>
      <c r="E9" s="259" t="s">
        <v>308</v>
      </c>
      <c r="F9" s="260"/>
      <c r="G9" s="260"/>
      <c r="H9" s="260"/>
      <c r="I9" s="261"/>
      <c r="J9" s="1864"/>
      <c r="K9" s="1863"/>
      <c r="L9" s="1863"/>
      <c r="M9" s="1863"/>
      <c r="N9" s="1863"/>
      <c r="O9" s="1863"/>
      <c r="P9" s="1863"/>
      <c r="Q9" s="1863"/>
      <c r="R9" s="1863"/>
      <c r="S9" s="1863"/>
      <c r="T9" s="1863"/>
      <c r="U9" s="1863"/>
      <c r="V9" s="1863"/>
    </row>
    <row r="10" spans="1:22" ht="14.25">
      <c r="A10" s="3590" t="s">
        <v>309</v>
      </c>
      <c r="B10" s="3619">
        <v>15</v>
      </c>
      <c r="C10" s="3617"/>
      <c r="D10" s="3621"/>
      <c r="E10" s="259" t="s">
        <v>310</v>
      </c>
      <c r="F10" s="260"/>
      <c r="G10" s="260"/>
      <c r="H10" s="260"/>
      <c r="I10" s="261"/>
      <c r="J10" s="1864"/>
      <c r="K10" s="1863"/>
      <c r="L10" s="1863"/>
      <c r="M10" s="1863"/>
      <c r="N10" s="1863"/>
      <c r="O10" s="1863"/>
      <c r="P10" s="1863"/>
      <c r="Q10" s="1863"/>
      <c r="R10" s="1863"/>
      <c r="S10" s="1863"/>
      <c r="T10" s="1863"/>
      <c r="U10" s="1863"/>
      <c r="V10" s="1863"/>
    </row>
    <row r="11" spans="1:22" ht="14.25">
      <c r="A11" s="3590"/>
      <c r="B11" s="3619"/>
      <c r="C11" s="3618"/>
      <c r="D11" s="3621"/>
      <c r="E11" s="259" t="s">
        <v>311</v>
      </c>
      <c r="F11" s="260"/>
      <c r="G11" s="260"/>
      <c r="H11" s="260"/>
      <c r="I11" s="261"/>
      <c r="J11" s="1864"/>
      <c r="K11" s="1863"/>
      <c r="L11" s="1863"/>
      <c r="M11" s="1863"/>
      <c r="N11" s="1863"/>
      <c r="O11" s="1863"/>
      <c r="P11" s="1863"/>
      <c r="Q11" s="1863"/>
      <c r="R11" s="1863"/>
      <c r="S11" s="1863"/>
      <c r="T11" s="1863"/>
      <c r="U11" s="1863"/>
      <c r="V11" s="1863"/>
    </row>
    <row r="12" spans="1:22" ht="14.25">
      <c r="A12" s="3590" t="s">
        <v>312</v>
      </c>
      <c r="B12" s="3619">
        <v>15</v>
      </c>
      <c r="C12" s="3617"/>
      <c r="D12" s="3621"/>
      <c r="E12" s="259" t="s">
        <v>313</v>
      </c>
      <c r="F12" s="260"/>
      <c r="G12" s="260"/>
      <c r="H12" s="260"/>
      <c r="I12" s="261"/>
      <c r="J12" s="1864"/>
      <c r="K12" s="1863"/>
      <c r="L12" s="1863"/>
      <c r="M12" s="1863"/>
      <c r="N12" s="1863"/>
      <c r="O12" s="1863"/>
      <c r="P12" s="1863"/>
      <c r="Q12" s="1863"/>
      <c r="R12" s="1863"/>
      <c r="S12" s="1863"/>
      <c r="T12" s="1863"/>
      <c r="U12" s="1863"/>
      <c r="V12" s="1863"/>
    </row>
    <row r="13" spans="1:22" ht="14.25">
      <c r="A13" s="3590"/>
      <c r="B13" s="3619"/>
      <c r="C13" s="3618"/>
      <c r="D13" s="3621"/>
      <c r="E13" s="259" t="s">
        <v>314</v>
      </c>
      <c r="F13" s="260"/>
      <c r="G13" s="260"/>
      <c r="H13" s="260"/>
      <c r="I13" s="261"/>
      <c r="J13" s="1864"/>
      <c r="K13" s="1863"/>
      <c r="L13" s="1863"/>
      <c r="M13" s="1863"/>
      <c r="N13" s="1863"/>
      <c r="O13" s="1863"/>
      <c r="P13" s="1863"/>
      <c r="Q13" s="1863"/>
      <c r="R13" s="1863"/>
      <c r="S13" s="1863"/>
      <c r="T13" s="1863"/>
      <c r="U13" s="1863"/>
      <c r="V13" s="1863"/>
    </row>
    <row r="14" spans="1:22" ht="14.25">
      <c r="A14" s="3590" t="s">
        <v>315</v>
      </c>
      <c r="B14" s="3619">
        <v>30</v>
      </c>
      <c r="C14" s="3617">
        <v>5</v>
      </c>
      <c r="D14" s="3621">
        <v>5</v>
      </c>
      <c r="E14" s="259" t="s">
        <v>316</v>
      </c>
      <c r="F14" s="260"/>
      <c r="G14" s="260"/>
      <c r="H14" s="260"/>
      <c r="I14" s="261"/>
      <c r="J14" s="1864"/>
      <c r="K14" s="1863"/>
      <c r="L14" s="1863"/>
      <c r="M14" s="1863"/>
      <c r="N14" s="1863"/>
      <c r="O14" s="1863"/>
      <c r="P14" s="1863"/>
      <c r="Q14" s="1863"/>
      <c r="R14" s="1863"/>
      <c r="S14" s="1863"/>
      <c r="T14" s="1863"/>
      <c r="U14" s="1863"/>
      <c r="V14" s="1863"/>
    </row>
    <row r="15" spans="1:22" ht="14.25">
      <c r="A15" s="3590"/>
      <c r="B15" s="3619"/>
      <c r="C15" s="3620"/>
      <c r="D15" s="3621"/>
      <c r="E15" s="259" t="s">
        <v>317</v>
      </c>
      <c r="F15" s="260"/>
      <c r="G15" s="260"/>
      <c r="H15" s="260"/>
      <c r="I15" s="261"/>
      <c r="J15" s="1864"/>
      <c r="K15" s="1863"/>
      <c r="L15" s="1863"/>
      <c r="M15" s="1863"/>
      <c r="N15" s="1863"/>
      <c r="O15" s="1863"/>
      <c r="P15" s="1863"/>
      <c r="Q15" s="1863"/>
      <c r="R15" s="1863"/>
      <c r="S15" s="1863"/>
      <c r="T15" s="1863"/>
      <c r="U15" s="1863"/>
      <c r="V15" s="1863"/>
    </row>
    <row r="16" spans="1:22" ht="14.25">
      <c r="A16" s="3590"/>
      <c r="B16" s="3619"/>
      <c r="C16" s="3618"/>
      <c r="D16" s="3621"/>
      <c r="E16" s="259" t="s">
        <v>318</v>
      </c>
      <c r="F16" s="260"/>
      <c r="G16" s="260"/>
      <c r="H16" s="260"/>
      <c r="I16" s="261"/>
      <c r="J16" s="1864"/>
      <c r="K16" s="1863"/>
      <c r="L16" s="1863"/>
      <c r="M16" s="1863"/>
      <c r="N16" s="1863"/>
      <c r="O16" s="1863"/>
      <c r="P16" s="1863"/>
      <c r="Q16" s="1863"/>
      <c r="R16" s="1863"/>
      <c r="S16" s="1863"/>
      <c r="T16" s="1863"/>
      <c r="U16" s="1863"/>
      <c r="V16" s="1863"/>
    </row>
    <row r="17" spans="1:26" ht="15">
      <c r="A17" s="262" t="s">
        <v>319</v>
      </c>
      <c r="B17" s="142"/>
      <c r="C17" s="263">
        <f>SUM(C5:C16)</f>
        <v>5</v>
      </c>
      <c r="D17" s="263">
        <f>SUM(D5:D16)</f>
        <v>5</v>
      </c>
      <c r="E17" s="309"/>
      <c r="F17" s="309"/>
      <c r="G17" s="309"/>
      <c r="H17" s="309"/>
      <c r="I17" s="309"/>
      <c r="J17" s="1864"/>
      <c r="K17" s="1863"/>
      <c r="L17" s="1863"/>
      <c r="M17" s="1863"/>
      <c r="N17" s="1863"/>
      <c r="O17" s="1863"/>
      <c r="P17" s="1863"/>
      <c r="Q17" s="1863"/>
      <c r="R17" s="1863"/>
      <c r="S17" s="1863"/>
      <c r="T17" s="1863"/>
      <c r="U17" s="1863"/>
      <c r="V17" s="1863"/>
    </row>
    <row r="18" spans="1:26" ht="32.450000000000003" customHeight="1" thickBot="1">
      <c r="A18" s="264" t="s">
        <v>320</v>
      </c>
      <c r="B18" s="105"/>
      <c r="C18" s="265">
        <f>ROUND(C17/SUM(C17:D17),2)</f>
        <v>0.5</v>
      </c>
      <c r="D18" s="265">
        <f>1-C18</f>
        <v>0.5</v>
      </c>
      <c r="E18" s="3622" t="s">
        <v>2694</v>
      </c>
      <c r="F18" s="3623"/>
      <c r="G18" s="3623"/>
      <c r="H18" s="3623"/>
      <c r="I18" s="3623"/>
      <c r="J18" s="1863"/>
      <c r="K18" s="1863"/>
      <c r="L18" s="1863"/>
      <c r="M18" s="1863"/>
      <c r="N18" s="1863"/>
      <c r="O18" s="1863"/>
      <c r="P18" s="1863"/>
      <c r="Q18" s="1863"/>
      <c r="R18" s="1863"/>
      <c r="S18" s="1863"/>
      <c r="T18" s="1863"/>
      <c r="U18" s="1863"/>
      <c r="V18" s="1863"/>
    </row>
    <row r="19" spans="1:26" ht="15">
      <c r="A19" s="266" t="s">
        <v>321</v>
      </c>
      <c r="B19" s="267" t="s">
        <v>322</v>
      </c>
      <c r="C19" s="268">
        <f ca="1">SUMIF(INDIRECT("'"&amp;C4&amp;"'"&amp;"!A:A"),结果表!B19,INDIRECT("'"&amp;C4&amp;"'"&amp;"!B:B"))</f>
        <v>48086</v>
      </c>
      <c r="D19" s="269">
        <f ca="1">SUMIF(INDIRECT("'"&amp;D4&amp;"'"&amp;"!A:A"),结果表!B19,INDIRECT("'"&amp;D4&amp;"'"&amp;"!B:B"))</f>
        <v>55258</v>
      </c>
      <c r="E19" s="266" t="s">
        <v>323</v>
      </c>
      <c r="F19" s="267" t="s">
        <v>322</v>
      </c>
      <c r="G19" s="270">
        <f ca="1">ROUND(C19*$C$18+D19*$D$18,0)</f>
        <v>51672</v>
      </c>
      <c r="H19" s="271" t="s">
        <v>324</v>
      </c>
      <c r="I19" s="309"/>
      <c r="J19" s="1863"/>
      <c r="K19" s="1863"/>
      <c r="L19" s="1863"/>
      <c r="M19" s="1863"/>
      <c r="N19" s="1863"/>
      <c r="O19" s="1863"/>
      <c r="P19" s="1863"/>
      <c r="Q19" s="1863"/>
      <c r="R19" s="1863"/>
      <c r="S19" s="1863"/>
      <c r="T19" s="1863"/>
      <c r="U19" s="1863"/>
      <c r="V19" s="1863"/>
    </row>
    <row r="20" spans="1:26" ht="15">
      <c r="A20" s="272"/>
      <c r="B20" s="273" t="s">
        <v>325</v>
      </c>
      <c r="C20" s="274">
        <f ca="1">SUMIF(INDIRECT("'"&amp;C4&amp;"'"&amp;"!A:A"),结果表!B20,INDIRECT("'"&amp;C4&amp;"'"&amp;"!B:B"))</f>
        <v>2603</v>
      </c>
      <c r="D20" s="275">
        <f ca="1">SUMIF(INDIRECT("'"&amp;D4&amp;"'"&amp;"!A:A"),结果表!B20,INDIRECT("'"&amp;D4&amp;"'"&amp;"!B:B"))</f>
        <v>2992</v>
      </c>
      <c r="E20" s="272"/>
      <c r="F20" s="273" t="s">
        <v>325</v>
      </c>
      <c r="G20" s="276">
        <f ca="1">ROUND(C20*$C$18+D20*$D$18,0)</f>
        <v>2798</v>
      </c>
      <c r="H20" s="277" t="s">
        <v>326</v>
      </c>
      <c r="I20" s="309"/>
      <c r="J20" s="1863"/>
      <c r="K20" s="1863"/>
      <c r="L20" s="1863"/>
      <c r="M20" s="1863"/>
      <c r="N20" s="1863"/>
      <c r="O20" s="1863"/>
      <c r="P20" s="1863"/>
      <c r="Q20" s="1863"/>
      <c r="R20" s="1863"/>
      <c r="S20" s="1863"/>
      <c r="T20" s="1863"/>
      <c r="U20" s="1863"/>
      <c r="V20" s="1863"/>
    </row>
    <row r="21" spans="1:26" ht="15" customHeight="1">
      <c r="A21" s="272"/>
      <c r="B21" s="278" t="s">
        <v>327</v>
      </c>
      <c r="C21" s="279">
        <f ca="1">SUMIF(INDIRECT("'"&amp;C4&amp;"'"&amp;"!A:A"),结果表!B21,INDIRECT("'"&amp;C4&amp;"'"&amp;"!B:B"))</f>
        <v>20630</v>
      </c>
      <c r="D21" s="149">
        <f ca="1">SUMIF(INDIRECT("'"&amp;D4&amp;"'"&amp;"!A:A"),结果表!B21,INDIRECT("'"&amp;D4&amp;"'"&amp;"!B:B"))</f>
        <v>23707</v>
      </c>
      <c r="E21" s="272"/>
      <c r="F21" s="278" t="s">
        <v>327</v>
      </c>
      <c r="G21" s="280">
        <f ca="1">ROUND(C21*$C$18+D21*$D$18,0)</f>
        <v>22169</v>
      </c>
      <c r="H21" s="1167" t="s">
        <v>326</v>
      </c>
      <c r="I21" s="309"/>
      <c r="J21" s="1863"/>
      <c r="K21" s="1863"/>
      <c r="L21" s="1863"/>
      <c r="M21" s="1863"/>
      <c r="N21" s="1863"/>
      <c r="O21" s="1863"/>
      <c r="P21" s="1863"/>
      <c r="Q21" s="1863"/>
      <c r="R21" s="1863"/>
      <c r="S21" s="1863"/>
      <c r="T21" s="1863"/>
      <c r="U21" s="1863"/>
      <c r="V21" s="1863"/>
    </row>
    <row r="22" spans="1:26" ht="15.75" thickBot="1">
      <c r="A22" s="126" t="s">
        <v>328</v>
      </c>
      <c r="B22" s="1168"/>
      <c r="C22" s="1169"/>
      <c r="D22" s="281">
        <f ca="1">IF(C19&lt;D19,D19/C19-1,C19/D19-1)</f>
        <v>0.14914944058561752</v>
      </c>
      <c r="E22" s="282"/>
      <c r="F22" s="283"/>
      <c r="G22" s="284">
        <f ca="1">ROUND(G19/('数据-汇总表'!D3/666.67),0)</f>
        <v>1478</v>
      </c>
      <c r="H22" s="285" t="s">
        <v>329</v>
      </c>
      <c r="I22" s="309"/>
      <c r="J22" s="1863"/>
      <c r="K22" s="1863"/>
      <c r="L22" s="1863"/>
      <c r="M22" s="1863"/>
      <c r="N22" s="1863"/>
      <c r="O22" s="1863"/>
      <c r="P22" s="1863"/>
      <c r="Q22" s="1863"/>
      <c r="R22" s="1863"/>
      <c r="S22" s="1863"/>
      <c r="T22" s="1863"/>
      <c r="U22" s="1863"/>
      <c r="V22" s="1863"/>
    </row>
    <row r="23" spans="1:26" ht="13.5" thickBot="1">
      <c r="A23" s="309"/>
      <c r="B23" s="309"/>
      <c r="C23" s="309"/>
      <c r="D23" s="309"/>
      <c r="E23" s="309"/>
      <c r="F23" s="309"/>
      <c r="G23" s="309"/>
      <c r="H23" s="309"/>
      <c r="I23" s="309"/>
      <c r="J23" s="1863"/>
      <c r="K23" s="1863"/>
      <c r="L23" s="1863"/>
      <c r="M23" s="1863"/>
      <c r="N23" s="1863"/>
      <c r="O23" s="1863"/>
      <c r="P23" s="1863"/>
      <c r="Q23" s="1863"/>
      <c r="R23" s="1863"/>
      <c r="S23" s="1863"/>
      <c r="T23" s="1863"/>
      <c r="U23" s="1863"/>
      <c r="V23" s="1863"/>
    </row>
    <row r="24" spans="1:26" ht="15" thickBot="1">
      <c r="A24" s="3596" t="s">
        <v>330</v>
      </c>
      <c r="B24" s="267" t="s">
        <v>322</v>
      </c>
      <c r="C24" s="286">
        <f>IF(B30=0,0,D30)</f>
        <v>0</v>
      </c>
      <c r="D24" s="287"/>
      <c r="E24" s="309"/>
      <c r="F24" s="309"/>
      <c r="G24" s="309"/>
      <c r="H24" s="309"/>
      <c r="I24" s="309"/>
      <c r="J24" s="1863"/>
      <c r="K24" s="1863"/>
      <c r="L24" s="1863"/>
      <c r="M24" s="1863"/>
      <c r="N24" s="1863"/>
      <c r="O24" s="1863"/>
      <c r="P24" s="1863"/>
      <c r="Q24" s="1863"/>
      <c r="R24" s="1863"/>
      <c r="S24" s="1863"/>
      <c r="T24" s="1863"/>
      <c r="U24" s="1863"/>
      <c r="V24" s="1863"/>
    </row>
    <row r="25" spans="1:26" ht="18">
      <c r="A25" s="3597"/>
      <c r="B25" s="1237" t="s">
        <v>331</v>
      </c>
      <c r="C25" s="288">
        <f>IF(B30=0,0,C30)</f>
        <v>0</v>
      </c>
      <c r="D25" s="289"/>
      <c r="E25" s="309"/>
      <c r="F25" s="309"/>
      <c r="G25" s="309"/>
      <c r="H25" s="309"/>
      <c r="I25" s="309"/>
      <c r="J25" s="1863"/>
      <c r="K25" s="1171" t="str">
        <f ca="1">项目基本情况!B16&amp;"国有建设用地使用权价格："&amp;O38&amp;"万元"</f>
        <v>出让国有建设用地使用权价格：51672万元</v>
      </c>
      <c r="L25" s="1172"/>
      <c r="M25" s="1172"/>
      <c r="N25" s="1172"/>
      <c r="O25" s="1173"/>
      <c r="P25" s="1863"/>
      <c r="Q25" s="1863"/>
      <c r="R25" s="1863"/>
      <c r="S25" s="1863"/>
      <c r="T25" s="1863"/>
      <c r="U25" s="1863"/>
      <c r="V25" s="1863"/>
    </row>
    <row r="26" spans="1:26" s="1170" customFormat="1" ht="18">
      <c r="A26" s="291" t="s">
        <v>332</v>
      </c>
      <c r="B26" s="292" t="s">
        <v>333</v>
      </c>
      <c r="C26" s="292" t="s">
        <v>334</v>
      </c>
      <c r="D26" s="293" t="s">
        <v>335</v>
      </c>
      <c r="E26" s="309"/>
      <c r="F26" s="309"/>
      <c r="G26" s="309"/>
      <c r="H26" s="309"/>
      <c r="I26" s="309"/>
      <c r="J26" s="1863"/>
      <c r="K26" s="1174" t="str">
        <f ca="1">"大写金额：人民币"&amp;NUMBERSTRING(INT(O38*10000),2)&amp;"元整"</f>
        <v>大写金额：人民币伍亿壹仟陆佰柒拾贰万元整</v>
      </c>
      <c r="L26" s="1168"/>
      <c r="M26" s="1168"/>
      <c r="N26" s="1168"/>
      <c r="O26" s="1167"/>
      <c r="P26" s="1863"/>
      <c r="Q26" s="1863"/>
      <c r="R26" s="1863"/>
      <c r="S26" s="1863"/>
      <c r="T26" s="1863"/>
      <c r="U26" s="1863"/>
      <c r="V26" s="1863"/>
      <c r="W26" s="290"/>
      <c r="X26" s="290"/>
      <c r="Y26" s="290"/>
      <c r="Z26" s="290"/>
    </row>
    <row r="27" spans="1:26" ht="18">
      <c r="A27" s="291"/>
      <c r="B27" s="292"/>
      <c r="C27" s="292"/>
      <c r="D27" s="293"/>
      <c r="E27" s="309"/>
      <c r="F27" s="309"/>
      <c r="G27" s="309"/>
      <c r="H27" s="309"/>
      <c r="I27" s="309"/>
      <c r="J27" s="1863"/>
      <c r="K27" s="1174" t="str">
        <f ca="1">"单位面积地价："&amp;M38&amp;"元/平方米"</f>
        <v>单位面积地价：22168元/平方米</v>
      </c>
      <c r="L27" s="1168"/>
      <c r="M27" s="1168"/>
      <c r="N27" s="1168"/>
      <c r="O27" s="1167"/>
      <c r="P27" s="1863"/>
      <c r="Q27" s="1863"/>
      <c r="R27" s="1863"/>
      <c r="S27" s="1863"/>
      <c r="T27" s="1863"/>
      <c r="U27" s="1863"/>
      <c r="V27" s="1863"/>
    </row>
    <row r="28" spans="1:26" ht="18.75" customHeight="1">
      <c r="A28" s="291"/>
      <c r="B28" s="292"/>
      <c r="C28" s="292"/>
      <c r="D28" s="293"/>
      <c r="E28" s="309"/>
      <c r="F28" s="309"/>
      <c r="G28" s="309"/>
      <c r="H28" s="309"/>
      <c r="I28" s="309"/>
      <c r="J28" s="1863"/>
      <c r="K28" s="1174" t="str">
        <f ca="1">"楼面地价："&amp;N38&amp;"元/平方米"</f>
        <v>楼面地价：2797元/平方米</v>
      </c>
      <c r="L28" s="1168"/>
      <c r="M28" s="1168"/>
      <c r="N28" s="1168"/>
      <c r="O28" s="1167"/>
      <c r="P28" s="1863"/>
      <c r="V28" s="1863"/>
    </row>
    <row r="29" spans="1:26" ht="18">
      <c r="A29" s="291"/>
      <c r="B29" s="292"/>
      <c r="C29" s="292"/>
      <c r="D29" s="293"/>
      <c r="E29" s="309"/>
      <c r="F29" s="309"/>
      <c r="G29" s="309"/>
      <c r="H29" s="309"/>
      <c r="I29" s="309"/>
      <c r="J29" s="1863"/>
      <c r="K29" s="1174" t="str">
        <f ca="1">IF(OR(项目基本情况!E8="抵押价格",项目基本情况!E8="已注销及未注销"),"抵押价格："&amp;O39&amp;"万元","——")</f>
        <v>抵押价格：51672万元</v>
      </c>
      <c r="L29" s="1168"/>
      <c r="M29" s="1168"/>
      <c r="N29" s="1168"/>
      <c r="O29" s="1167"/>
      <c r="P29" s="1863"/>
      <c r="V29" s="1863"/>
    </row>
    <row r="30" spans="1:26" ht="18.75" thickBot="1">
      <c r="A30" s="2715" t="s">
        <v>336</v>
      </c>
      <c r="B30" s="307"/>
      <c r="C30" s="307"/>
      <c r="D30" s="308"/>
      <c r="E30" s="2908" t="s">
        <v>2695</v>
      </c>
      <c r="F30" s="309"/>
      <c r="G30" s="309"/>
      <c r="H30" s="309"/>
      <c r="I30" s="309"/>
      <c r="J30" s="1863"/>
      <c r="K30" s="1174" t="str">
        <f ca="1">IF(K29="——","——","大写金额：人民币"&amp;NUMBERSTRING(INT(O39*10000),2)&amp;"元整")</f>
        <v>大写金额：人民币伍亿壹仟陆佰柒拾贰万元整</v>
      </c>
      <c r="L30" s="1168"/>
      <c r="M30" s="1168"/>
      <c r="N30" s="1168"/>
      <c r="O30" s="1167"/>
      <c r="P30" s="1863"/>
      <c r="V30" s="1863"/>
    </row>
    <row r="31" spans="1:26" ht="24" customHeight="1" thickBot="1">
      <c r="A31" s="3624" t="s">
        <v>2696</v>
      </c>
      <c r="B31" s="3624"/>
      <c r="C31" s="3624"/>
      <c r="D31" s="3624"/>
      <c r="E31" s="3624"/>
      <c r="F31" s="3624"/>
      <c r="G31" s="3624"/>
      <c r="H31" s="3624"/>
      <c r="I31" s="3624"/>
      <c r="J31" s="1863"/>
      <c r="K31" s="2274" t="str">
        <f>IF(项目基本情况!E8="抵押价格","——","抵押担保权已注销时的抵押价格："&amp;O40&amp;"万元")</f>
        <v>——</v>
      </c>
      <c r="L31" s="2270"/>
      <c r="M31" s="2270"/>
      <c r="N31" s="2270"/>
      <c r="O31" s="2271"/>
      <c r="P31" s="1863"/>
      <c r="V31" s="1863"/>
    </row>
    <row r="32" spans="1:26" ht="19.5" thickTop="1" thickBot="1">
      <c r="A32" s="272" t="s">
        <v>337</v>
      </c>
      <c r="B32" s="2909" t="s">
        <v>1487</v>
      </c>
      <c r="C32" s="264">
        <f ca="1">G19-C24</f>
        <v>51672</v>
      </c>
      <c r="D32" s="2910" t="s">
        <v>1488</v>
      </c>
      <c r="E32" s="309"/>
      <c r="F32" s="309"/>
      <c r="G32" s="309"/>
      <c r="H32" s="309"/>
      <c r="I32" s="309"/>
      <c r="J32" s="1863"/>
      <c r="K32" s="2269" t="str">
        <f>IF(K31="——","——","大写金额：人民币"&amp;NUMBERSTRING(INT(O40*10000),2)&amp;"元整")</f>
        <v>——</v>
      </c>
      <c r="L32" s="2272"/>
      <c r="M32" s="2272"/>
      <c r="N32" s="2272"/>
      <c r="O32" s="2273"/>
      <c r="P32" s="1863"/>
      <c r="V32" s="1863"/>
    </row>
    <row r="33" spans="1:26" ht="18.75" thickBot="1">
      <c r="A33" s="296" t="s">
        <v>340</v>
      </c>
      <c r="B33" s="1286" t="s">
        <v>1489</v>
      </c>
      <c r="C33" s="262">
        <f ca="1">ROUND(C32*10000/'数据-汇总表'!E3,0)</f>
        <v>2797</v>
      </c>
      <c r="D33" s="1287" t="s">
        <v>1490</v>
      </c>
      <c r="E33" s="3596" t="s">
        <v>338</v>
      </c>
      <c r="F33" s="294" t="s">
        <v>339</v>
      </c>
      <c r="G33" s="295"/>
      <c r="H33" s="949"/>
      <c r="I33" s="1175"/>
      <c r="J33" s="1863"/>
      <c r="K33" s="1174" t="str">
        <f>IF(项目基本情况!E9="——","——","抵押净值："&amp;C46&amp;"万元")</f>
        <v>抵押净值：——万元</v>
      </c>
      <c r="L33" s="1168"/>
      <c r="M33" s="1168"/>
      <c r="N33" s="1168"/>
      <c r="O33" s="1167"/>
      <c r="P33" s="1863"/>
      <c r="V33" s="1863"/>
    </row>
    <row r="34" spans="1:26" s="1170" customFormat="1" ht="18.75" thickBot="1">
      <c r="A34" s="298"/>
      <c r="B34" s="1288" t="s">
        <v>1491</v>
      </c>
      <c r="C34" s="262">
        <f ca="1">ROUND(C32*10000/'数据-汇总表'!D3,0)</f>
        <v>22168</v>
      </c>
      <c r="D34" s="1289" t="s">
        <v>1490</v>
      </c>
      <c r="E34" s="3640"/>
      <c r="F34" s="127" t="s">
        <v>341</v>
      </c>
      <c r="G34" s="297"/>
      <c r="H34" s="105"/>
      <c r="I34" s="309"/>
      <c r="J34" s="1863"/>
      <c r="K34" s="1177" t="e">
        <f>IF(K33="——","——","大写金额：人民币"&amp;NUMBERSTRING(INT(O41*10000),2)&amp;"元整")</f>
        <v>#VALUE!</v>
      </c>
      <c r="L34" s="1178"/>
      <c r="M34" s="1178"/>
      <c r="N34" s="1178"/>
      <c r="O34" s="1179"/>
      <c r="P34" s="1863"/>
      <c r="Q34" s="290"/>
      <c r="R34" s="290"/>
      <c r="S34" s="290"/>
      <c r="T34" s="290"/>
      <c r="U34" s="290"/>
      <c r="V34" s="1863"/>
      <c r="W34" s="290"/>
      <c r="X34" s="290"/>
      <c r="Y34" s="290"/>
      <c r="Z34" s="290"/>
    </row>
    <row r="35" spans="1:26" ht="15.75" thickBot="1">
      <c r="A35" s="282"/>
      <c r="B35" s="1290"/>
      <c r="C35" s="1291">
        <f ca="1">ROUND(C32/('数据-汇总表'!D3/666.67),0)</f>
        <v>1478</v>
      </c>
      <c r="D35" s="1292" t="s">
        <v>1492</v>
      </c>
      <c r="E35" s="3641"/>
      <c r="F35" s="299" t="s">
        <v>342</v>
      </c>
      <c r="G35" s="951"/>
      <c r="H35" s="950" t="s">
        <v>343</v>
      </c>
      <c r="I35" s="309"/>
      <c r="J35" s="1863"/>
      <c r="K35" s="3614" t="s">
        <v>350</v>
      </c>
      <c r="L35" s="3614" t="s">
        <v>351</v>
      </c>
      <c r="M35" s="1180" t="s">
        <v>352</v>
      </c>
      <c r="N35" s="3614" t="s">
        <v>353</v>
      </c>
      <c r="O35" s="3614" t="s">
        <v>354</v>
      </c>
      <c r="P35" s="1863"/>
      <c r="V35" s="1863"/>
    </row>
    <row r="36" spans="1:26" ht="16.5" customHeight="1">
      <c r="A36" s="301" t="s">
        <v>344</v>
      </c>
      <c r="B36" s="302" t="s">
        <v>333</v>
      </c>
      <c r="C36" s="303" t="s">
        <v>345</v>
      </c>
      <c r="D36" s="303" t="s">
        <v>346</v>
      </c>
      <c r="E36" s="304" t="s">
        <v>347</v>
      </c>
      <c r="F36" s="309"/>
      <c r="G36" s="309"/>
      <c r="H36" s="309"/>
      <c r="I36" s="309"/>
      <c r="J36" s="1865"/>
      <c r="K36" s="3615"/>
      <c r="L36" s="3615"/>
      <c r="M36" s="1182" t="s">
        <v>355</v>
      </c>
      <c r="N36" s="3615"/>
      <c r="O36" s="3615"/>
      <c r="P36" s="1863"/>
      <c r="V36" s="1863"/>
    </row>
    <row r="37" spans="1:26" ht="16.5" customHeight="1" thickBot="1">
      <c r="A37" s="1176" t="s">
        <v>348</v>
      </c>
      <c r="B37" s="305"/>
      <c r="C37" s="292"/>
      <c r="D37" s="292"/>
      <c r="E37" s="293"/>
      <c r="F37" s="309"/>
      <c r="G37" s="309"/>
      <c r="H37" s="309"/>
      <c r="I37" s="309"/>
      <c r="J37" s="1865"/>
      <c r="K37" s="3616"/>
      <c r="L37" s="3616"/>
      <c r="M37" s="1183"/>
      <c r="N37" s="3616"/>
      <c r="O37" s="3616"/>
      <c r="P37" s="1863"/>
      <c r="V37" s="1863"/>
    </row>
    <row r="38" spans="1:26" ht="16.5" customHeight="1" thickBot="1">
      <c r="A38" s="1176" t="s">
        <v>349</v>
      </c>
      <c r="B38" s="305"/>
      <c r="C38" s="292"/>
      <c r="D38" s="292"/>
      <c r="E38" s="293"/>
      <c r="F38" s="309"/>
      <c r="G38" s="309"/>
      <c r="H38" s="309"/>
      <c r="I38" s="309"/>
      <c r="J38" s="1865"/>
      <c r="K38" s="1184">
        <f>'数据-汇总表'!D3</f>
        <v>23308.880000000001</v>
      </c>
      <c r="L38" s="1185">
        <f>'数据-汇总表'!E3</f>
        <v>184715.46</v>
      </c>
      <c r="M38" s="1185">
        <f ca="1">C34</f>
        <v>22168</v>
      </c>
      <c r="N38" s="1185">
        <f ca="1">C33</f>
        <v>2797</v>
      </c>
      <c r="O38" s="1186">
        <f ca="1">C32</f>
        <v>51672</v>
      </c>
      <c r="P38" s="1863"/>
      <c r="V38" s="1863"/>
    </row>
    <row r="39" spans="1:26" ht="16.5" customHeight="1" thickBot="1">
      <c r="A39" s="1181"/>
      <c r="B39" s="306"/>
      <c r="C39" s="307"/>
      <c r="D39" s="307"/>
      <c r="E39" s="308"/>
      <c r="F39" s="309"/>
      <c r="G39" s="309"/>
      <c r="H39" s="309"/>
      <c r="I39" s="309"/>
      <c r="J39" s="1865"/>
      <c r="K39" s="3654" t="str">
        <f>MID(A44,3,LEN(A44)-2)</f>
        <v>抵押价格</v>
      </c>
      <c r="L39" s="3655"/>
      <c r="M39" s="3655"/>
      <c r="N39" s="3656"/>
      <c r="O39" s="1294">
        <f ca="1">C44</f>
        <v>51672</v>
      </c>
      <c r="P39" s="1863"/>
      <c r="V39" s="1863"/>
    </row>
    <row r="40" spans="1:26" ht="19.5" thickBot="1">
      <c r="A40" s="104" t="s">
        <v>851</v>
      </c>
      <c r="B40" s="309"/>
      <c r="C40" s="309"/>
      <c r="D40" s="309"/>
      <c r="E40" s="309"/>
      <c r="F40" s="309"/>
      <c r="G40" s="309"/>
      <c r="H40" s="309"/>
      <c r="I40" s="309"/>
      <c r="J40" s="1865"/>
      <c r="K40" s="3654" t="str">
        <f t="shared" ref="K40:K41" si="0">MID(A45,3,LEN(A45)-2)</f>
        <v/>
      </c>
      <c r="L40" s="3655"/>
      <c r="M40" s="3655"/>
      <c r="N40" s="3656"/>
      <c r="O40" s="1294" t="str">
        <f>C45</f>
        <v>——</v>
      </c>
      <c r="P40" s="1863"/>
      <c r="V40" s="1863"/>
    </row>
    <row r="41" spans="1:26" ht="16.5" thickBot="1">
      <c r="A41" s="310" t="s">
        <v>356</v>
      </c>
      <c r="B41" s="311"/>
      <c r="C41" s="312" t="s">
        <v>357</v>
      </c>
      <c r="D41" s="313" t="s">
        <v>358</v>
      </c>
      <c r="E41" s="313" t="s">
        <v>359</v>
      </c>
      <c r="F41" s="314" t="s">
        <v>360</v>
      </c>
      <c r="G41" s="309"/>
      <c r="H41" s="309"/>
      <c r="I41" s="309"/>
      <c r="J41" s="1865"/>
      <c r="K41" s="3654" t="str">
        <f t="shared" si="0"/>
        <v/>
      </c>
      <c r="L41" s="3655"/>
      <c r="M41" s="3655"/>
      <c r="N41" s="3656"/>
      <c r="O41" s="1294" t="str">
        <f>C46</f>
        <v>——</v>
      </c>
      <c r="P41" s="1863"/>
      <c r="V41" s="1863"/>
    </row>
    <row r="42" spans="1:26" ht="29.25">
      <c r="A42" s="3598" t="s">
        <v>1858</v>
      </c>
      <c r="B42" s="3599"/>
      <c r="C42" s="262">
        <f ca="1">C32</f>
        <v>51672</v>
      </c>
      <c r="D42" s="315">
        <f ca="1">C33</f>
        <v>2797</v>
      </c>
      <c r="E42" s="315">
        <f ca="1">C34</f>
        <v>22168</v>
      </c>
      <c r="F42" s="316">
        <f ca="1">C35</f>
        <v>1478</v>
      </c>
      <c r="G42" s="309"/>
      <c r="H42" s="309"/>
      <c r="I42" s="317"/>
      <c r="J42" s="1865"/>
      <c r="K42" s="1187" t="s">
        <v>361</v>
      </c>
      <c r="L42" s="1882" t="s">
        <v>362</v>
      </c>
      <c r="M42" s="1188" t="s">
        <v>363</v>
      </c>
      <c r="N42" s="1883" t="s">
        <v>364</v>
      </c>
      <c r="O42" s="1884" t="s">
        <v>365</v>
      </c>
      <c r="P42" s="1863"/>
      <c r="V42" s="1863"/>
    </row>
    <row r="43" spans="1:26" ht="30">
      <c r="A43" s="3609" t="s">
        <v>2446</v>
      </c>
      <c r="B43" s="3610"/>
      <c r="C43" s="262">
        <f>IF(H33="正常操作",G33+G34+G35,G34+G35)</f>
        <v>0</v>
      </c>
      <c r="D43" s="315" t="s">
        <v>43</v>
      </c>
      <c r="E43" s="315" t="s">
        <v>44</v>
      </c>
      <c r="F43" s="316" t="s">
        <v>44</v>
      </c>
      <c r="G43" s="2503" t="s">
        <v>930</v>
      </c>
      <c r="H43" s="309"/>
      <c r="I43" s="317"/>
      <c r="J43" s="1865"/>
      <c r="K43" s="1189" t="str">
        <f>C4</f>
        <v>比较法-住宅、综合</v>
      </c>
      <c r="L43" s="1190">
        <f ca="1">IF(L42="估价结果/万元",C19,C20)</f>
        <v>48086</v>
      </c>
      <c r="M43" s="1191">
        <f>C18</f>
        <v>0.5</v>
      </c>
      <c r="N43" s="1192">
        <f ca="1">IF(N42="测算结果/万元",G19,G20)</f>
        <v>51672</v>
      </c>
      <c r="O43" s="1193">
        <f ca="1">IF(O42="最终结果/万元",C32,C33)</f>
        <v>51672</v>
      </c>
      <c r="P43" s="1863"/>
      <c r="V43" s="1863"/>
    </row>
    <row r="44" spans="1:26" ht="30.75" thickBot="1">
      <c r="A44" s="3598" t="str">
        <f>IF(OR(项目基本情况!E8="抵押价格",项目基本情况!E8="已注销及未注销"),"3.抵押价格","——")</f>
        <v>3.抵押价格</v>
      </c>
      <c r="B44" s="3599"/>
      <c r="C44" s="262">
        <f ca="1">IF(A44="——","——",C42-C43)</f>
        <v>51672</v>
      </c>
      <c r="D44" s="315">
        <f ca="1">ROUND(C44*10000/'数据-汇总表'!E3,0)</f>
        <v>2797</v>
      </c>
      <c r="E44" s="315">
        <f ca="1">ROUND(C44*10000/'数据-汇总表'!D3,0)</f>
        <v>22168</v>
      </c>
      <c r="F44" s="316">
        <f ca="1">ROUND(C44/('数据-汇总表'!D3/666.67),0)</f>
        <v>1478</v>
      </c>
      <c r="G44" s="309"/>
      <c r="H44" s="309"/>
      <c r="I44" s="317"/>
      <c r="J44" s="1865"/>
      <c r="K44" s="1194" t="str">
        <f>D4</f>
        <v>剩余法-待开发</v>
      </c>
      <c r="L44" s="1195">
        <f ca="1">IF(L42="估价结果/万元",D19,D20)</f>
        <v>55258</v>
      </c>
      <c r="M44" s="1196">
        <f>D18</f>
        <v>0.5</v>
      </c>
      <c r="N44" s="1197"/>
      <c r="O44" s="1198"/>
      <c r="P44" s="1863"/>
      <c r="V44" s="1863"/>
    </row>
    <row r="45" spans="1:26" ht="15">
      <c r="A45" s="3604" t="str">
        <f>IF(项目基本情况!E8="已注销及未注销","4.抵押担保权已注销时的抵押价格",IF(项目基本情况!E8="已注销","3.抵押担保权已注销时的抵押价格","——"))</f>
        <v>——</v>
      </c>
      <c r="B45" s="3605"/>
      <c r="C45" s="167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5"/>
      <c r="K45" s="1863"/>
      <c r="L45" s="1863"/>
      <c r="M45" s="1863"/>
      <c r="N45" s="1863"/>
      <c r="O45" s="1863"/>
      <c r="P45" s="1863"/>
      <c r="V45" s="1863"/>
    </row>
    <row r="46" spans="1:26" ht="15.75" thickBot="1">
      <c r="A46" s="3600" t="str">
        <f>IF(项目基本情况!E9="抵押净值",IF(A45="——","4.抵押净值","5.抵押净值"),"——")</f>
        <v>——</v>
      </c>
      <c r="B46" s="3601"/>
      <c r="C46" s="318" t="str">
        <f>IF(A46="——","——",O79)</f>
        <v>——</v>
      </c>
      <c r="D46" s="315" t="e">
        <f>ROUND(C46*10000/'数据-汇总表'!E3,0)</f>
        <v>#VALUE!</v>
      </c>
      <c r="E46" s="315" t="e">
        <f>ROUND(C46*10000/'数据-汇总表'!D3,0)</f>
        <v>#VALUE!</v>
      </c>
      <c r="F46" s="316" t="e">
        <f>ROUND(C46/('数据-汇总表'!D3/666.67),0)</f>
        <v>#VALUE!</v>
      </c>
      <c r="G46" s="309"/>
      <c r="H46" s="309"/>
      <c r="I46" s="317"/>
      <c r="J46" s="1865"/>
      <c r="K46" s="1863"/>
      <c r="L46" s="1863"/>
      <c r="M46" s="1863"/>
      <c r="N46" s="1863"/>
      <c r="O46" s="1863"/>
      <c r="P46" s="1863"/>
      <c r="Q46" s="1863"/>
      <c r="R46" s="1863"/>
      <c r="S46" s="1863"/>
      <c r="T46" s="1863"/>
      <c r="U46" s="1863"/>
      <c r="V46" s="1863"/>
    </row>
    <row r="47" spans="1:26" ht="15.75">
      <c r="A47" s="319" t="s">
        <v>366</v>
      </c>
      <c r="B47" s="1199"/>
      <c r="C47" s="320" t="s">
        <v>367</v>
      </c>
      <c r="D47" s="321"/>
      <c r="E47" s="321"/>
      <c r="F47" s="321"/>
      <c r="G47" s="322"/>
      <c r="H47" s="323"/>
      <c r="I47" s="324"/>
      <c r="J47" s="1865"/>
      <c r="K47" s="309" t="str">
        <f>IF(C43=0,"本次评估"&amp;IF(G43="设定","设定估价对象","")&amp;"不存在"&amp;MID(A43,3,LEN(A43)-2),"本次评估"&amp;IF(G43="设定","设定","")&amp;MID(A43,3,LEN(A43)-2)&amp;"为人民币"&amp;C43&amp;"万元整。")</f>
        <v>本次评估不存在估价师知悉的法定优先受偿款</v>
      </c>
      <c r="L47" s="1863"/>
      <c r="M47" s="1863"/>
      <c r="N47" s="1863"/>
      <c r="O47" s="1863"/>
      <c r="P47" s="1863"/>
      <c r="Q47" s="1863"/>
      <c r="R47" s="1863"/>
      <c r="S47" s="1863"/>
      <c r="T47" s="1863"/>
      <c r="U47" s="1863"/>
      <c r="V47" s="1863"/>
    </row>
    <row r="48" spans="1:26" ht="12.75">
      <c r="A48" s="325">
        <v>1</v>
      </c>
      <c r="B48" s="326"/>
      <c r="C48" s="326"/>
      <c r="D48" s="321"/>
      <c r="E48" s="321"/>
      <c r="F48" s="321"/>
      <c r="G48" s="321"/>
      <c r="H48" s="327"/>
      <c r="I48" s="328"/>
      <c r="J48" s="1865"/>
      <c r="K48" s="1863"/>
      <c r="L48" s="1863"/>
      <c r="M48" s="1863"/>
      <c r="N48" s="1863"/>
      <c r="O48" s="1863"/>
      <c r="P48" s="1863"/>
      <c r="Q48" s="1863"/>
      <c r="R48" s="1863"/>
      <c r="S48" s="1863"/>
      <c r="T48" s="1863"/>
      <c r="U48" s="1863"/>
      <c r="V48" s="1863"/>
    </row>
    <row r="49" spans="1:22" ht="12.75">
      <c r="A49" s="325">
        <v>2</v>
      </c>
      <c r="B49" s="326"/>
      <c r="C49" s="326"/>
      <c r="D49" s="321"/>
      <c r="E49" s="321"/>
      <c r="F49" s="321"/>
      <c r="G49" s="321"/>
      <c r="H49" s="327"/>
      <c r="I49" s="328"/>
      <c r="J49" s="1866"/>
      <c r="K49" s="1863"/>
      <c r="L49" s="1863"/>
      <c r="M49" s="1863"/>
      <c r="N49" s="1863"/>
      <c r="O49" s="1863"/>
      <c r="P49" s="1863"/>
      <c r="Q49" s="1863"/>
      <c r="R49" s="1863"/>
      <c r="S49" s="1863"/>
      <c r="T49" s="1863"/>
      <c r="U49" s="1863"/>
      <c r="V49" s="1863"/>
    </row>
    <row r="50" spans="1:22" ht="12.75">
      <c r="A50" s="325">
        <v>3</v>
      </c>
      <c r="B50" s="326"/>
      <c r="C50" s="326"/>
      <c r="D50" s="321"/>
      <c r="E50" s="321"/>
      <c r="F50" s="321"/>
      <c r="G50" s="321"/>
      <c r="H50" s="327"/>
      <c r="I50" s="328"/>
      <c r="J50" s="1866"/>
      <c r="K50" s="1863"/>
      <c r="L50" s="1863"/>
      <c r="M50" s="1863"/>
      <c r="N50" s="1863"/>
      <c r="O50" s="1863"/>
      <c r="P50" s="1863"/>
      <c r="Q50" s="1863"/>
      <c r="R50" s="1863"/>
      <c r="S50" s="1863"/>
      <c r="T50" s="1863"/>
      <c r="U50" s="1863"/>
      <c r="V50" s="1863"/>
    </row>
    <row r="51" spans="1:22" ht="12.75">
      <c r="A51" s="329"/>
      <c r="B51" s="330"/>
      <c r="C51" s="330"/>
      <c r="D51" s="331"/>
      <c r="E51" s="331"/>
      <c r="F51" s="331"/>
      <c r="G51" s="331"/>
      <c r="H51" s="332"/>
      <c r="I51" s="333"/>
      <c r="J51" s="1866"/>
      <c r="K51" s="1863"/>
      <c r="L51" s="1863"/>
      <c r="M51" s="1863"/>
      <c r="N51" s="1863"/>
      <c r="O51" s="1863"/>
      <c r="P51" s="1863"/>
      <c r="Q51" s="1863"/>
      <c r="R51" s="1863"/>
      <c r="S51" s="1863"/>
      <c r="T51" s="1863"/>
      <c r="U51" s="1863"/>
      <c r="V51" s="1863"/>
    </row>
    <row r="52" spans="1:22" ht="12.75">
      <c r="A52" s="326"/>
      <c r="B52" s="326"/>
      <c r="C52" s="326"/>
      <c r="D52" s="321"/>
      <c r="E52" s="321"/>
      <c r="F52" s="321"/>
      <c r="G52" s="321"/>
      <c r="H52" s="327"/>
      <c r="I52" s="255"/>
      <c r="J52" s="1866"/>
      <c r="K52" s="1863"/>
      <c r="L52" s="1863"/>
      <c r="M52" s="1863"/>
      <c r="N52" s="1863"/>
      <c r="O52" s="1863"/>
      <c r="P52" s="1863"/>
      <c r="Q52" s="1863"/>
      <c r="R52" s="1863"/>
      <c r="S52" s="1863"/>
      <c r="T52" s="1863"/>
      <c r="U52" s="1863"/>
      <c r="V52" s="1863"/>
    </row>
    <row r="53" spans="1:22" ht="12.75">
      <c r="A53" s="255"/>
      <c r="B53" s="255"/>
      <c r="C53" s="255"/>
      <c r="D53" s="255"/>
      <c r="E53" s="255"/>
      <c r="F53" s="334" t="s">
        <v>368</v>
      </c>
      <c r="G53" s="335"/>
      <c r="H53" s="335"/>
      <c r="I53" s="336" t="s">
        <v>369</v>
      </c>
      <c r="J53" s="1866"/>
      <c r="K53" s="1863"/>
      <c r="L53" s="1863"/>
      <c r="M53" s="1863"/>
      <c r="N53" s="1863"/>
      <c r="O53" s="1863"/>
      <c r="P53" s="1863"/>
      <c r="Q53" s="1863"/>
      <c r="R53" s="1863"/>
      <c r="S53" s="1863"/>
      <c r="T53" s="1863"/>
      <c r="U53" s="1863"/>
      <c r="V53" s="1863"/>
    </row>
    <row r="54" spans="1:22" ht="12.75">
      <c r="A54" s="255"/>
      <c r="B54" s="337" t="s">
        <v>370</v>
      </c>
      <c r="C54" s="255"/>
      <c r="D54" s="255"/>
      <c r="E54" s="255"/>
      <c r="F54" s="255"/>
      <c r="G54" s="255"/>
      <c r="H54" s="255"/>
      <c r="I54" s="255"/>
      <c r="J54" s="1866"/>
      <c r="K54" s="1863"/>
      <c r="L54" s="1863"/>
      <c r="M54" s="1863"/>
      <c r="N54" s="1863"/>
      <c r="O54" s="1863"/>
      <c r="P54" s="1863"/>
      <c r="Q54" s="1863"/>
      <c r="R54" s="1863"/>
      <c r="S54" s="1863"/>
      <c r="T54" s="1863"/>
      <c r="U54" s="1863"/>
      <c r="V54" s="1863"/>
    </row>
    <row r="55" spans="1:22" ht="12.75">
      <c r="A55" s="255"/>
      <c r="B55" s="255"/>
      <c r="C55" s="255"/>
      <c r="D55" s="255"/>
      <c r="E55" s="255"/>
      <c r="F55" s="255"/>
      <c r="G55" s="255"/>
      <c r="H55" s="255"/>
      <c r="I55" s="255"/>
      <c r="J55" s="1866"/>
      <c r="K55" s="1863"/>
      <c r="L55" s="1863"/>
      <c r="M55" s="1863"/>
      <c r="N55" s="1863"/>
      <c r="O55" s="1863"/>
      <c r="P55" s="1863"/>
      <c r="Q55" s="1863"/>
      <c r="R55" s="1863"/>
      <c r="S55" s="1863"/>
      <c r="T55" s="1863"/>
      <c r="U55" s="1863"/>
      <c r="V55" s="1863"/>
    </row>
    <row r="56" spans="1:22" ht="12.75">
      <c r="A56" s="255"/>
      <c r="B56" s="335"/>
      <c r="C56" s="335"/>
      <c r="D56" s="335"/>
      <c r="E56" s="335"/>
      <c r="F56" s="335"/>
      <c r="G56" s="335"/>
      <c r="H56" s="335"/>
      <c r="I56" s="336" t="s">
        <v>371</v>
      </c>
      <c r="J56" s="1866"/>
      <c r="K56" s="1863"/>
      <c r="L56" s="1863"/>
      <c r="M56" s="1863"/>
      <c r="N56" s="1863"/>
      <c r="O56" s="1863"/>
      <c r="P56" s="1863"/>
      <c r="Q56" s="1863"/>
      <c r="R56" s="1863"/>
      <c r="S56" s="1863"/>
      <c r="T56" s="1863"/>
      <c r="U56" s="1863"/>
      <c r="V56" s="1863"/>
    </row>
    <row r="57" spans="1:22" ht="12.75">
      <c r="A57" s="255"/>
      <c r="B57" s="337" t="s">
        <v>372</v>
      </c>
      <c r="C57" s="255"/>
      <c r="D57" s="255"/>
      <c r="E57" s="255"/>
      <c r="F57" s="255"/>
      <c r="G57" s="255"/>
      <c r="H57" s="255"/>
      <c r="I57" s="255"/>
      <c r="J57" s="1866"/>
      <c r="K57" s="1863"/>
      <c r="L57" s="1863"/>
      <c r="M57" s="1863"/>
      <c r="N57" s="1863"/>
      <c r="O57" s="1863"/>
      <c r="P57" s="1863"/>
      <c r="Q57" s="1863"/>
      <c r="R57" s="1863"/>
      <c r="S57" s="1863"/>
      <c r="T57" s="1863"/>
      <c r="U57" s="1863"/>
      <c r="V57" s="1863"/>
    </row>
    <row r="58" spans="1:22" ht="12.75">
      <c r="A58" s="255"/>
      <c r="B58" s="337"/>
      <c r="C58" s="255"/>
      <c r="D58" s="255"/>
      <c r="E58" s="255"/>
      <c r="F58" s="255"/>
      <c r="G58" s="255"/>
      <c r="H58" s="255"/>
      <c r="I58" s="255"/>
      <c r="J58" s="1866"/>
      <c r="K58" s="1863"/>
      <c r="L58" s="1863"/>
      <c r="M58" s="1863"/>
      <c r="N58" s="1863"/>
      <c r="O58" s="1863"/>
      <c r="P58" s="1863"/>
      <c r="Q58" s="1863"/>
      <c r="R58" s="1863"/>
      <c r="S58" s="1863"/>
      <c r="T58" s="1863"/>
      <c r="U58" s="1863"/>
      <c r="V58" s="1863"/>
    </row>
    <row r="59" spans="1:22" ht="12.75">
      <c r="A59" s="255"/>
      <c r="B59" s="335"/>
      <c r="C59" s="335"/>
      <c r="D59" s="335"/>
      <c r="E59" s="335"/>
      <c r="F59" s="335"/>
      <c r="G59" s="335"/>
      <c r="H59" s="335"/>
      <c r="I59" s="336" t="s">
        <v>371</v>
      </c>
      <c r="J59" s="1866"/>
      <c r="K59" s="1863"/>
      <c r="L59" s="1863"/>
      <c r="M59" s="1863"/>
      <c r="N59" s="1863"/>
      <c r="O59" s="1863"/>
      <c r="P59" s="1863"/>
      <c r="Q59" s="1863"/>
      <c r="R59" s="1863"/>
      <c r="S59" s="1863"/>
      <c r="T59" s="1863"/>
      <c r="U59" s="1863"/>
      <c r="V59" s="1863"/>
    </row>
    <row r="60" spans="1:22" ht="12.75">
      <c r="A60" s="255"/>
      <c r="B60" s="255"/>
      <c r="C60" s="255"/>
      <c r="D60" s="255"/>
      <c r="E60" s="255"/>
      <c r="F60" s="255"/>
      <c r="G60" s="255"/>
      <c r="H60" s="255"/>
      <c r="I60" s="255"/>
      <c r="J60" s="1866"/>
      <c r="K60" s="1863"/>
      <c r="L60" s="1863"/>
      <c r="M60" s="1863"/>
      <c r="N60" s="1863"/>
      <c r="O60" s="1863"/>
      <c r="P60" s="1863"/>
      <c r="Q60" s="1863"/>
      <c r="R60" s="1863"/>
      <c r="S60" s="1863"/>
      <c r="T60" s="1863"/>
      <c r="U60" s="1863"/>
      <c r="V60" s="1863"/>
    </row>
    <row r="61" spans="1:22" ht="12.75">
      <c r="A61" s="255"/>
      <c r="B61" s="337"/>
      <c r="C61" s="338"/>
      <c r="D61" s="214"/>
      <c r="E61" s="214"/>
      <c r="F61" s="251"/>
      <c r="G61" s="255"/>
      <c r="H61" s="255"/>
      <c r="I61" s="255"/>
      <c r="J61" s="1866"/>
      <c r="K61" s="1863"/>
      <c r="L61" s="1863"/>
      <c r="M61" s="1863"/>
      <c r="N61" s="1863"/>
      <c r="O61" s="1863"/>
      <c r="P61" s="1863"/>
      <c r="Q61" s="1863"/>
      <c r="R61" s="1863"/>
      <c r="S61" s="1863"/>
      <c r="T61" s="1863"/>
      <c r="U61" s="1863"/>
      <c r="V61" s="1863"/>
    </row>
    <row r="62" spans="1:22" ht="18.75">
      <c r="A62" s="1200" t="s">
        <v>373</v>
      </c>
      <c r="B62" s="1201"/>
      <c r="C62" s="1201"/>
      <c r="D62" s="1202"/>
      <c r="E62" s="1202"/>
      <c r="F62" s="1203"/>
      <c r="G62" s="1203"/>
      <c r="H62" s="1203"/>
      <c r="I62" s="1203"/>
      <c r="J62" s="1867"/>
      <c r="K62" s="1863"/>
      <c r="L62" s="1863"/>
      <c r="M62" s="1863"/>
      <c r="N62" s="1863"/>
      <c r="O62" s="1863"/>
      <c r="P62" s="1863"/>
      <c r="Q62" s="1863"/>
      <c r="R62" s="1863"/>
      <c r="S62" s="1863"/>
      <c r="T62" s="1863"/>
      <c r="U62" s="1863"/>
      <c r="V62" s="1863"/>
    </row>
    <row r="63" spans="1:22" ht="14.25" customHeight="1" thickBot="1">
      <c r="A63" s="3648" t="s">
        <v>374</v>
      </c>
      <c r="B63" s="3649"/>
      <c r="C63" s="3650"/>
      <c r="D63" s="339">
        <f ca="1">ROUND(C42*F63,0)</f>
        <v>51672</v>
      </c>
      <c r="E63" s="300" t="s">
        <v>375</v>
      </c>
      <c r="F63" s="340">
        <v>1</v>
      </c>
      <c r="G63" s="341" t="s">
        <v>376</v>
      </c>
      <c r="H63" s="309"/>
      <c r="I63" s="309"/>
      <c r="J63" s="1863"/>
      <c r="K63" s="1863"/>
      <c r="L63" s="1863"/>
      <c r="M63" s="1863"/>
      <c r="N63" s="1863"/>
      <c r="O63" s="1863"/>
      <c r="P63" s="1863"/>
      <c r="Q63" s="1863"/>
      <c r="R63" s="1863"/>
      <c r="S63" s="1863"/>
      <c r="T63" s="1863"/>
      <c r="U63" s="1863"/>
      <c r="V63" s="1863"/>
    </row>
    <row r="64" spans="1:22" ht="14.25" customHeight="1">
      <c r="A64" s="3606" t="s">
        <v>378</v>
      </c>
      <c r="B64" s="3607"/>
      <c r="C64" s="3607"/>
      <c r="D64" s="3607"/>
      <c r="E64" s="3607"/>
      <c r="F64" s="3607"/>
      <c r="G64" s="3608"/>
      <c r="H64" s="1204"/>
      <c r="I64" s="918"/>
      <c r="J64" s="1854"/>
      <c r="K64" s="1452" t="s">
        <v>377</v>
      </c>
      <c r="L64" s="11"/>
      <c r="M64" s="11"/>
      <c r="N64" s="11"/>
      <c r="O64" s="11"/>
      <c r="P64" s="309"/>
      <c r="Q64" s="1863"/>
      <c r="R64" s="1863"/>
      <c r="S64" s="1863"/>
      <c r="T64" s="1863"/>
      <c r="U64" s="1863"/>
      <c r="V64" s="1863"/>
    </row>
    <row r="65" spans="1:22" ht="12" customHeight="1">
      <c r="A65" s="342" t="s">
        <v>380</v>
      </c>
      <c r="B65" s="343"/>
      <c r="C65" s="344"/>
      <c r="D65" s="345" t="s">
        <v>381</v>
      </c>
      <c r="E65" s="53" t="s">
        <v>382</v>
      </c>
      <c r="F65" s="346" t="s">
        <v>383</v>
      </c>
      <c r="G65" s="347" t="s">
        <v>384</v>
      </c>
      <c r="H65" s="1204"/>
      <c r="I65" s="918"/>
      <c r="J65" s="1854"/>
      <c r="K65" s="1205"/>
      <c r="L65" s="1206"/>
      <c r="M65" s="1206"/>
      <c r="N65" s="1238" t="s">
        <v>379</v>
      </c>
      <c r="O65" s="1239"/>
      <c r="P65" s="1240"/>
      <c r="Q65" s="1863"/>
      <c r="R65" s="1863"/>
      <c r="S65" s="1863"/>
      <c r="T65" s="1863"/>
      <c r="U65" s="1863"/>
      <c r="V65" s="1863"/>
    </row>
    <row r="66" spans="1:22" ht="25.5">
      <c r="A66" s="3602" t="s">
        <v>386</v>
      </c>
      <c r="B66" s="3603"/>
      <c r="C66" s="3603"/>
      <c r="D66" s="259" t="b">
        <f>IF(H66="情况1",0,IF(H66="情况2",D70,IF(H66="情况3",D71,IF(H66="情况4",D72))))</f>
        <v>0</v>
      </c>
      <c r="E66" s="962" t="str">
        <f>IF(H66="情况4","(销售额-原购置价)×税（费）率","销售额×税（费）率")</f>
        <v>销售额×税（费）率</v>
      </c>
      <c r="F66" s="348">
        <f>IF(H66="情况1","免征",'数据-取费表'!B41)</f>
        <v>5.6000000000000001E-2</v>
      </c>
      <c r="G66" s="349" t="s">
        <v>387</v>
      </c>
      <c r="H66" s="189"/>
      <c r="I66" s="1204"/>
      <c r="J66" s="1869"/>
      <c r="K66" s="1207">
        <v>1</v>
      </c>
      <c r="L66" s="3663" t="s">
        <v>385</v>
      </c>
      <c r="M66" s="3664"/>
      <c r="N66" s="2264"/>
      <c r="O66" s="2265"/>
      <c r="P66" s="2266"/>
      <c r="Q66" s="1863"/>
      <c r="R66" s="1863"/>
      <c r="S66" s="1863"/>
      <c r="T66" s="1863"/>
      <c r="U66" s="1863"/>
      <c r="V66" s="1863"/>
    </row>
    <row r="67" spans="1:22" ht="25.5" customHeight="1">
      <c r="A67" s="350" t="s">
        <v>389</v>
      </c>
      <c r="B67" s="3593" t="s">
        <v>390</v>
      </c>
      <c r="C67" s="3593"/>
      <c r="D67" s="351">
        <v>0</v>
      </c>
      <c r="E67" s="41" t="s">
        <v>391</v>
      </c>
      <c r="F67" s="62" t="s">
        <v>21</v>
      </c>
      <c r="G67" s="3651"/>
      <c r="H67" s="2911" t="s">
        <v>2697</v>
      </c>
      <c r="I67" s="2913"/>
      <c r="J67" s="1870"/>
      <c r="K67" s="1842">
        <v>2</v>
      </c>
      <c r="L67" s="3657" t="s">
        <v>388</v>
      </c>
      <c r="M67" s="3657"/>
      <c r="N67" s="1241">
        <f>'数据-取费表'!B2</f>
        <v>44895</v>
      </c>
      <c r="O67" s="1241"/>
      <c r="P67" s="1241"/>
      <c r="Q67" s="1863"/>
      <c r="R67" s="1863"/>
      <c r="S67" s="1863"/>
      <c r="T67" s="1863"/>
      <c r="U67" s="1863"/>
      <c r="V67" s="1863"/>
    </row>
    <row r="68" spans="1:22" ht="25.5" customHeight="1">
      <c r="A68" s="352"/>
      <c r="B68" s="3593" t="s">
        <v>393</v>
      </c>
      <c r="C68" s="3593"/>
      <c r="D68" s="353"/>
      <c r="E68" s="77"/>
      <c r="F68" s="354"/>
      <c r="G68" s="3652"/>
      <c r="H68" s="2912" t="s">
        <v>2698</v>
      </c>
      <c r="I68" s="2913"/>
      <c r="J68" s="1870"/>
      <c r="K68" s="1842">
        <v>3</v>
      </c>
      <c r="L68" s="3657" t="s">
        <v>392</v>
      </c>
      <c r="M68" s="3657"/>
      <c r="N68" s="1209">
        <f ca="1">C42</f>
        <v>51672</v>
      </c>
      <c r="O68" s="1209"/>
      <c r="P68" s="1209"/>
      <c r="Q68" s="1863"/>
      <c r="R68" s="1863"/>
      <c r="S68" s="1863"/>
      <c r="T68" s="1863"/>
      <c r="U68" s="1863"/>
      <c r="V68" s="1863"/>
    </row>
    <row r="69" spans="1:22" ht="23.45" customHeight="1">
      <c r="A69" s="355"/>
      <c r="B69" s="3593" t="s">
        <v>394</v>
      </c>
      <c r="C69" s="3593"/>
      <c r="D69" s="356"/>
      <c r="E69" s="73"/>
      <c r="F69" s="354"/>
      <c r="G69" s="3653"/>
      <c r="H69" s="2912" t="s">
        <v>2699</v>
      </c>
      <c r="I69" s="2913"/>
      <c r="J69" s="1870"/>
      <c r="K69" s="1210">
        <v>4</v>
      </c>
      <c r="L69" s="3667" t="s">
        <v>2595</v>
      </c>
      <c r="M69" s="3668"/>
      <c r="N69" s="1211">
        <f ca="1">C44</f>
        <v>51672</v>
      </c>
      <c r="O69" s="1211"/>
      <c r="P69" s="1211"/>
      <c r="Q69" s="1863"/>
      <c r="R69" s="1863"/>
      <c r="S69" s="1863"/>
      <c r="T69" s="1863"/>
      <c r="U69" s="1863"/>
      <c r="V69" s="1863"/>
    </row>
    <row r="70" spans="1:22" ht="24" customHeight="1">
      <c r="A70" s="357" t="s">
        <v>395</v>
      </c>
      <c r="B70" s="3593" t="s">
        <v>396</v>
      </c>
      <c r="C70" s="3593"/>
      <c r="D70" s="356">
        <f ca="1">ROUND(D63*'数据-取费表'!B41/(1+'数据-取费表'!C42),0)</f>
        <v>2756</v>
      </c>
      <c r="E70" s="17" t="s">
        <v>397</v>
      </c>
      <c r="F70" s="358">
        <f>'数据-取费表'!B41</f>
        <v>5.6000000000000001E-2</v>
      </c>
      <c r="G70" s="359"/>
      <c r="H70" s="309"/>
      <c r="I70" s="1208"/>
      <c r="J70" s="1870"/>
      <c r="K70" s="2680"/>
      <c r="L70" s="2681"/>
      <c r="M70" s="2681"/>
      <c r="N70" s="2682" t="s">
        <v>2599</v>
      </c>
      <c r="O70" s="2681"/>
      <c r="P70" s="2683"/>
      <c r="Q70" s="1863"/>
      <c r="R70" s="1863"/>
      <c r="S70" s="1863"/>
      <c r="T70" s="1863"/>
      <c r="U70" s="1863"/>
      <c r="V70" s="1863"/>
    </row>
    <row r="71" spans="1:22" ht="12" customHeight="1">
      <c r="A71" s="357" t="s">
        <v>403</v>
      </c>
      <c r="B71" s="3594" t="s">
        <v>2727</v>
      </c>
      <c r="C71" s="3595"/>
      <c r="D71" s="356">
        <f ca="1">ROUND(D63*'数据-取费表'!B41/(1+'数据-取费表'!C42),0)</f>
        <v>2756</v>
      </c>
      <c r="E71" s="17" t="s">
        <v>397</v>
      </c>
      <c r="F71" s="358">
        <f>'数据-取费表'!B41</f>
        <v>5.6000000000000001E-2</v>
      </c>
      <c r="G71" s="359"/>
      <c r="H71" s="309"/>
      <c r="I71" s="1208"/>
      <c r="J71" s="1870"/>
      <c r="K71" s="2679" t="s">
        <v>398</v>
      </c>
      <c r="L71" s="3669" t="s">
        <v>399</v>
      </c>
      <c r="M71" s="3669"/>
      <c r="N71" s="2679" t="s">
        <v>400</v>
      </c>
      <c r="O71" s="2679" t="s">
        <v>401</v>
      </c>
      <c r="P71" s="2679" t="s">
        <v>402</v>
      </c>
      <c r="Q71" s="1863"/>
      <c r="R71" s="1863"/>
      <c r="S71" s="1863"/>
      <c r="T71" s="1863"/>
      <c r="U71" s="1863"/>
      <c r="V71" s="1863"/>
    </row>
    <row r="72" spans="1:22" ht="12" customHeight="1">
      <c r="A72" s="357" t="s">
        <v>405</v>
      </c>
      <c r="B72" s="3594" t="s">
        <v>2728</v>
      </c>
      <c r="C72" s="3595"/>
      <c r="D72" s="356">
        <f ca="1">C86</f>
        <v>2756</v>
      </c>
      <c r="E72" s="73" t="s">
        <v>406</v>
      </c>
      <c r="F72" s="358">
        <f>'数据-取费表'!B41</f>
        <v>5.6000000000000001E-2</v>
      </c>
      <c r="G72" s="359"/>
      <c r="H72" s="1214"/>
      <c r="I72" s="1208"/>
      <c r="J72" s="1870"/>
      <c r="K72" s="1842">
        <v>1</v>
      </c>
      <c r="L72" s="3644" t="s">
        <v>404</v>
      </c>
      <c r="M72" s="3644"/>
      <c r="N72" s="1212" t="b">
        <f>D66</f>
        <v>0</v>
      </c>
      <c r="O72" s="1726" t="str">
        <f>E66</f>
        <v>销售额×税（费）率</v>
      </c>
      <c r="P72" s="1213">
        <f>F66</f>
        <v>5.6000000000000001E-2</v>
      </c>
      <c r="Q72" s="1863"/>
      <c r="R72" s="1863"/>
      <c r="S72" s="1863"/>
      <c r="T72" s="1863"/>
      <c r="U72" s="1863"/>
      <c r="V72" s="1863"/>
    </row>
    <row r="73" spans="1:22" ht="24" customHeight="1">
      <c r="A73" s="3639" t="s">
        <v>408</v>
      </c>
      <c r="B73" s="3603"/>
      <c r="C73" s="3603"/>
      <c r="D73" s="360">
        <f ca="1">IF(H73="个人住宅",0,ROUND(D63*I73,0))</f>
        <v>26</v>
      </c>
      <c r="E73" s="17" t="s">
        <v>409</v>
      </c>
      <c r="F73" s="358" t="str">
        <f>IF(H73="正常",I73,"免征")</f>
        <v>免征</v>
      </c>
      <c r="G73" s="359"/>
      <c r="H73" s="189"/>
      <c r="I73" s="358">
        <f>'数据-取费表'!B49</f>
        <v>5.0000000000000001E-4</v>
      </c>
      <c r="J73" s="1870"/>
      <c r="K73" s="1842">
        <v>2</v>
      </c>
      <c r="L73" s="3644" t="s">
        <v>407</v>
      </c>
      <c r="M73" s="3644"/>
      <c r="N73" s="1212">
        <f t="shared" ref="N73:P74" ca="1" si="1">D73</f>
        <v>26</v>
      </c>
      <c r="O73" s="1726" t="str">
        <f t="shared" si="1"/>
        <v>销售额×税（费）率</v>
      </c>
      <c r="P73" s="1213" t="str">
        <f t="shared" si="1"/>
        <v>免征</v>
      </c>
      <c r="Q73" s="1863"/>
      <c r="R73" s="1863"/>
      <c r="S73" s="1863"/>
      <c r="T73" s="1863"/>
      <c r="U73" s="1863"/>
      <c r="V73" s="1863"/>
    </row>
    <row r="74" spans="1:22" ht="24.75">
      <c r="A74" s="3639" t="s">
        <v>411</v>
      </c>
      <c r="B74" s="3603"/>
      <c r="C74" s="3603"/>
      <c r="D74" s="360">
        <f ca="1">IF(H74="个人住宅",D75,D76)</f>
        <v>29246</v>
      </c>
      <c r="E74" s="17" t="s">
        <v>412</v>
      </c>
      <c r="F74" s="358" t="str">
        <f>IF(H74="正常",F76,"免征")</f>
        <v>免征</v>
      </c>
      <c r="G74" s="952" t="s">
        <v>413</v>
      </c>
      <c r="H74" s="361"/>
      <c r="I74" s="42"/>
      <c r="J74" s="1870"/>
      <c r="K74" s="1842">
        <v>3</v>
      </c>
      <c r="L74" s="3644" t="s">
        <v>410</v>
      </c>
      <c r="M74" s="3644"/>
      <c r="N74" s="1212">
        <f t="shared" ca="1" si="1"/>
        <v>29246</v>
      </c>
      <c r="O74" s="1726" t="str">
        <f t="shared" si="1"/>
        <v>增值额×税（费）率</v>
      </c>
      <c r="P74" s="1215" t="str">
        <f t="shared" si="1"/>
        <v>免征</v>
      </c>
      <c r="Q74" s="1863"/>
      <c r="R74" s="1863"/>
      <c r="S74" s="1863"/>
      <c r="T74" s="1863"/>
      <c r="U74" s="1863"/>
      <c r="V74" s="1863"/>
    </row>
    <row r="75" spans="1:22" ht="12.75">
      <c r="A75" s="357" t="s">
        <v>414</v>
      </c>
      <c r="B75" s="3591" t="s">
        <v>415</v>
      </c>
      <c r="C75" s="3627"/>
      <c r="D75" s="362">
        <v>0</v>
      </c>
      <c r="E75" s="41" t="s">
        <v>416</v>
      </c>
      <c r="F75" s="363"/>
      <c r="G75" s="359"/>
      <c r="H75" s="42"/>
      <c r="I75" s="42"/>
      <c r="J75" s="1870"/>
      <c r="K75" s="2673">
        <f>IF(H77="非个人房产","",4)</f>
        <v>4</v>
      </c>
      <c r="L75" s="3644" t="str">
        <f>IF(H77="非个人房产","——","个人所得税")</f>
        <v>个人所得税</v>
      </c>
      <c r="M75" s="3644"/>
      <c r="N75" s="1216">
        <f>D77</f>
        <v>0</v>
      </c>
      <c r="O75" s="1739" t="str">
        <f>E77</f>
        <v>差额计税</v>
      </c>
      <c r="P75" s="1217">
        <f>F77</f>
        <v>0.01</v>
      </c>
      <c r="Q75" s="1863"/>
      <c r="R75" s="1863"/>
      <c r="S75" s="1863"/>
      <c r="T75" s="1863"/>
      <c r="U75" s="1863"/>
      <c r="V75" s="1863"/>
    </row>
    <row r="76" spans="1:22" ht="24.75">
      <c r="A76" s="357" t="s">
        <v>395</v>
      </c>
      <c r="B76" s="3591" t="s">
        <v>418</v>
      </c>
      <c r="C76" s="3592"/>
      <c r="D76" s="360">
        <f ca="1">IF(H76="转让取得",C99,C115)</f>
        <v>29246</v>
      </c>
      <c r="E76" s="17" t="s">
        <v>419</v>
      </c>
      <c r="F76" s="53" t="s">
        <v>21</v>
      </c>
      <c r="G76" s="359"/>
      <c r="H76" s="361"/>
      <c r="I76" s="42"/>
      <c r="J76" s="1870"/>
      <c r="K76" s="2673" t="str">
        <f>IF(项目基本情况!K6="上海银行",IF(K75="",4,K75+1),"")</f>
        <v/>
      </c>
      <c r="L76" s="3659" t="str">
        <f>IF(项目基本情况!K6="上海银行","其他处置费用","")</f>
        <v/>
      </c>
      <c r="M76" s="3660"/>
      <c r="N76" s="1212" t="str">
        <f>IF(项目基本情况!K6="上海银行",N89,"")</f>
        <v/>
      </c>
      <c r="O76" s="3661" t="str">
        <f>IF(项目基本情况!K6="上海银行","包含处置中涉及的律师、诉讼、拍卖、评估等费用","")</f>
        <v/>
      </c>
      <c r="P76" s="3662"/>
      <c r="Q76" s="1863"/>
      <c r="R76" s="1863"/>
      <c r="S76" s="1863"/>
      <c r="T76" s="1863"/>
      <c r="U76" s="1863"/>
      <c r="V76" s="1863"/>
    </row>
    <row r="77" spans="1:22" ht="24.75" thickBot="1">
      <c r="A77" s="3646" t="s">
        <v>421</v>
      </c>
      <c r="B77" s="3647"/>
      <c r="C77" s="3647"/>
      <c r="D77" s="2916">
        <f>IF(H77="非个人房产","——",IF(H77="个人住宅（满五唯一有凭证）",0,IF(H77="个人其他（无凭证）",ROUND(D63*F77,0),ROUND(C84*F77,0))))</f>
        <v>0</v>
      </c>
      <c r="E77" s="2917" t="str">
        <f>IF(H77="非个人房产","——",IF(H77="个人其他（无凭证）","销售额×税（费）率",IF(H77="个人住宅（满五唯一有凭证）","免征","差额计税")))</f>
        <v>差额计税</v>
      </c>
      <c r="F77" s="2918">
        <f>IF(OR(H77="非个人房产",H77="个人住宅（满五唯一有凭证）"),"——",IF(H77="个人其他（有凭证）",20%,1%))</f>
        <v>0.01</v>
      </c>
      <c r="G77" s="953" t="s">
        <v>413</v>
      </c>
      <c r="H77" s="2915"/>
      <c r="I77" s="2914" t="s">
        <v>2700</v>
      </c>
      <c r="J77" s="1870"/>
      <c r="K77" s="3645">
        <f>IF(AND(K75="",K76=""),4,IF(项目基本情况!K6="上海银行",K76+1,K75+1))</f>
        <v>5</v>
      </c>
      <c r="L77" s="3644" t="s">
        <v>2596</v>
      </c>
      <c r="M77" s="2678" t="s">
        <v>417</v>
      </c>
      <c r="N77" s="1218"/>
      <c r="O77" s="1219">
        <f ca="1">SUMIF(N72:N76,"&lt;9e307")</f>
        <v>29272</v>
      </c>
      <c r="P77" s="1220"/>
      <c r="Q77" s="2676">
        <f ca="1">O77/N69</f>
        <v>0.56649636166589257</v>
      </c>
      <c r="R77" s="1863"/>
      <c r="S77" s="1863"/>
      <c r="T77" s="1863"/>
      <c r="U77" s="1863"/>
      <c r="V77" s="1863"/>
    </row>
    <row r="78" spans="1:22" ht="12" customHeight="1">
      <c r="A78" s="1221"/>
      <c r="B78" s="309"/>
      <c r="C78" s="309"/>
      <c r="D78" s="309"/>
      <c r="E78" s="42"/>
      <c r="F78" s="42"/>
      <c r="G78" s="42"/>
      <c r="H78" s="972"/>
      <c r="I78" s="309"/>
      <c r="J78" s="1870"/>
      <c r="K78" s="3645"/>
      <c r="L78" s="3644"/>
      <c r="M78" s="2678" t="s">
        <v>420</v>
      </c>
      <c r="N78" s="1218"/>
      <c r="O78" s="1219" t="str">
        <f ca="1">NUMBERSTRING(INT(O77*10000),2)&amp;"元整"</f>
        <v>贰亿玖仟贰佰柒拾贰万元整</v>
      </c>
      <c r="P78" s="1220"/>
      <c r="Q78" s="1863"/>
      <c r="R78" s="1863"/>
      <c r="S78" s="1863"/>
      <c r="T78" s="1863"/>
      <c r="U78" s="1863"/>
      <c r="V78" s="1863"/>
    </row>
    <row r="79" spans="1:22" ht="13.5" thickBot="1">
      <c r="A79" s="3611" t="s">
        <v>422</v>
      </c>
      <c r="B79" s="3611"/>
      <c r="C79" s="3611"/>
      <c r="D79" s="3611"/>
      <c r="E79" s="3611"/>
      <c r="F79" s="42"/>
      <c r="G79" s="42"/>
      <c r="H79" s="972"/>
      <c r="I79" s="309"/>
      <c r="J79" s="1870"/>
      <c r="K79" s="3665">
        <f>K77+1</f>
        <v>6</v>
      </c>
      <c r="L79" s="3644" t="s">
        <v>2597</v>
      </c>
      <c r="M79" s="2678" t="s">
        <v>417</v>
      </c>
      <c r="N79" s="1218"/>
      <c r="O79" s="1219">
        <f ca="1">N69-O77</f>
        <v>22400</v>
      </c>
      <c r="P79" s="1220"/>
      <c r="Q79" s="1863"/>
      <c r="R79" s="1863"/>
      <c r="S79" s="1863"/>
      <c r="T79" s="1863"/>
      <c r="U79" s="1863"/>
      <c r="V79" s="1863"/>
    </row>
    <row r="80" spans="1:22" ht="25.5">
      <c r="A80" s="3612" t="s">
        <v>423</v>
      </c>
      <c r="B80" s="3613"/>
      <c r="C80" s="963"/>
      <c r="D80" s="963" t="s">
        <v>424</v>
      </c>
      <c r="E80" s="364" t="s">
        <v>425</v>
      </c>
      <c r="F80" s="42"/>
      <c r="G80" s="42"/>
      <c r="H80" s="972"/>
      <c r="I80" s="309"/>
      <c r="J80" s="1863"/>
      <c r="K80" s="3666"/>
      <c r="L80" s="3644"/>
      <c r="M80" s="2678" t="s">
        <v>420</v>
      </c>
      <c r="N80" s="1218"/>
      <c r="O80" s="1219" t="str">
        <f ca="1">NUMBERSTRING(INT(O79*10000),2)&amp;"元整"</f>
        <v>贰亿贰仟肆佰万元整</v>
      </c>
      <c r="P80" s="1220"/>
      <c r="Q80" s="1863"/>
      <c r="R80" s="1863"/>
      <c r="S80" s="1863"/>
      <c r="T80" s="1863"/>
      <c r="U80" s="1863"/>
      <c r="V80" s="1863"/>
    </row>
    <row r="81" spans="1:26" ht="13.5" thickBot="1">
      <c r="A81" s="375" t="s">
        <v>1622</v>
      </c>
      <c r="B81" s="365" t="s">
        <v>426</v>
      </c>
      <c r="C81" s="366">
        <f ca="1">ROUND((C82+C83)/(1+'数据-取费表'!C42),0)</f>
        <v>49211</v>
      </c>
      <c r="D81" s="367"/>
      <c r="E81" s="368"/>
      <c r="F81" s="42"/>
      <c r="G81" s="42"/>
      <c r="H81" s="972"/>
      <c r="I81" s="309"/>
      <c r="J81" s="1863"/>
      <c r="K81" s="2673">
        <f>K79+1</f>
        <v>7</v>
      </c>
      <c r="L81" s="3642" t="s">
        <v>2598</v>
      </c>
      <c r="M81" s="3643"/>
      <c r="N81" s="1222"/>
      <c r="O81" s="1223">
        <f ca="1">ROUND(O79*10000/'数据-汇总表'!E3,0)</f>
        <v>1213</v>
      </c>
      <c r="P81" s="1224"/>
      <c r="Q81" s="1863"/>
      <c r="R81" s="1863"/>
      <c r="S81" s="1863"/>
      <c r="T81" s="1863"/>
      <c r="U81" s="1863"/>
      <c r="V81" s="1863"/>
    </row>
    <row r="82" spans="1:26" ht="13.5" thickTop="1">
      <c r="A82" s="369" t="s">
        <v>1623</v>
      </c>
      <c r="B82" s="370" t="s">
        <v>427</v>
      </c>
      <c r="C82" s="371">
        <f ca="1">D63</f>
        <v>51672</v>
      </c>
      <c r="D82" s="372" t="s">
        <v>19</v>
      </c>
      <c r="E82" s="373"/>
      <c r="F82" s="42"/>
      <c r="G82" s="42"/>
      <c r="H82" s="972"/>
      <c r="I82" s="309"/>
      <c r="J82" s="1863"/>
      <c r="K82" s="1863"/>
      <c r="L82" s="1863"/>
      <c r="M82" s="1863"/>
      <c r="N82" s="1863"/>
      <c r="O82" s="1863"/>
      <c r="P82" s="1863"/>
      <c r="Q82" s="1863"/>
      <c r="R82" s="1863"/>
      <c r="S82" s="1863"/>
      <c r="T82" s="1863"/>
      <c r="U82" s="1863"/>
      <c r="V82" s="1863"/>
    </row>
    <row r="83" spans="1:26" ht="12.75">
      <c r="A83" s="369" t="s">
        <v>1624</v>
      </c>
      <c r="B83" s="370" t="s">
        <v>428</v>
      </c>
      <c r="C83" s="374"/>
      <c r="D83" s="372"/>
      <c r="E83" s="373"/>
      <c r="F83" s="42"/>
      <c r="G83" s="42"/>
      <c r="H83" s="972"/>
      <c r="I83" s="309"/>
      <c r="J83" s="1863"/>
      <c r="K83" s="3658" t="s">
        <v>2586</v>
      </c>
      <c r="L83" s="2684" t="s">
        <v>2587</v>
      </c>
      <c r="M83" s="2674">
        <f ca="1">IF(N69&gt;10000,N69*0.5%,IF(AND(N69&gt;1000,N69&lt;=10000),N69*1%,IF(AND(N69&gt;100,N69&lt;=1000),N69*3%,IF(AND(N69&gt;10,N69&lt;=100),N69*5%,N69*8%))))</f>
        <v>258.36</v>
      </c>
      <c r="N83" s="53">
        <f ca="1">ROUND(M83,1)</f>
        <v>258.39999999999998</v>
      </c>
      <c r="O83" s="2677"/>
      <c r="P83" s="1863"/>
      <c r="Q83" s="1863"/>
      <c r="R83" s="1863"/>
      <c r="S83" s="1863"/>
      <c r="T83" s="1863"/>
      <c r="U83" s="1863"/>
      <c r="V83" s="1863"/>
    </row>
    <row r="84" spans="1:26" ht="12.75">
      <c r="A84" s="375" t="s">
        <v>1625</v>
      </c>
      <c r="B84" s="376" t="s">
        <v>429</v>
      </c>
      <c r="C84" s="377"/>
      <c r="D84" s="378" t="s">
        <v>19</v>
      </c>
      <c r="E84" s="2702" t="s">
        <v>2641</v>
      </c>
      <c r="F84" s="42"/>
      <c r="G84" s="42"/>
      <c r="H84" s="972"/>
      <c r="I84" s="309"/>
      <c r="J84" s="1863"/>
      <c r="K84" s="3658"/>
      <c r="L84" s="2684" t="s">
        <v>2588</v>
      </c>
      <c r="M84" s="2674">
        <f ca="1">IF(N69&gt;2000,N69*0.5%,IF(AND(N69&gt;1000,N69&lt;=2000),N69*0.6%,IF(AND(N69&gt;500,N69&lt;=1000),N69*0.7%,IF(AND(N69&gt;200,N69&lt;=500),N69*0.8%,IF(AND(N69&gt;100,N69&lt;=200),N69*0.9%,IF(AND(N69&gt;50,N69&lt;=100),N69*1%,IF(AND(N69&gt;20,N69&lt;=50),N69*1.5%,IF(AND(N69&gt;10,N69&lt;=20),N69*2%,IF(AND(N69&gt;1,N69&lt;=10),N69*2.5%)))))))))</f>
        <v>258.36</v>
      </c>
      <c r="N84" s="53">
        <f t="shared" ref="N84:N85" ca="1" si="2">ROUND(M84,1)</f>
        <v>258.39999999999998</v>
      </c>
      <c r="O84" s="1863" t="s">
        <v>2589</v>
      </c>
      <c r="P84" s="1863"/>
      <c r="Q84" s="1863"/>
      <c r="R84" s="1863"/>
      <c r="S84" s="1863"/>
      <c r="T84" s="1863"/>
      <c r="U84" s="1863"/>
      <c r="V84" s="1863"/>
    </row>
    <row r="85" spans="1:26" ht="12.75">
      <c r="A85" s="375" t="s">
        <v>1626</v>
      </c>
      <c r="B85" s="376" t="s">
        <v>430</v>
      </c>
      <c r="C85" s="379">
        <f ca="1">C81-C84</f>
        <v>49211</v>
      </c>
      <c r="D85" s="372" t="s">
        <v>19</v>
      </c>
      <c r="E85" s="373"/>
      <c r="F85" s="42"/>
      <c r="G85" s="42"/>
      <c r="H85" s="972"/>
      <c r="I85" s="309"/>
      <c r="J85" s="1863"/>
      <c r="K85" s="3658"/>
      <c r="L85" s="2684" t="s">
        <v>2590</v>
      </c>
      <c r="M85" s="2674">
        <f ca="1">IF(N69&gt;1000,N69*0.1%,IF(AND(N69&gt;500,N69&lt;=1000),N69*0.5%,IF(AND(N69&gt;50,N69&lt;=500),N69*1%,IF(AND(N69&gt;1,N69&lt;=50),N69*1.5%))))</f>
        <v>51.672000000000004</v>
      </c>
      <c r="N85" s="53">
        <f t="shared" ca="1" si="2"/>
        <v>51.7</v>
      </c>
      <c r="O85" s="1863" t="s">
        <v>2589</v>
      </c>
      <c r="P85" s="1863"/>
      <c r="Q85" s="1863"/>
      <c r="R85" s="1863"/>
      <c r="S85" s="1863"/>
      <c r="T85" s="1863"/>
      <c r="U85" s="1863"/>
      <c r="V85" s="1863"/>
    </row>
    <row r="86" spans="1:26" ht="13.5" thickBot="1">
      <c r="A86" s="380" t="s">
        <v>1627</v>
      </c>
      <c r="B86" s="381" t="s">
        <v>431</v>
      </c>
      <c r="C86" s="382">
        <f ca="1">IF(C85&lt;=0,0,ROUND(C85*D86,0))</f>
        <v>2756</v>
      </c>
      <c r="D86" s="383">
        <f>'数据-取费表'!B41</f>
        <v>5.6000000000000001E-2</v>
      </c>
      <c r="E86" s="384"/>
      <c r="F86" s="42"/>
      <c r="G86" s="42"/>
      <c r="H86" s="972"/>
      <c r="I86" s="309"/>
      <c r="J86" s="1863"/>
      <c r="K86" s="3658"/>
      <c r="L86" s="2684" t="s">
        <v>2591</v>
      </c>
      <c r="M86" s="2674">
        <f ca="1">N69*0.5%</f>
        <v>258.36</v>
      </c>
      <c r="N86" s="53">
        <f ca="1">IF(M86&gt;0.5,0.5,ROUND(M86,0))</f>
        <v>0.5</v>
      </c>
      <c r="O86" s="1863" t="s">
        <v>2592</v>
      </c>
      <c r="P86" s="1863"/>
      <c r="Q86" s="1863"/>
      <c r="R86" s="1863"/>
      <c r="S86" s="1863"/>
      <c r="T86" s="1863"/>
      <c r="U86" s="1863"/>
      <c r="V86" s="1863"/>
    </row>
    <row r="87" spans="1:26" s="1170" customFormat="1" ht="14.25" customHeight="1">
      <c r="A87" s="1225"/>
      <c r="B87" s="1226"/>
      <c r="C87" s="1227"/>
      <c r="D87" s="1228"/>
      <c r="E87" s="1229"/>
      <c r="F87" s="42"/>
      <c r="G87" s="42"/>
      <c r="H87" s="972"/>
      <c r="I87" s="309"/>
      <c r="J87" s="1863"/>
      <c r="K87" s="3658"/>
      <c r="L87" s="2684" t="s">
        <v>2593</v>
      </c>
      <c r="M87" s="2674">
        <f ca="1">IF(N69&gt;=10000,(8.25+(N69-10000)*0.01%),IF(AND(N69&gt;=8000,N69&lt;10000),(7.85+(N69-8000)*0.02%),IF(AND(N69&gt;=5000,N69&lt;8000),(6.65+(N69-5000)*0.04%),IF(AND(N69&gt;=2000,N69&lt;5000),(4.25+(PN69-2000)*0.08%),IF(AND(N69&gt;=1000,N69&lt;2000),(2.75+(N69-1000)*0.15%),IF(AND(N69&gt;=100,N69&lt;1000),(0.5+(N69-100)*0.25%),IF(AND(N69&gt;0,N69&lt;100),N69*0.5%)))))))</f>
        <v>12.417200000000001</v>
      </c>
      <c r="N87" s="53">
        <f ca="1">ROUND(M87*0.9,1)</f>
        <v>11.2</v>
      </c>
      <c r="O87" s="2677"/>
      <c r="P87" s="1863"/>
      <c r="Q87" s="1863"/>
      <c r="R87" s="1863"/>
      <c r="S87" s="1863"/>
      <c r="T87" s="1863"/>
      <c r="U87" s="1863"/>
      <c r="V87" s="1863"/>
      <c r="W87" s="290"/>
      <c r="X87" s="290"/>
      <c r="Y87" s="290"/>
      <c r="Z87" s="290"/>
    </row>
    <row r="88" spans="1:26" s="1230" customFormat="1" ht="15" thickBot="1">
      <c r="A88" s="3637" t="s">
        <v>432</v>
      </c>
      <c r="B88" s="3638"/>
      <c r="C88" s="3638"/>
      <c r="D88" s="3638"/>
      <c r="E88" s="3638"/>
      <c r="F88" s="3638"/>
      <c r="G88" s="3638"/>
      <c r="H88" s="3638"/>
      <c r="I88" s="1231"/>
      <c r="J88" s="1871"/>
      <c r="K88" s="3658"/>
      <c r="L88" s="2684" t="s">
        <v>2594</v>
      </c>
      <c r="M88" s="2674">
        <f ca="1">IF(N69&gt;10000,N69*0.5%,IF(AND(N69&gt;5000,N69&lt;=10000),N69*1%,IF(AND(N69&gt;1000,N69&lt;=5000),N69*2%,IF(AND(N69&gt;200,N69&lt;=1000),N69*3%,N69*5%))))</f>
        <v>258.36</v>
      </c>
      <c r="N88" s="53">
        <f ca="1">ROUND(M88,1)</f>
        <v>258.39999999999998</v>
      </c>
      <c r="O88" s="2677"/>
      <c r="P88" s="1868"/>
      <c r="Q88" s="1868"/>
      <c r="R88" s="1868"/>
      <c r="S88" s="1868"/>
      <c r="T88" s="1868"/>
      <c r="U88" s="1868"/>
      <c r="V88" s="1868"/>
      <c r="W88" s="1872"/>
      <c r="X88" s="1872"/>
      <c r="Y88" s="1872"/>
      <c r="Z88" s="1872"/>
    </row>
    <row r="89" spans="1:26" s="1230" customFormat="1" ht="14.25">
      <c r="A89" s="3612" t="s">
        <v>423</v>
      </c>
      <c r="B89" s="3613"/>
      <c r="C89" s="963"/>
      <c r="D89" s="963" t="s">
        <v>424</v>
      </c>
      <c r="E89" s="385" t="s">
        <v>433</v>
      </c>
      <c r="F89" s="386"/>
      <c r="G89" s="386"/>
      <c r="H89" s="387"/>
      <c r="I89" s="1232"/>
      <c r="J89" s="1873"/>
      <c r="K89" s="3658"/>
      <c r="L89" s="2684" t="s">
        <v>27</v>
      </c>
      <c r="M89" s="2675"/>
      <c r="N89" s="53">
        <f ca="1">ROUND(SUM(N83:N88),0)</f>
        <v>839</v>
      </c>
      <c r="O89" s="2685">
        <f ca="1">N89/N69</f>
        <v>1.6237033596531971E-2</v>
      </c>
      <c r="P89" s="1868"/>
      <c r="Q89" s="1868"/>
      <c r="R89" s="1868"/>
      <c r="S89" s="1868"/>
      <c r="T89" s="1868"/>
      <c r="U89" s="1868"/>
      <c r="V89" s="1868"/>
      <c r="W89" s="1872"/>
      <c r="X89" s="1872"/>
      <c r="Y89" s="1872"/>
      <c r="Z89" s="1872"/>
    </row>
    <row r="90" spans="1:26" s="1230" customFormat="1" ht="14.25">
      <c r="A90" s="375" t="s">
        <v>1622</v>
      </c>
      <c r="B90" s="376" t="s">
        <v>434</v>
      </c>
      <c r="C90" s="379">
        <f ca="1">ROUND(D63/(1+'数据-取费表'!C42),0)</f>
        <v>49211</v>
      </c>
      <c r="D90" s="372" t="s">
        <v>19</v>
      </c>
      <c r="E90" s="960"/>
      <c r="F90" s="959"/>
      <c r="G90" s="959"/>
      <c r="H90" s="388"/>
      <c r="I90" s="1232"/>
      <c r="J90" s="1873"/>
      <c r="K90" s="1868"/>
      <c r="L90" s="1868"/>
      <c r="M90" s="1868"/>
      <c r="N90" s="1868"/>
      <c r="O90" s="1868"/>
      <c r="P90" s="1868"/>
      <c r="Q90" s="1868"/>
      <c r="R90" s="1868"/>
      <c r="S90" s="1868"/>
      <c r="T90" s="1868"/>
      <c r="U90" s="1868"/>
      <c r="V90" s="1868"/>
      <c r="W90" s="1872"/>
      <c r="X90" s="1872"/>
      <c r="Y90" s="1872"/>
      <c r="Z90" s="1872"/>
    </row>
    <row r="91" spans="1:26" s="1230" customFormat="1" ht="14.25">
      <c r="A91" s="375" t="s">
        <v>1628</v>
      </c>
      <c r="B91" s="346" t="s">
        <v>435</v>
      </c>
      <c r="C91" s="379">
        <f ca="1">C92+C96</f>
        <v>295</v>
      </c>
      <c r="D91" s="372" t="s">
        <v>19</v>
      </c>
      <c r="E91" s="960"/>
      <c r="F91" s="959"/>
      <c r="G91" s="959"/>
      <c r="H91" s="388"/>
      <c r="I91" s="1232"/>
      <c r="J91" s="1873"/>
      <c r="K91" s="1868"/>
      <c r="L91" s="1868"/>
      <c r="M91" s="1868"/>
      <c r="N91" s="1868"/>
      <c r="O91" s="1868"/>
      <c r="P91" s="1868"/>
      <c r="Q91" s="1868"/>
      <c r="R91" s="1868"/>
      <c r="S91" s="1868"/>
      <c r="T91" s="1868"/>
      <c r="U91" s="1868"/>
      <c r="V91" s="1868"/>
      <c r="W91" s="1872"/>
      <c r="X91" s="1872"/>
      <c r="Y91" s="1872"/>
      <c r="Z91" s="1872"/>
    </row>
    <row r="92" spans="1:26" s="1230" customFormat="1" ht="24">
      <c r="A92" s="389" t="s">
        <v>1629</v>
      </c>
      <c r="B92" s="370" t="s">
        <v>436</v>
      </c>
      <c r="C92" s="372">
        <f>ROUND(IF(G95="2016年5月1日后购买",C93/(1+'数据-取费表'!C30)+C94+C95,C93+C94+C95),0)</f>
        <v>0</v>
      </c>
      <c r="D92" s="372" t="s">
        <v>19</v>
      </c>
      <c r="E92" s="960"/>
      <c r="F92" s="959"/>
      <c r="G92" s="959"/>
      <c r="H92" s="388"/>
      <c r="I92" s="1232"/>
      <c r="J92" s="1873"/>
      <c r="K92" s="1868"/>
      <c r="L92" s="1868"/>
      <c r="M92" s="1868"/>
      <c r="N92" s="1868"/>
      <c r="O92" s="1868"/>
      <c r="P92" s="1868"/>
      <c r="Q92" s="1868"/>
      <c r="R92" s="1868"/>
      <c r="S92" s="1868"/>
      <c r="T92" s="1868"/>
      <c r="U92" s="1868"/>
      <c r="V92" s="1868"/>
      <c r="W92" s="1872"/>
      <c r="X92" s="1872"/>
      <c r="Y92" s="1872"/>
      <c r="Z92" s="1872"/>
    </row>
    <row r="93" spans="1:26" s="1230" customFormat="1" ht="14.25">
      <c r="A93" s="389" t="s">
        <v>1630</v>
      </c>
      <c r="B93" s="370" t="s">
        <v>437</v>
      </c>
      <c r="C93" s="390"/>
      <c r="D93" s="372" t="s">
        <v>19</v>
      </c>
      <c r="E93" s="391" t="s">
        <v>438</v>
      </c>
      <c r="F93" s="392"/>
      <c r="G93" s="391" t="s">
        <v>439</v>
      </c>
      <c r="H93" s="393">
        <v>5</v>
      </c>
      <c r="I93" s="11"/>
      <c r="J93" s="1868"/>
      <c r="K93" s="1868"/>
      <c r="L93" s="1868"/>
      <c r="M93" s="1868"/>
      <c r="N93" s="1868"/>
      <c r="O93" s="1868"/>
      <c r="P93" s="1868"/>
      <c r="Q93" s="1868"/>
      <c r="R93" s="1868"/>
      <c r="S93" s="1868"/>
      <c r="T93" s="1868"/>
      <c r="U93" s="1868"/>
      <c r="V93" s="1868"/>
      <c r="W93" s="1872"/>
      <c r="X93" s="1872"/>
      <c r="Y93" s="1872"/>
      <c r="Z93" s="1872"/>
    </row>
    <row r="94" spans="1:26" s="1230" customFormat="1" ht="24.75" customHeight="1">
      <c r="A94" s="389" t="s">
        <v>1631</v>
      </c>
      <c r="B94" s="394" t="s">
        <v>440</v>
      </c>
      <c r="C94" s="372">
        <f>IF(F93="购房发票",ROUND(C93*H93*5%,0),0)</f>
        <v>0</v>
      </c>
      <c r="D94" s="395">
        <v>0.05</v>
      </c>
      <c r="E94" s="3594" t="s">
        <v>441</v>
      </c>
      <c r="F94" s="3593"/>
      <c r="G94" s="3593"/>
      <c r="H94" s="3636"/>
      <c r="I94" s="1232"/>
      <c r="J94" s="1873"/>
      <c r="K94" s="1868"/>
      <c r="L94" s="1868"/>
      <c r="M94" s="1868"/>
      <c r="N94" s="1868"/>
      <c r="O94" s="1868"/>
      <c r="P94" s="1868"/>
      <c r="Q94" s="1868"/>
      <c r="R94" s="1868"/>
      <c r="S94" s="1868"/>
      <c r="T94" s="1868"/>
      <c r="U94" s="1868"/>
      <c r="V94" s="1868"/>
      <c r="W94" s="1872"/>
      <c r="X94" s="1872"/>
      <c r="Y94" s="1872"/>
      <c r="Z94" s="1872"/>
    </row>
    <row r="95" spans="1:26" s="1230" customFormat="1" ht="24.75" customHeight="1">
      <c r="A95" s="389" t="s">
        <v>1632</v>
      </c>
      <c r="B95" s="370" t="s">
        <v>442</v>
      </c>
      <c r="C95" s="372">
        <f>ROUND(IF(G95="个人买卖住房",0,IF(G95="2016年5月1日前购买",C93*D95,C93*D95/(1+'数据-取费表'!C42))),0)</f>
        <v>0</v>
      </c>
      <c r="D95" s="396">
        <f>'数据-取费表'!B48+'数据-取费表'!B49</f>
        <v>4.0500000000000001E-2</v>
      </c>
      <c r="E95" s="26" t="s">
        <v>443</v>
      </c>
      <c r="F95" s="397"/>
      <c r="G95" s="398"/>
      <c r="H95" s="968" t="str">
        <f>IF(G95="个人买卖住房","免征印花税"," ")</f>
        <v xml:space="preserve"> </v>
      </c>
      <c r="I95" s="1232"/>
      <c r="J95" s="1873"/>
      <c r="K95" s="1868"/>
      <c r="L95" s="1868"/>
      <c r="M95" s="1868"/>
      <c r="N95" s="1868"/>
      <c r="O95" s="1868"/>
      <c r="P95" s="1868"/>
      <c r="Q95" s="1868"/>
      <c r="R95" s="1868"/>
      <c r="S95" s="1868"/>
      <c r="T95" s="1868"/>
      <c r="U95" s="1868"/>
      <c r="V95" s="1868"/>
      <c r="W95" s="1872"/>
      <c r="X95" s="1872"/>
      <c r="Y95" s="1872"/>
      <c r="Z95" s="1872"/>
    </row>
    <row r="96" spans="1:26" s="1230" customFormat="1" ht="24.75" customHeight="1">
      <c r="A96" s="389" t="s">
        <v>1633</v>
      </c>
      <c r="B96" s="370" t="s">
        <v>444</v>
      </c>
      <c r="C96" s="399">
        <f ca="1">ROUND(D63*D96/(1+'数据-取费表'!C42),0)</f>
        <v>295</v>
      </c>
      <c r="D96" s="400">
        <f>'数据-取费表'!B43</f>
        <v>6.000000000000001E-3</v>
      </c>
      <c r="E96" s="3628" t="s">
        <v>2214</v>
      </c>
      <c r="F96" s="3629"/>
      <c r="G96" s="3629"/>
      <c r="H96" s="3630"/>
      <c r="I96" s="1233"/>
      <c r="J96" s="1874"/>
      <c r="K96" s="1868"/>
      <c r="L96" s="1868"/>
      <c r="M96" s="1868"/>
      <c r="N96" s="1868"/>
      <c r="O96" s="1868"/>
      <c r="P96" s="1868"/>
      <c r="Q96" s="1868"/>
      <c r="R96" s="1868"/>
      <c r="S96" s="1868"/>
      <c r="T96" s="1868"/>
      <c r="U96" s="1868"/>
      <c r="V96" s="1868"/>
      <c r="W96" s="1872"/>
      <c r="X96" s="1872"/>
      <c r="Y96" s="1872"/>
      <c r="Z96" s="1872"/>
    </row>
    <row r="97" spans="1:26" s="1230" customFormat="1" ht="14.25">
      <c r="A97" s="1499" t="s">
        <v>1634</v>
      </c>
      <c r="B97" s="376" t="s">
        <v>445</v>
      </c>
      <c r="C97" s="379">
        <f ca="1">C90-C91</f>
        <v>48916</v>
      </c>
      <c r="D97" s="372" t="s">
        <v>19</v>
      </c>
      <c r="E97" s="960"/>
      <c r="F97" s="959"/>
      <c r="G97" s="959"/>
      <c r="H97" s="388"/>
      <c r="I97" s="1232"/>
      <c r="J97" s="1873"/>
      <c r="K97" s="1868"/>
      <c r="L97" s="1868"/>
      <c r="M97" s="1868"/>
      <c r="N97" s="1868"/>
      <c r="O97" s="1868"/>
      <c r="P97" s="1868"/>
      <c r="Q97" s="1868"/>
      <c r="R97" s="1868"/>
      <c r="S97" s="1868"/>
      <c r="T97" s="1868"/>
      <c r="U97" s="1868"/>
      <c r="V97" s="1868"/>
      <c r="W97" s="1872"/>
      <c r="X97" s="1872"/>
      <c r="Y97" s="1872"/>
      <c r="Z97" s="1872"/>
    </row>
    <row r="98" spans="1:26" s="1230" customFormat="1" ht="24">
      <c r="A98" s="1499" t="s">
        <v>1635</v>
      </c>
      <c r="B98" s="376" t="s">
        <v>446</v>
      </c>
      <c r="C98" s="401">
        <f ca="1">IF(C97&lt;=0,0,C97/C91)</f>
        <v>165.81694915254238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8"/>
      <c r="I98" s="1232"/>
      <c r="J98" s="1873"/>
      <c r="K98" s="1868"/>
      <c r="L98" s="1868"/>
      <c r="M98" s="1868"/>
      <c r="N98" s="1868"/>
      <c r="O98" s="1868"/>
      <c r="P98" s="1868"/>
      <c r="Q98" s="1868"/>
      <c r="R98" s="1868"/>
      <c r="S98" s="1868"/>
      <c r="T98" s="1868"/>
      <c r="U98" s="1868"/>
      <c r="V98" s="1868"/>
      <c r="W98" s="1872"/>
      <c r="X98" s="1872"/>
      <c r="Y98" s="1872"/>
      <c r="Z98" s="1872"/>
    </row>
    <row r="99" spans="1:26" s="1230" customFormat="1" ht="24.75" thickBot="1">
      <c r="A99" s="1500" t="s">
        <v>1636</v>
      </c>
      <c r="B99" s="381" t="s">
        <v>447</v>
      </c>
      <c r="C99" s="402">
        <f ca="1">ROUND(IF(C97&lt;=0,0,IF(C98&gt;=200%,C97*60%-C91*35%,IF(C98&gt;=100%,C97*50%-C91*15%,IF(C98&gt;=50%,C97*40%-C91*5%,IF(C98&lt;50%,C97*30%,0))))),0)</f>
        <v>29246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2"/>
      <c r="J99" s="1873"/>
      <c r="K99" s="1868"/>
      <c r="L99" s="1868"/>
      <c r="M99" s="1868"/>
      <c r="N99" s="1868"/>
      <c r="O99" s="1868"/>
      <c r="P99" s="1868"/>
      <c r="Q99" s="1868"/>
      <c r="R99" s="1868"/>
      <c r="S99" s="1868"/>
      <c r="T99" s="1868"/>
      <c r="U99" s="1868"/>
      <c r="V99" s="1868"/>
      <c r="W99" s="1872"/>
      <c r="X99" s="1872"/>
      <c r="Y99" s="1872"/>
      <c r="Z99" s="1872"/>
    </row>
    <row r="100" spans="1:26" s="1230" customFormat="1" ht="7.5" customHeight="1">
      <c r="A100" s="1234"/>
      <c r="B100" s="1235"/>
      <c r="C100" s="11"/>
      <c r="D100" s="11"/>
      <c r="E100" s="1235"/>
      <c r="F100" s="1235"/>
      <c r="G100" s="1235"/>
      <c r="H100" s="1236"/>
      <c r="I100" s="1233"/>
      <c r="J100" s="1874"/>
      <c r="K100" s="1868"/>
      <c r="L100" s="1868"/>
      <c r="M100" s="1868"/>
      <c r="N100" s="1868"/>
      <c r="O100" s="1868"/>
      <c r="P100" s="1868"/>
      <c r="Q100" s="1868"/>
      <c r="R100" s="1868"/>
      <c r="S100" s="1868"/>
      <c r="T100" s="1868"/>
      <c r="U100" s="1868"/>
      <c r="V100" s="1868"/>
      <c r="W100" s="1872"/>
      <c r="X100" s="1872"/>
      <c r="Y100" s="1872"/>
      <c r="Z100" s="1872"/>
    </row>
    <row r="101" spans="1:26" s="1230" customFormat="1" ht="15" thickBot="1">
      <c r="A101" s="3637" t="s">
        <v>448</v>
      </c>
      <c r="B101" s="3638"/>
      <c r="C101" s="3638"/>
      <c r="D101" s="3638"/>
      <c r="E101" s="3638"/>
      <c r="F101" s="3638"/>
      <c r="G101" s="3638"/>
      <c r="H101" s="3638"/>
      <c r="I101" s="11"/>
      <c r="J101" s="1868"/>
      <c r="K101" s="1868"/>
      <c r="L101" s="1868"/>
      <c r="M101" s="1868"/>
      <c r="N101" s="1868"/>
      <c r="O101" s="1868"/>
      <c r="P101" s="1868"/>
      <c r="Q101" s="1868"/>
      <c r="R101" s="1868"/>
      <c r="S101" s="1868"/>
      <c r="T101" s="1868"/>
      <c r="U101" s="1868"/>
      <c r="V101" s="1868"/>
      <c r="W101" s="1872"/>
      <c r="X101" s="1872"/>
      <c r="Y101" s="1872"/>
      <c r="Z101" s="1872"/>
    </row>
    <row r="102" spans="1:26" s="1230" customFormat="1" ht="14.25">
      <c r="A102" s="3612" t="s">
        <v>423</v>
      </c>
      <c r="B102" s="3613"/>
      <c r="C102" s="963"/>
      <c r="D102" s="963" t="s">
        <v>424</v>
      </c>
      <c r="E102" s="385" t="s">
        <v>433</v>
      </c>
      <c r="F102" s="386"/>
      <c r="G102" s="386"/>
      <c r="H102" s="407"/>
      <c r="I102" s="11"/>
      <c r="J102" s="1868"/>
      <c r="K102" s="1868"/>
      <c r="L102" s="1868"/>
      <c r="M102" s="1868"/>
      <c r="N102" s="1868"/>
      <c r="O102" s="1868"/>
      <c r="P102" s="1868"/>
      <c r="Q102" s="1868"/>
      <c r="R102" s="1868"/>
      <c r="S102" s="1868"/>
      <c r="T102" s="1868"/>
      <c r="U102" s="1868"/>
      <c r="V102" s="1868"/>
      <c r="W102" s="1872"/>
      <c r="X102" s="1872"/>
      <c r="Y102" s="1872"/>
      <c r="Z102" s="1872"/>
    </row>
    <row r="103" spans="1:26" s="1230" customFormat="1" ht="14.25">
      <c r="A103" s="375" t="s">
        <v>1622</v>
      </c>
      <c r="B103" s="376" t="s">
        <v>434</v>
      </c>
      <c r="C103" s="379">
        <f ca="1">ROUND(D63/(1+'数据-取费表'!C42),0)</f>
        <v>49211</v>
      </c>
      <c r="D103" s="372" t="s">
        <v>19</v>
      </c>
      <c r="E103" s="960"/>
      <c r="F103" s="959"/>
      <c r="G103" s="959"/>
      <c r="H103" s="408"/>
      <c r="I103" s="11"/>
      <c r="J103" s="1868"/>
      <c r="K103" s="1868"/>
      <c r="L103" s="1868"/>
      <c r="M103" s="1868"/>
      <c r="N103" s="1868"/>
      <c r="O103" s="1868"/>
      <c r="P103" s="1868"/>
      <c r="Q103" s="1868"/>
      <c r="R103" s="1868"/>
      <c r="S103" s="1868"/>
      <c r="T103" s="1868"/>
      <c r="U103" s="1868"/>
      <c r="V103" s="1868"/>
      <c r="W103" s="1872"/>
      <c r="X103" s="1872"/>
      <c r="Y103" s="1872"/>
      <c r="Z103" s="1872"/>
    </row>
    <row r="104" spans="1:26" s="1230" customFormat="1" ht="14.25">
      <c r="A104" s="375" t="s">
        <v>1628</v>
      </c>
      <c r="B104" s="346" t="s">
        <v>435</v>
      </c>
      <c r="C104" s="379">
        <f ca="1">IF(H106="仅含出让金",C105+C108+C109+C110+C111+C112,C105+C109+C110+C111+C112)</f>
        <v>295</v>
      </c>
      <c r="D104" s="409"/>
      <c r="E104" s="960"/>
      <c r="F104" s="959"/>
      <c r="G104" s="959"/>
      <c r="H104" s="408"/>
      <c r="I104" s="11"/>
      <c r="J104" s="1868"/>
      <c r="K104" s="1868"/>
      <c r="L104" s="1868"/>
      <c r="M104" s="1868"/>
      <c r="N104" s="1868"/>
      <c r="O104" s="1868"/>
      <c r="P104" s="1868"/>
      <c r="Q104" s="1868"/>
      <c r="R104" s="1868"/>
      <c r="S104" s="1868"/>
      <c r="T104" s="1868"/>
      <c r="U104" s="1868"/>
      <c r="V104" s="1868"/>
      <c r="W104" s="1872"/>
      <c r="X104" s="1872"/>
      <c r="Y104" s="1872"/>
      <c r="Z104" s="1872"/>
    </row>
    <row r="105" spans="1:26" s="1230" customFormat="1" ht="14.25">
      <c r="A105" s="389" t="s">
        <v>1629</v>
      </c>
      <c r="B105" s="370" t="s">
        <v>449</v>
      </c>
      <c r="C105" s="399">
        <f>C106+C107</f>
        <v>0</v>
      </c>
      <c r="D105" s="400"/>
      <c r="E105" s="954"/>
      <c r="F105" s="955"/>
      <c r="G105" s="955"/>
      <c r="H105" s="956"/>
      <c r="I105" s="11"/>
      <c r="J105" s="1868"/>
      <c r="K105" s="1868"/>
      <c r="L105" s="1868"/>
      <c r="M105" s="1868"/>
      <c r="N105" s="1868"/>
      <c r="O105" s="1868"/>
      <c r="P105" s="1868"/>
      <c r="Q105" s="1868"/>
      <c r="R105" s="1868"/>
      <c r="S105" s="1868"/>
      <c r="T105" s="1868"/>
      <c r="U105" s="1868"/>
      <c r="V105" s="1868"/>
      <c r="W105" s="1872"/>
      <c r="X105" s="1872"/>
      <c r="Y105" s="1872"/>
      <c r="Z105" s="1872"/>
    </row>
    <row r="106" spans="1:26" s="1230" customFormat="1" ht="14.25">
      <c r="A106" s="389" t="s">
        <v>1630</v>
      </c>
      <c r="B106" s="370" t="s">
        <v>450</v>
      </c>
      <c r="C106" s="410"/>
      <c r="D106" s="400"/>
      <c r="E106" s="411" t="s">
        <v>451</v>
      </c>
      <c r="F106" s="955"/>
      <c r="G106" s="412" t="s">
        <v>452</v>
      </c>
      <c r="H106" s="413"/>
      <c r="I106" s="11"/>
      <c r="J106" s="1868"/>
      <c r="K106" s="3149" t="s">
        <v>2720</v>
      </c>
      <c r="L106" s="1868"/>
      <c r="M106" s="1868"/>
      <c r="N106" s="1868"/>
      <c r="O106" s="1868"/>
      <c r="P106" s="1868"/>
      <c r="Q106" s="1868"/>
      <c r="R106" s="1868"/>
      <c r="S106" s="1868"/>
      <c r="T106" s="1868"/>
      <c r="U106" s="1868"/>
      <c r="V106" s="1868"/>
      <c r="W106" s="1872"/>
      <c r="X106" s="1872"/>
      <c r="Y106" s="1872"/>
      <c r="Z106" s="1872"/>
    </row>
    <row r="107" spans="1:26" s="1230" customFormat="1" ht="14.25">
      <c r="A107" s="389" t="s">
        <v>1631</v>
      </c>
      <c r="B107" s="370" t="s">
        <v>442</v>
      </c>
      <c r="C107" s="399">
        <f>ROUND(C106*D107,0)</f>
        <v>0</v>
      </c>
      <c r="D107" s="400">
        <f>'数据-取费表'!B48+'数据-取费表'!B49</f>
        <v>4.0500000000000001E-2</v>
      </c>
      <c r="E107" s="411" t="s">
        <v>453</v>
      </c>
      <c r="F107" s="955"/>
      <c r="G107" s="955"/>
      <c r="H107" s="956"/>
      <c r="I107" s="11"/>
      <c r="J107" s="1868"/>
      <c r="K107" s="1868"/>
      <c r="L107" s="1868"/>
      <c r="M107" s="1868"/>
      <c r="N107" s="1868"/>
      <c r="O107" s="1868"/>
      <c r="P107" s="1868"/>
      <c r="Q107" s="1868"/>
      <c r="R107" s="1868"/>
      <c r="S107" s="1868"/>
      <c r="T107" s="1868"/>
      <c r="U107" s="1868"/>
      <c r="V107" s="1868"/>
      <c r="W107" s="1872"/>
      <c r="X107" s="1872"/>
      <c r="Y107" s="1872"/>
      <c r="Z107" s="1872"/>
    </row>
    <row r="108" spans="1:26" s="1230" customFormat="1" ht="14.25">
      <c r="A108" s="389" t="s">
        <v>1633</v>
      </c>
      <c r="B108" s="370" t="s">
        <v>454</v>
      </c>
      <c r="C108" s="410"/>
      <c r="D108" s="400"/>
      <c r="E108" s="411" t="str">
        <f>IF(H106="-","土地取得成本中已包含该笔费用"," ")</f>
        <v xml:space="preserve"> </v>
      </c>
      <c r="F108" s="955"/>
      <c r="G108" s="3588" t="s">
        <v>2692</v>
      </c>
      <c r="H108" s="3589"/>
      <c r="I108" s="2774"/>
      <c r="J108" s="1868"/>
      <c r="K108" s="3149" t="s">
        <v>2721</v>
      </c>
      <c r="L108" s="1868"/>
      <c r="M108" s="1868"/>
      <c r="N108" s="1868"/>
      <c r="O108" s="1868"/>
      <c r="P108" s="1868"/>
      <c r="Q108" s="1868"/>
      <c r="R108" s="1868"/>
      <c r="S108" s="1868"/>
      <c r="T108" s="1868"/>
      <c r="U108" s="1868"/>
      <c r="V108" s="1868"/>
      <c r="W108" s="1872"/>
      <c r="X108" s="1872"/>
      <c r="Y108" s="1872"/>
      <c r="Z108" s="1872"/>
    </row>
    <row r="109" spans="1:26" s="1230" customFormat="1" ht="24" customHeight="1">
      <c r="A109" s="1501" t="s">
        <v>1637</v>
      </c>
      <c r="B109" s="370" t="s">
        <v>455</v>
      </c>
      <c r="C109" s="399">
        <f>IF(H109="——",IF(F1="现房",'剩余法-现房'!C18,0),I109)</f>
        <v>0</v>
      </c>
      <c r="D109" s="400"/>
      <c r="E109" s="3631" t="s">
        <v>456</v>
      </c>
      <c r="F109" s="3629"/>
      <c r="G109" s="3629"/>
      <c r="H109" s="1808" t="s">
        <v>930</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0" customFormat="1" ht="25.5" customHeight="1">
      <c r="A110" s="1501" t="s">
        <v>1638</v>
      </c>
      <c r="B110" s="370" t="s">
        <v>457</v>
      </c>
      <c r="C110" s="399">
        <f>ROUND((C105+C108+C109)*D110,0)</f>
        <v>0</v>
      </c>
      <c r="D110" s="3180">
        <v>0</v>
      </c>
      <c r="E110" s="3631" t="s">
        <v>458</v>
      </c>
      <c r="F110" s="3629"/>
      <c r="G110" s="3629"/>
      <c r="H110" s="3630"/>
      <c r="I110" s="11"/>
      <c r="J110" s="1868"/>
      <c r="K110" s="3150" t="s">
        <v>2722</v>
      </c>
      <c r="L110" s="1868"/>
      <c r="M110" s="1868"/>
      <c r="N110" s="1868"/>
      <c r="O110" s="1868"/>
      <c r="P110" s="1868"/>
      <c r="Q110" s="1868"/>
      <c r="R110" s="1868"/>
      <c r="S110" s="1868"/>
      <c r="T110" s="1868"/>
      <c r="U110" s="1868"/>
      <c r="V110" s="1868"/>
      <c r="W110" s="1872"/>
      <c r="X110" s="1872"/>
      <c r="Y110" s="1872"/>
      <c r="Z110" s="1872"/>
    </row>
    <row r="111" spans="1:26" s="1230" customFormat="1" ht="25.5" customHeight="1">
      <c r="A111" s="1501" t="s">
        <v>1639</v>
      </c>
      <c r="B111" s="370" t="s">
        <v>444</v>
      </c>
      <c r="C111" s="399">
        <f ca="1">ROUND(D63*D111/(1+'数据-取费表'!C42),0)</f>
        <v>295</v>
      </c>
      <c r="D111" s="400">
        <f>'数据-取费表'!B43</f>
        <v>6.000000000000001E-3</v>
      </c>
      <c r="E111" s="3628" t="s">
        <v>2214</v>
      </c>
      <c r="F111" s="3629"/>
      <c r="G111" s="3629"/>
      <c r="H111" s="3630"/>
      <c r="I111" s="11"/>
      <c r="J111" s="1868"/>
      <c r="K111" s="1868"/>
      <c r="L111" s="1868"/>
      <c r="M111" s="1868"/>
      <c r="N111" s="1868"/>
      <c r="O111" s="1868"/>
      <c r="P111" s="1868"/>
      <c r="Q111" s="1868"/>
      <c r="R111" s="1868"/>
      <c r="S111" s="1868"/>
      <c r="T111" s="1868"/>
      <c r="U111" s="1868"/>
      <c r="V111" s="1868"/>
      <c r="W111" s="1872"/>
      <c r="X111" s="1872"/>
      <c r="Y111" s="1872"/>
      <c r="Z111" s="1872"/>
    </row>
    <row r="112" spans="1:26" s="1230" customFormat="1" ht="25.5" customHeight="1">
      <c r="A112" s="1501" t="s">
        <v>1640</v>
      </c>
      <c r="B112" s="370" t="s">
        <v>459</v>
      </c>
      <c r="C112" s="399">
        <f>ROUND(C108*D112,0)</f>
        <v>0</v>
      </c>
      <c r="D112" s="400">
        <v>0.2</v>
      </c>
      <c r="E112" s="3631" t="s">
        <v>2233</v>
      </c>
      <c r="F112" s="3629"/>
      <c r="G112" s="3629"/>
      <c r="H112" s="3630"/>
      <c r="I112" s="11"/>
      <c r="J112" s="1868"/>
      <c r="K112" s="1868"/>
      <c r="L112" s="1868"/>
      <c r="M112" s="1868"/>
      <c r="N112" s="1868"/>
      <c r="O112" s="1868"/>
      <c r="P112" s="1868"/>
      <c r="Q112" s="1868"/>
      <c r="R112" s="1868"/>
      <c r="S112" s="1868"/>
      <c r="T112" s="1868"/>
      <c r="U112" s="1868"/>
      <c r="V112" s="1868"/>
      <c r="W112" s="1872"/>
      <c r="X112" s="1872"/>
      <c r="Y112" s="1872"/>
      <c r="Z112" s="1872"/>
    </row>
    <row r="113" spans="1:26" s="1230" customFormat="1" ht="14.25">
      <c r="A113" s="1499" t="s">
        <v>1634</v>
      </c>
      <c r="B113" s="376" t="s">
        <v>445</v>
      </c>
      <c r="C113" s="379">
        <f ca="1">ROUND(C103-C104,0)</f>
        <v>48916</v>
      </c>
      <c r="D113" s="372" t="s">
        <v>19</v>
      </c>
      <c r="E113" s="960"/>
      <c r="F113" s="959"/>
      <c r="G113" s="959"/>
      <c r="H113" s="408"/>
      <c r="I113" s="11"/>
      <c r="J113" s="1868"/>
      <c r="K113" s="1868"/>
      <c r="L113" s="1868"/>
      <c r="M113" s="1868"/>
      <c r="N113" s="1868"/>
      <c r="O113" s="1868"/>
      <c r="P113" s="1868"/>
      <c r="Q113" s="1868"/>
      <c r="R113" s="1868"/>
      <c r="S113" s="1868"/>
      <c r="T113" s="1868"/>
      <c r="U113" s="1868"/>
      <c r="V113" s="1868"/>
      <c r="W113" s="1872"/>
      <c r="X113" s="1872"/>
      <c r="Y113" s="1872"/>
      <c r="Z113" s="1872"/>
    </row>
    <row r="114" spans="1:26" s="1230" customFormat="1" ht="24">
      <c r="A114" s="1499" t="s">
        <v>1635</v>
      </c>
      <c r="B114" s="376" t="s">
        <v>446</v>
      </c>
      <c r="C114" s="401">
        <f ca="1">IF(C113&lt;=0,0,C113/C104)</f>
        <v>165.81694915254238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8"/>
      <c r="I114" s="11"/>
      <c r="J114" s="1868"/>
      <c r="K114" s="1868"/>
      <c r="L114" s="1868"/>
      <c r="M114" s="1868"/>
      <c r="N114" s="1868"/>
      <c r="O114" s="1868"/>
      <c r="P114" s="1868"/>
      <c r="Q114" s="1868"/>
      <c r="R114" s="1868"/>
      <c r="S114" s="1868"/>
      <c r="T114" s="1868"/>
      <c r="U114" s="1868"/>
      <c r="V114" s="1868"/>
      <c r="W114" s="1872"/>
      <c r="X114" s="1872"/>
      <c r="Y114" s="1872"/>
      <c r="Z114" s="1872"/>
    </row>
    <row r="115" spans="1:26" s="1230" customFormat="1" ht="24.75" thickBot="1">
      <c r="A115" s="1500" t="s">
        <v>1636</v>
      </c>
      <c r="B115" s="381" t="s">
        <v>447</v>
      </c>
      <c r="C115" s="402">
        <f ca="1">ROUND(IF(C113&lt;=0,0,IF(C114&gt;=200%,C113*60%-C104*35%,IF(C114&gt;=100%,C113*50%-C104*15%,IF(C114&gt;=50%,C113*40%-C104*5%,IF(C114&lt;50%,C113*30%,0))))),0)</f>
        <v>29246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5" customFormat="1" ht="21.75" customHeight="1">
      <c r="K185" s="1876"/>
      <c r="L185" s="1876"/>
      <c r="M185" s="1876"/>
      <c r="N185" s="1876"/>
      <c r="O185" s="187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tabSelected="1" view="pageBreakPreview" topLeftCell="A43" zoomScale="90" zoomScaleNormal="95" zoomScaleSheetLayoutView="90" workbookViewId="0">
      <selection activeCell="I7" sqref="I7:J7"/>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9" t="s">
        <v>499</v>
      </c>
      <c r="B1" s="480"/>
      <c r="C1" s="481" t="s">
        <v>500</v>
      </c>
      <c r="D1" s="482" t="s">
        <v>501</v>
      </c>
      <c r="E1" s="483"/>
      <c r="F1" s="422"/>
      <c r="G1" s="483"/>
      <c r="H1" s="483"/>
      <c r="I1" s="483"/>
      <c r="J1" s="483"/>
      <c r="K1" s="484"/>
      <c r="L1" s="3115"/>
      <c r="M1" s="3116"/>
      <c r="N1" s="3116"/>
      <c r="O1" s="3116"/>
      <c r="P1" s="1966"/>
      <c r="Q1" s="1966"/>
      <c r="R1" s="1966"/>
      <c r="S1" s="1966"/>
      <c r="T1" s="1966"/>
      <c r="U1" s="1966"/>
      <c r="V1" s="1966"/>
      <c r="W1" s="1966"/>
      <c r="X1" s="1966"/>
      <c r="Y1" s="1966"/>
      <c r="Z1" s="1966"/>
      <c r="AA1" s="1966"/>
      <c r="AB1" s="1966"/>
      <c r="AC1" s="3117"/>
      <c r="AD1" s="1243"/>
    </row>
    <row r="2" spans="1:30" s="1244" customFormat="1" ht="28.5" customHeight="1">
      <c r="A2" s="417" t="s">
        <v>461</v>
      </c>
      <c r="B2" s="485">
        <f>F67</f>
        <v>48086</v>
      </c>
      <c r="C2" s="3125"/>
      <c r="D2" s="3125"/>
      <c r="E2" s="3127"/>
      <c r="F2" s="3128"/>
      <c r="G2" s="3127"/>
      <c r="H2" s="3127"/>
      <c r="I2" s="3127"/>
      <c r="J2" s="3127"/>
      <c r="K2" s="3129"/>
      <c r="L2" s="1965"/>
      <c r="M2" s="1966"/>
      <c r="N2" s="1966"/>
      <c r="O2" s="1966"/>
      <c r="P2" s="1966"/>
      <c r="Q2" s="1966"/>
      <c r="R2" s="1966"/>
      <c r="S2" s="1966"/>
      <c r="T2" s="1966"/>
      <c r="U2" s="1966"/>
      <c r="V2" s="1966"/>
      <c r="W2" s="1966"/>
      <c r="X2" s="1966"/>
      <c r="Y2" s="1966"/>
      <c r="Z2" s="1966"/>
      <c r="AA2" s="1966"/>
      <c r="AB2" s="1966"/>
      <c r="AC2" s="3117"/>
      <c r="AD2" s="1243"/>
    </row>
    <row r="3" spans="1:30" s="1244" customFormat="1" ht="28.5" customHeight="1">
      <c r="A3" s="1284" t="s">
        <v>1483</v>
      </c>
      <c r="B3" s="487">
        <f>ROUND(B2*10000/'数据-汇总表'!E3,0)</f>
        <v>2603</v>
      </c>
      <c r="C3" s="3126"/>
      <c r="D3" s="3130"/>
      <c r="E3" s="3126"/>
      <c r="F3" s="3126"/>
      <c r="G3" s="3127"/>
      <c r="H3" s="3127"/>
      <c r="I3" s="3127"/>
      <c r="J3" s="3127"/>
      <c r="K3" s="3129"/>
      <c r="L3" s="1965"/>
      <c r="M3" s="1966"/>
      <c r="N3" s="1966"/>
      <c r="O3" s="1966"/>
      <c r="P3" s="1966"/>
      <c r="Q3" s="1966"/>
      <c r="R3" s="1966"/>
      <c r="S3" s="1966"/>
      <c r="T3" s="1966"/>
      <c r="U3" s="1966"/>
      <c r="V3" s="1966"/>
      <c r="W3" s="1966"/>
      <c r="X3" s="1966"/>
      <c r="Y3" s="1966"/>
      <c r="Z3" s="1966"/>
      <c r="AA3" s="1966"/>
      <c r="AB3" s="3118"/>
      <c r="AC3" s="1896"/>
    </row>
    <row r="4" spans="1:30" s="1244" customFormat="1" ht="28.5" customHeight="1">
      <c r="A4" s="488" t="s">
        <v>503</v>
      </c>
      <c r="B4" s="421">
        <f>IF(B48="单位面积地价",C50,ROUND(B2*10000/'数据-汇总表'!D3,0))</f>
        <v>20630</v>
      </c>
      <c r="C4" s="3126"/>
      <c r="D4" s="3130"/>
      <c r="E4" s="3126"/>
      <c r="F4" s="3126"/>
      <c r="G4" s="3127"/>
      <c r="H4" s="3127"/>
      <c r="I4" s="3127"/>
      <c r="J4" s="3127"/>
      <c r="K4" s="3129"/>
      <c r="L4" s="1965"/>
      <c r="M4" s="1966"/>
      <c r="N4" s="1966"/>
      <c r="O4" s="1966"/>
      <c r="P4" s="1966"/>
      <c r="Q4" s="1966"/>
      <c r="R4" s="1966"/>
      <c r="S4" s="1966"/>
      <c r="T4" s="1966"/>
      <c r="U4" s="1966"/>
      <c r="V4" s="1966"/>
      <c r="W4" s="1966"/>
      <c r="X4" s="1966"/>
      <c r="Y4" s="1966"/>
      <c r="Z4" s="1966"/>
      <c r="AA4" s="1966"/>
      <c r="AB4" s="1966"/>
      <c r="AC4" s="1896"/>
    </row>
    <row r="5" spans="1:30" s="1244" customFormat="1" ht="28.5" customHeight="1" thickBot="1">
      <c r="A5" s="423"/>
      <c r="B5" s="424">
        <f>ROUND(B2/('数据-汇总表'!D3/666.67),0)</f>
        <v>1375</v>
      </c>
      <c r="C5" s="425" t="s">
        <v>463</v>
      </c>
      <c r="D5" s="3126"/>
      <c r="E5" s="3126"/>
      <c r="F5" s="3126"/>
      <c r="G5" s="3127"/>
      <c r="H5" s="3127"/>
      <c r="I5" s="3127"/>
      <c r="J5" s="3127"/>
      <c r="K5" s="3129"/>
      <c r="L5" s="1965"/>
      <c r="M5" s="1966"/>
      <c r="N5" s="1966"/>
      <c r="O5" s="1966"/>
      <c r="P5" s="1966"/>
      <c r="Q5" s="1966"/>
      <c r="R5" s="1966"/>
      <c r="S5" s="1966"/>
      <c r="T5" s="1966"/>
      <c r="U5" s="1966"/>
      <c r="V5" s="1966"/>
      <c r="W5" s="1966"/>
      <c r="X5" s="1966"/>
      <c r="Y5" s="1966"/>
      <c r="Z5" s="1966"/>
      <c r="AA5" s="1966"/>
      <c r="AB5" s="1966"/>
      <c r="AC5" s="1896"/>
    </row>
    <row r="6" spans="1:30" ht="20.25">
      <c r="A6" s="489" t="s">
        <v>504</v>
      </c>
      <c r="B6" s="490"/>
      <c r="C6" s="3677" t="s">
        <v>505</v>
      </c>
      <c r="D6" s="3678"/>
      <c r="E6" s="3677" t="s">
        <v>506</v>
      </c>
      <c r="F6" s="3678"/>
      <c r="G6" s="3677" t="s">
        <v>507</v>
      </c>
      <c r="H6" s="3678"/>
      <c r="I6" s="3677" t="s">
        <v>508</v>
      </c>
      <c r="J6" s="3678"/>
      <c r="K6" s="491" t="s">
        <v>509</v>
      </c>
      <c r="L6" s="1967"/>
      <c r="M6" s="1966"/>
      <c r="N6" s="1966"/>
      <c r="O6" s="1968"/>
      <c r="P6" s="3679" t="s">
        <v>510</v>
      </c>
      <c r="Q6" s="3680"/>
      <c r="R6" s="3685" t="s">
        <v>506</v>
      </c>
      <c r="S6" s="3686"/>
      <c r="T6" s="3685" t="s">
        <v>507</v>
      </c>
      <c r="U6" s="3686"/>
      <c r="V6" s="3672" t="s">
        <v>508</v>
      </c>
      <c r="W6" s="3672"/>
      <c r="X6" s="1455"/>
      <c r="Y6" s="3685" t="s">
        <v>510</v>
      </c>
      <c r="Z6" s="3686"/>
      <c r="AA6" s="3674" t="s">
        <v>506</v>
      </c>
      <c r="AB6" s="3675" t="s">
        <v>507</v>
      </c>
      <c r="AC6" s="3674" t="s">
        <v>508</v>
      </c>
    </row>
    <row r="7" spans="1:30" ht="20.25">
      <c r="A7" s="492"/>
      <c r="B7" s="493"/>
      <c r="C7" s="3693" t="s">
        <v>2630</v>
      </c>
      <c r="D7" s="3694"/>
      <c r="E7" s="3815" t="str">
        <f>土地案例!A61</f>
        <v>湖西路西、北岗路南</v>
      </c>
      <c r="F7" s="3816"/>
      <c r="G7" s="3693" t="str">
        <f>土地案例!A31</f>
        <v>槐荫街南、弯月路西</v>
      </c>
      <c r="H7" s="3694"/>
      <c r="I7" s="3815" t="str">
        <f>土地案例!A63</f>
        <v>西岗路南、湖西路西</v>
      </c>
      <c r="J7" s="3816"/>
      <c r="K7" s="491"/>
      <c r="L7" s="1967"/>
      <c r="M7" s="1966"/>
      <c r="N7" s="1966"/>
      <c r="O7" s="1968"/>
      <c r="P7" s="3681"/>
      <c r="Q7" s="3682"/>
      <c r="R7" s="3687"/>
      <c r="S7" s="3688"/>
      <c r="T7" s="3687"/>
      <c r="U7" s="3688"/>
      <c r="V7" s="3672"/>
      <c r="W7" s="3672"/>
      <c r="X7" s="1455"/>
      <c r="Y7" s="3687"/>
      <c r="Z7" s="3688"/>
      <c r="AA7" s="3675"/>
      <c r="AB7" s="3675"/>
      <c r="AC7" s="3675"/>
    </row>
    <row r="8" spans="1:30" ht="21" thickBot="1">
      <c r="A8" s="492"/>
      <c r="B8" s="493"/>
      <c r="C8" s="3695" t="s">
        <v>2634</v>
      </c>
      <c r="D8" s="3696"/>
      <c r="E8" s="3695" t="s">
        <v>2634</v>
      </c>
      <c r="F8" s="3696"/>
      <c r="G8" s="3691" t="s">
        <v>2634</v>
      </c>
      <c r="H8" s="3692"/>
      <c r="I8" s="3691" t="s">
        <v>2634</v>
      </c>
      <c r="J8" s="3692"/>
      <c r="K8" s="491" t="s">
        <v>511</v>
      </c>
      <c r="L8" s="1967"/>
      <c r="M8" s="1966"/>
      <c r="N8" s="1966"/>
      <c r="O8" s="1968"/>
      <c r="P8" s="3683"/>
      <c r="Q8" s="3684"/>
      <c r="R8" s="3687"/>
      <c r="S8" s="3688"/>
      <c r="T8" s="3689"/>
      <c r="U8" s="3690"/>
      <c r="V8" s="3672"/>
      <c r="W8" s="3672"/>
      <c r="X8" s="1455"/>
      <c r="Y8" s="3689"/>
      <c r="Z8" s="3690"/>
      <c r="AA8" s="3676"/>
      <c r="AB8" s="3676"/>
      <c r="AC8" s="3676"/>
    </row>
    <row r="9" spans="1:30" s="1165" customFormat="1" ht="21" thickBot="1">
      <c r="A9" s="2548"/>
      <c r="B9" s="2555" t="s">
        <v>512</v>
      </c>
      <c r="C9" s="2547">
        <f>'数据-取费表'!B2</f>
        <v>44895</v>
      </c>
      <c r="D9" s="497">
        <v>100</v>
      </c>
      <c r="E9" s="498" t="str">
        <f>土地案例!K61</f>
        <v>2020-02-17</v>
      </c>
      <c r="F9" s="499">
        <f>SUMIF(71:71,YEAR(E9)&amp;"-"&amp;INT((MONTH(E9)+2)/3),72:72)</f>
        <v>94.5</v>
      </c>
      <c r="G9" s="500" t="str">
        <f>土地案例!K31</f>
        <v>2021-03-12</v>
      </c>
      <c r="H9" s="497">
        <f>SUMIF(71:71,YEAR(G9)&amp;"-"&amp;INT((MONTH(G9)+2)/3),72:72)</f>
        <v>96.5</v>
      </c>
      <c r="I9" s="500" t="str">
        <f>土地案例!K63</f>
        <v>2020-02-17</v>
      </c>
      <c r="J9" s="497">
        <f>SUMIF(71:71,YEAR(I9)&amp;"-"&amp;INT((MONTH(I9)+2)/3),72:72)</f>
        <v>94.5</v>
      </c>
      <c r="K9" s="501"/>
      <c r="L9" s="1969"/>
      <c r="M9" s="1966"/>
      <c r="N9" s="1966"/>
      <c r="O9" s="1970"/>
      <c r="P9" s="3701" t="s">
        <v>513</v>
      </c>
      <c r="Q9" s="3703"/>
      <c r="R9" s="1456" t="s">
        <v>8</v>
      </c>
      <c r="S9" s="1457">
        <f t="shared" ref="S9:S17" si="0">F9</f>
        <v>94.5</v>
      </c>
      <c r="T9" s="1456" t="s">
        <v>8</v>
      </c>
      <c r="U9" s="1457">
        <f t="shared" ref="U9:U17" si="1">H9</f>
        <v>96.5</v>
      </c>
      <c r="V9" s="1456" t="s">
        <v>8</v>
      </c>
      <c r="W9" s="1457">
        <f t="shared" ref="W9:W17" si="2">J9</f>
        <v>94.5</v>
      </c>
      <c r="X9" s="1458"/>
      <c r="Y9" s="3701" t="s">
        <v>513</v>
      </c>
      <c r="Z9" s="3702"/>
      <c r="AA9" s="1459">
        <f>D9/F9</f>
        <v>1.0582010582010581</v>
      </c>
      <c r="AB9" s="1459">
        <f>D9/H9</f>
        <v>1.0362694300518134</v>
      </c>
      <c r="AC9" s="1459">
        <f>D9/J9</f>
        <v>1.0582010582010581</v>
      </c>
    </row>
    <row r="10" spans="1:30" s="1165" customFormat="1" ht="21" thickBot="1">
      <c r="A10" s="2549"/>
      <c r="B10" s="2556" t="s">
        <v>514</v>
      </c>
      <c r="C10" s="828" t="s">
        <v>515</v>
      </c>
      <c r="D10" s="497">
        <v>100</v>
      </c>
      <c r="E10" s="502" t="s">
        <v>3385</v>
      </c>
      <c r="F10" s="499">
        <f>SUMIF(74:74,E10,75:75)-SUMIF(74:74,C10,75:75)+100</f>
        <v>100</v>
      </c>
      <c r="G10" s="3473" t="s">
        <v>3390</v>
      </c>
      <c r="H10" s="497">
        <f>SUMIF(74:74,G10,75:75)-SUMIF(74:74,C10,75:75)+100</f>
        <v>100</v>
      </c>
      <c r="I10" s="3473" t="s">
        <v>3395</v>
      </c>
      <c r="J10" s="497">
        <f>SUMIF(74:74,I10,75:75)-SUMIF(74:74,C10,75:75)+100</f>
        <v>100</v>
      </c>
      <c r="K10" s="501"/>
      <c r="L10" s="1969"/>
      <c r="M10" s="1966"/>
      <c r="N10" s="1966"/>
      <c r="O10" s="1970"/>
      <c r="P10" s="3701" t="s">
        <v>516</v>
      </c>
      <c r="Q10" s="3702"/>
      <c r="R10" s="1456" t="s">
        <v>8</v>
      </c>
      <c r="S10" s="1457">
        <f t="shared" si="0"/>
        <v>100</v>
      </c>
      <c r="T10" s="1456" t="s">
        <v>8</v>
      </c>
      <c r="U10" s="1457">
        <f t="shared" si="1"/>
        <v>100</v>
      </c>
      <c r="V10" s="1456" t="s">
        <v>8</v>
      </c>
      <c r="W10" s="1457">
        <f t="shared" si="2"/>
        <v>100</v>
      </c>
      <c r="X10" s="1458"/>
      <c r="Y10" s="3701" t="s">
        <v>516</v>
      </c>
      <c r="Z10" s="3702"/>
      <c r="AA10" s="1459">
        <f t="shared" ref="AA10:AA47" si="3">D10/F10</f>
        <v>1</v>
      </c>
      <c r="AB10" s="1459">
        <f t="shared" ref="AB10:AB47" si="4">D10/H10</f>
        <v>1</v>
      </c>
      <c r="AC10" s="1459">
        <f t="shared" ref="AC10:AC47" si="5">D10/J10</f>
        <v>1</v>
      </c>
    </row>
    <row r="11" spans="1:30" s="1165" customFormat="1" ht="20.25">
      <c r="A11" s="2550"/>
      <c r="B11" s="2557" t="s">
        <v>2472</v>
      </c>
      <c r="C11" s="3478" t="s">
        <v>3405</v>
      </c>
      <c r="D11" s="252">
        <v>100</v>
      </c>
      <c r="E11" s="3479" t="s">
        <v>3404</v>
      </c>
      <c r="F11" s="252">
        <f>SUMIF(76:76,E11,77:77)-SUMIF(76:76,C11,77:77)+100</f>
        <v>100</v>
      </c>
      <c r="G11" s="3479" t="s">
        <v>3407</v>
      </c>
      <c r="H11" s="252">
        <f>SUMIF(76:76,G11,77:77)-SUMIF(76:76,C11,77:77)+100</f>
        <v>100</v>
      </c>
      <c r="I11" s="3479" t="s">
        <v>3408</v>
      </c>
      <c r="J11" s="252">
        <f>SUMIF(76:76,I11,77:77)-SUMIF(76:76,C11,77:77)+100</f>
        <v>100</v>
      </c>
      <c r="K11" s="501"/>
      <c r="L11" s="1969"/>
      <c r="M11" s="1966"/>
      <c r="N11" s="1966"/>
      <c r="O11" s="1971"/>
      <c r="P11" s="3671" t="s">
        <v>518</v>
      </c>
      <c r="Q11" s="1096" t="str">
        <f t="shared" ref="Q11:Q17" si="6">B11</f>
        <v>用途</v>
      </c>
      <c r="R11" s="1456" t="s">
        <v>8</v>
      </c>
      <c r="S11" s="1457">
        <f t="shared" si="0"/>
        <v>100</v>
      </c>
      <c r="T11" s="1456" t="s">
        <v>8</v>
      </c>
      <c r="U11" s="1457">
        <f t="shared" si="1"/>
        <v>100</v>
      </c>
      <c r="V11" s="1456" t="s">
        <v>8</v>
      </c>
      <c r="W11" s="1457">
        <f t="shared" si="2"/>
        <v>100</v>
      </c>
      <c r="X11" s="1458"/>
      <c r="Y11" s="3619" t="s">
        <v>519</v>
      </c>
      <c r="Z11" s="1095" t="str">
        <f t="shared" ref="Z11:Z17" si="7">Q11</f>
        <v>用途</v>
      </c>
      <c r="AA11" s="1459">
        <f t="shared" si="3"/>
        <v>1</v>
      </c>
      <c r="AB11" s="1459">
        <f t="shared" si="4"/>
        <v>1</v>
      </c>
      <c r="AC11" s="1459">
        <f t="shared" si="5"/>
        <v>1</v>
      </c>
    </row>
    <row r="12" spans="1:30" s="1246" customFormat="1" ht="27">
      <c r="A12" s="2551"/>
      <c r="B12" s="2556" t="s">
        <v>2473</v>
      </c>
      <c r="C12" s="880"/>
      <c r="D12" s="253">
        <v>100</v>
      </c>
      <c r="E12" s="506"/>
      <c r="F12" s="253">
        <f>ROUND(100/'数据-取费表'!G16,0)</f>
        <v>102</v>
      </c>
      <c r="G12" s="507"/>
      <c r="H12" s="253">
        <f>ROUND(100/'数据-取费表'!G16,0)</f>
        <v>102</v>
      </c>
      <c r="I12" s="507"/>
      <c r="J12" s="253">
        <f>ROUND(100/'数据-取费表'!G16,0)</f>
        <v>102</v>
      </c>
      <c r="K12" s="508"/>
      <c r="L12" s="1972"/>
      <c r="M12" s="1966"/>
      <c r="N12" s="1966"/>
      <c r="O12" s="1973"/>
      <c r="P12" s="3671"/>
      <c r="Q12" s="1096" t="str">
        <f t="shared" si="6"/>
        <v>土地使用年限（年）</v>
      </c>
      <c r="R12" s="1456" t="s">
        <v>8</v>
      </c>
      <c r="S12" s="1457">
        <f t="shared" si="0"/>
        <v>102</v>
      </c>
      <c r="T12" s="1456" t="s">
        <v>8</v>
      </c>
      <c r="U12" s="1457">
        <f t="shared" si="1"/>
        <v>102</v>
      </c>
      <c r="V12" s="1456" t="s">
        <v>8</v>
      </c>
      <c r="W12" s="1457">
        <f t="shared" si="2"/>
        <v>102</v>
      </c>
      <c r="X12" s="1458"/>
      <c r="Y12" s="3619"/>
      <c r="Z12" s="1095" t="str">
        <f t="shared" si="7"/>
        <v>土地使用年限（年）</v>
      </c>
      <c r="AA12" s="1459">
        <f t="shared" si="3"/>
        <v>0.98039215686274506</v>
      </c>
      <c r="AB12" s="1459">
        <f t="shared" si="4"/>
        <v>0.98039215686274506</v>
      </c>
      <c r="AC12" s="1459">
        <f t="shared" si="5"/>
        <v>0.98039215686274506</v>
      </c>
    </row>
    <row r="13" spans="1:30" ht="20.25">
      <c r="A13" s="2552"/>
      <c r="B13" s="2556" t="s">
        <v>2474</v>
      </c>
      <c r="C13" s="511">
        <f>'数据-汇总表'!I6</f>
        <v>5.65</v>
      </c>
      <c r="D13" s="253">
        <v>100</v>
      </c>
      <c r="E13" s="510">
        <v>4.2</v>
      </c>
      <c r="F13" s="253">
        <f>LOOKUP(E13,81:81,82:82)-LOOKUP(C13,81:81,82:82)+100</f>
        <v>102</v>
      </c>
      <c r="G13" s="511">
        <v>3.6</v>
      </c>
      <c r="H13" s="253">
        <f>LOOKUP(G13,81:81,82:82)-LOOKUP(C13,81:81,82:82)+100</f>
        <v>104</v>
      </c>
      <c r="I13" s="510">
        <v>4.2</v>
      </c>
      <c r="J13" s="253">
        <f>LOOKUP(I13,81:81,82:82)-LOOKUP(C13,81:81,82:82)+100</f>
        <v>102</v>
      </c>
      <c r="K13" s="512">
        <v>2</v>
      </c>
      <c r="L13" s="1974"/>
      <c r="M13" s="1966"/>
      <c r="N13" s="1966"/>
      <c r="O13" s="1975"/>
      <c r="P13" s="3671"/>
      <c r="Q13" s="1096" t="str">
        <f t="shared" si="6"/>
        <v>容积率</v>
      </c>
      <c r="R13" s="1456" t="s">
        <v>8</v>
      </c>
      <c r="S13" s="1457">
        <f t="shared" si="0"/>
        <v>102</v>
      </c>
      <c r="T13" s="1456" t="s">
        <v>8</v>
      </c>
      <c r="U13" s="1457">
        <f t="shared" si="1"/>
        <v>104</v>
      </c>
      <c r="V13" s="1456" t="s">
        <v>8</v>
      </c>
      <c r="W13" s="1457">
        <f t="shared" si="2"/>
        <v>102</v>
      </c>
      <c r="X13" s="1458"/>
      <c r="Y13" s="3619"/>
      <c r="Z13" s="1095" t="str">
        <f t="shared" si="7"/>
        <v>容积率</v>
      </c>
      <c r="AA13" s="1459">
        <f t="shared" si="3"/>
        <v>0.98039215686274506</v>
      </c>
      <c r="AB13" s="1459">
        <f t="shared" si="4"/>
        <v>0.96153846153846156</v>
      </c>
      <c r="AC13" s="1459">
        <f t="shared" si="5"/>
        <v>0.98039215686274506</v>
      </c>
    </row>
    <row r="14" spans="1:30" s="1165" customFormat="1" ht="20.25">
      <c r="A14" s="2549"/>
      <c r="B14" s="2558" t="s">
        <v>2475</v>
      </c>
      <c r="C14" s="2545"/>
      <c r="D14" s="515">
        <v>100</v>
      </c>
      <c r="E14" s="1279"/>
      <c r="F14" s="253">
        <f>SUMIF(83:83,E14,84:84)-SUMIF(83:83,C14,84:84)+100</f>
        <v>100</v>
      </c>
      <c r="G14" s="507"/>
      <c r="H14" s="253">
        <f>SUMIF(83:83,G14,84:84)-SUMIF(83:83,C14,84:84)+100</f>
        <v>100</v>
      </c>
      <c r="I14" s="506"/>
      <c r="J14" s="253">
        <f>SUMIF(83:83,I14,84:84)-SUMIF(83:83,C14,84:84)+100</f>
        <v>100</v>
      </c>
      <c r="K14" s="508"/>
      <c r="L14" s="1969"/>
      <c r="M14" s="1966"/>
      <c r="N14" s="1966"/>
      <c r="O14" s="1971"/>
      <c r="P14" s="3671"/>
      <c r="Q14" s="1096" t="str">
        <f t="shared" si="6"/>
        <v>配建</v>
      </c>
      <c r="R14" s="1456" t="s">
        <v>8</v>
      </c>
      <c r="S14" s="1457">
        <f t="shared" si="0"/>
        <v>100</v>
      </c>
      <c r="T14" s="1456" t="s">
        <v>8</v>
      </c>
      <c r="U14" s="1457">
        <f t="shared" si="1"/>
        <v>100</v>
      </c>
      <c r="V14" s="1456" t="s">
        <v>8</v>
      </c>
      <c r="W14" s="1457">
        <f t="shared" si="2"/>
        <v>100</v>
      </c>
      <c r="X14" s="1458"/>
      <c r="Y14" s="3619"/>
      <c r="Z14" s="1095" t="str">
        <f t="shared" si="7"/>
        <v>配建</v>
      </c>
      <c r="AA14" s="1459">
        <f>D14/F14</f>
        <v>1</v>
      </c>
      <c r="AB14" s="1459">
        <f>D14/H14</f>
        <v>1</v>
      </c>
      <c r="AC14" s="1459">
        <f>D14/J14</f>
        <v>1</v>
      </c>
    </row>
    <row r="15" spans="1:30" ht="20.25">
      <c r="A15" s="2553"/>
      <c r="B15" s="2559">
        <v>111</v>
      </c>
      <c r="C15" s="882"/>
      <c r="D15" s="517">
        <v>100</v>
      </c>
      <c r="E15" s="518"/>
      <c r="F15" s="253">
        <f>SUMIF(85:85,E15,86:86)-SUMIF(85:85,C15,86:86)+100</f>
        <v>100</v>
      </c>
      <c r="G15" s="519"/>
      <c r="H15" s="517">
        <f>SUMIF(85:85,G15,86:86)-SUMIF(85:85,C15,86:86)+100</f>
        <v>100</v>
      </c>
      <c r="I15" s="519"/>
      <c r="J15" s="517">
        <f>SUMIF(85:85,I15,86:86)-SUMIF(85:85,C15,86:86)+100</f>
        <v>100</v>
      </c>
      <c r="K15" s="508"/>
      <c r="L15" s="1976"/>
      <c r="M15" s="1966"/>
      <c r="N15" s="1966"/>
      <c r="O15" s="1975"/>
      <c r="P15" s="3671"/>
      <c r="Q15" s="1096">
        <f t="shared" si="6"/>
        <v>111</v>
      </c>
      <c r="R15" s="1456" t="s">
        <v>8</v>
      </c>
      <c r="S15" s="1457">
        <f t="shared" si="0"/>
        <v>100</v>
      </c>
      <c r="T15" s="1456" t="s">
        <v>8</v>
      </c>
      <c r="U15" s="1457">
        <f t="shared" si="1"/>
        <v>100</v>
      </c>
      <c r="V15" s="1456" t="s">
        <v>8</v>
      </c>
      <c r="W15" s="1457">
        <f t="shared" si="2"/>
        <v>100</v>
      </c>
      <c r="X15" s="1458"/>
      <c r="Y15" s="3619"/>
      <c r="Z15" s="1095">
        <f t="shared" si="7"/>
        <v>111</v>
      </c>
      <c r="AA15" s="1459">
        <f>D15/F15</f>
        <v>1</v>
      </c>
      <c r="AB15" s="1459">
        <f>D15/H15</f>
        <v>1</v>
      </c>
      <c r="AC15" s="1459">
        <f>D15/J15</f>
        <v>1</v>
      </c>
    </row>
    <row r="16" spans="1:30" ht="21" thickBot="1">
      <c r="A16" s="2554"/>
      <c r="B16" s="2560">
        <v>111</v>
      </c>
      <c r="C16" s="885"/>
      <c r="D16" s="523">
        <v>100</v>
      </c>
      <c r="E16" s="518"/>
      <c r="F16" s="523">
        <f>SUMIF(87:87,E16,88:88)-SUMIF(87:87,C16,88:88)+100</f>
        <v>100</v>
      </c>
      <c r="G16" s="519"/>
      <c r="H16" s="523">
        <f>SUMIF(87:87,G16,88:88)-SUMIF(87:87,C16,88:88)+100</f>
        <v>100</v>
      </c>
      <c r="I16" s="519"/>
      <c r="J16" s="523">
        <f>SUMIF(87:87,I16,88:88)-SUMIF(87:87,C16,88:88)+100</f>
        <v>100</v>
      </c>
      <c r="K16" s="508"/>
      <c r="L16" s="1976"/>
      <c r="M16" s="1966"/>
      <c r="N16" s="1966"/>
      <c r="O16" s="1975"/>
      <c r="P16" s="3671"/>
      <c r="Q16" s="1096">
        <f t="shared" si="6"/>
        <v>111</v>
      </c>
      <c r="R16" s="1456" t="s">
        <v>8</v>
      </c>
      <c r="S16" s="1457">
        <f t="shared" si="0"/>
        <v>100</v>
      </c>
      <c r="T16" s="1456" t="s">
        <v>8</v>
      </c>
      <c r="U16" s="1457">
        <f t="shared" si="1"/>
        <v>100</v>
      </c>
      <c r="V16" s="1456" t="s">
        <v>8</v>
      </c>
      <c r="W16" s="1457">
        <f t="shared" si="2"/>
        <v>100</v>
      </c>
      <c r="X16" s="1458"/>
      <c r="Y16" s="3619"/>
      <c r="Z16" s="1095">
        <f t="shared" si="7"/>
        <v>111</v>
      </c>
      <c r="AA16" s="1459">
        <f>D16/F16</f>
        <v>1</v>
      </c>
      <c r="AB16" s="1459">
        <f>D16/H16</f>
        <v>1</v>
      </c>
      <c r="AC16" s="1459">
        <f>D16/J16</f>
        <v>1</v>
      </c>
    </row>
    <row r="17" spans="1:29" ht="99.75">
      <c r="A17" s="2546" t="s">
        <v>2470</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c r="L17" s="1976"/>
      <c r="M17" s="1966"/>
      <c r="N17" s="1966"/>
      <c r="O17" s="1975"/>
      <c r="P17" s="3704" t="s">
        <v>523</v>
      </c>
      <c r="Q17" s="1460" t="str">
        <f t="shared" si="6"/>
        <v>居住社区成熟度</v>
      </c>
      <c r="R17" s="1461" t="s">
        <v>8</v>
      </c>
      <c r="S17" s="1462">
        <f t="shared" si="0"/>
        <v>100</v>
      </c>
      <c r="T17" s="1461" t="s">
        <v>8</v>
      </c>
      <c r="U17" s="1462">
        <f t="shared" si="1"/>
        <v>100</v>
      </c>
      <c r="V17" s="1461" t="s">
        <v>8</v>
      </c>
      <c r="W17" s="1462">
        <f t="shared" si="2"/>
        <v>100</v>
      </c>
      <c r="X17" s="1455"/>
      <c r="Y17" s="3704" t="s">
        <v>523</v>
      </c>
      <c r="Z17" s="1463" t="str">
        <f t="shared" si="7"/>
        <v>居住社区成熟度</v>
      </c>
      <c r="AA17" s="1464">
        <f t="shared" si="3"/>
        <v>1</v>
      </c>
      <c r="AB17" s="1464">
        <f t="shared" si="4"/>
        <v>1</v>
      </c>
      <c r="AC17" s="1464">
        <f t="shared" si="5"/>
        <v>1</v>
      </c>
    </row>
    <row r="18" spans="1:29" ht="20.25">
      <c r="A18" s="509"/>
      <c r="B18" s="530"/>
      <c r="C18" s="3470" t="s">
        <v>3387</v>
      </c>
      <c r="D18" s="534"/>
      <c r="E18" s="3464" t="s">
        <v>3387</v>
      </c>
      <c r="F18" s="532"/>
      <c r="G18" s="3474" t="s">
        <v>3387</v>
      </c>
      <c r="H18" s="536"/>
      <c r="I18" s="3464" t="s">
        <v>3387</v>
      </c>
      <c r="J18" s="532"/>
      <c r="K18" s="508"/>
      <c r="L18" s="1976"/>
      <c r="M18" s="1966"/>
      <c r="N18" s="1966"/>
      <c r="O18" s="1975"/>
      <c r="P18" s="3705"/>
      <c r="Q18" s="1460"/>
      <c r="R18" s="1461"/>
      <c r="S18" s="1462"/>
      <c r="T18" s="1461"/>
      <c r="U18" s="1462"/>
      <c r="V18" s="1461"/>
      <c r="W18" s="1462"/>
      <c r="X18" s="1455"/>
      <c r="Y18" s="3705"/>
      <c r="Z18" s="1463"/>
      <c r="AA18" s="1464">
        <v>1</v>
      </c>
      <c r="AB18" s="1464">
        <v>1</v>
      </c>
      <c r="AC18" s="1464">
        <v>1</v>
      </c>
    </row>
    <row r="19" spans="1:29" ht="71.25">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6"/>
      <c r="M19" s="1966"/>
      <c r="N19" s="1966"/>
      <c r="O19" s="1975"/>
      <c r="P19" s="3705"/>
      <c r="Q19" s="1460" t="str">
        <f>B19</f>
        <v>商业繁华度</v>
      </c>
      <c r="R19" s="1461" t="s">
        <v>8</v>
      </c>
      <c r="S19" s="1462">
        <f>F19</f>
        <v>100</v>
      </c>
      <c r="T19" s="1461" t="s">
        <v>8</v>
      </c>
      <c r="U19" s="1462">
        <f>H19</f>
        <v>100</v>
      </c>
      <c r="V19" s="1461" t="s">
        <v>8</v>
      </c>
      <c r="W19" s="1462">
        <f>J19</f>
        <v>100</v>
      </c>
      <c r="X19" s="1455"/>
      <c r="Y19" s="3705"/>
      <c r="Z19" s="1463" t="str">
        <f>Q19</f>
        <v>商业繁华度</v>
      </c>
      <c r="AA19" s="1464">
        <f t="shared" si="3"/>
        <v>1</v>
      </c>
      <c r="AB19" s="1464">
        <f t="shared" si="4"/>
        <v>1</v>
      </c>
      <c r="AC19" s="1464">
        <f t="shared" si="5"/>
        <v>1</v>
      </c>
    </row>
    <row r="20" spans="1:29" ht="20.25">
      <c r="A20" s="509"/>
      <c r="B20" s="543"/>
      <c r="C20" s="3471" t="s">
        <v>3387</v>
      </c>
      <c r="D20" s="540"/>
      <c r="E20" s="3465" t="s">
        <v>3387</v>
      </c>
      <c r="F20" s="536"/>
      <c r="G20" s="3475" t="s">
        <v>3387</v>
      </c>
      <c r="H20" s="532"/>
      <c r="I20" s="3465" t="s">
        <v>3387</v>
      </c>
      <c r="J20" s="532"/>
      <c r="K20" s="508"/>
      <c r="L20" s="1976"/>
      <c r="M20" s="1966"/>
      <c r="N20" s="1966"/>
      <c r="O20" s="1975"/>
      <c r="P20" s="3705"/>
      <c r="Q20" s="1460"/>
      <c r="R20" s="1461"/>
      <c r="S20" s="1462"/>
      <c r="T20" s="1461"/>
      <c r="U20" s="1462"/>
      <c r="V20" s="1461"/>
      <c r="W20" s="1462"/>
      <c r="X20" s="1455"/>
      <c r="Y20" s="3705"/>
      <c r="Z20" s="1463"/>
      <c r="AA20" s="1464">
        <v>1</v>
      </c>
      <c r="AB20" s="1464">
        <v>1</v>
      </c>
      <c r="AC20" s="1464">
        <v>1</v>
      </c>
    </row>
    <row r="21" spans="1:29" ht="71.25">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6"/>
      <c r="M21" s="1966"/>
      <c r="N21" s="1966"/>
      <c r="O21" s="1975"/>
      <c r="P21" s="3705"/>
      <c r="Q21" s="1460" t="str">
        <f>B21</f>
        <v>办公集聚程度</v>
      </c>
      <c r="R21" s="1461" t="s">
        <v>8</v>
      </c>
      <c r="S21" s="1462">
        <f>F21</f>
        <v>100</v>
      </c>
      <c r="T21" s="1461" t="s">
        <v>8</v>
      </c>
      <c r="U21" s="1462">
        <f>H21</f>
        <v>100</v>
      </c>
      <c r="V21" s="1461" t="s">
        <v>8</v>
      </c>
      <c r="W21" s="1462">
        <f>J21</f>
        <v>100</v>
      </c>
      <c r="X21" s="1455"/>
      <c r="Y21" s="3705"/>
      <c r="Z21" s="1463" t="str">
        <f>Q21</f>
        <v>办公集聚程度</v>
      </c>
      <c r="AA21" s="1464">
        <f t="shared" si="3"/>
        <v>1</v>
      </c>
      <c r="AB21" s="1464">
        <f t="shared" si="4"/>
        <v>1</v>
      </c>
      <c r="AC21" s="1464">
        <f t="shared" si="5"/>
        <v>1</v>
      </c>
    </row>
    <row r="22" spans="1:29" ht="20.25">
      <c r="A22" s="509"/>
      <c r="B22" s="543"/>
      <c r="C22" s="531"/>
      <c r="D22" s="534"/>
      <c r="E22" s="535"/>
      <c r="F22" s="532"/>
      <c r="G22" s="533"/>
      <c r="H22" s="532"/>
      <c r="I22" s="535"/>
      <c r="J22" s="532"/>
      <c r="K22" s="508"/>
      <c r="L22" s="1976"/>
      <c r="M22" s="1966"/>
      <c r="N22" s="1966"/>
      <c r="O22" s="1975"/>
      <c r="P22" s="3705"/>
      <c r="Q22" s="1460"/>
      <c r="R22" s="1461"/>
      <c r="S22" s="1462"/>
      <c r="T22" s="1461"/>
      <c r="U22" s="1462"/>
      <c r="V22" s="1461"/>
      <c r="W22" s="1462"/>
      <c r="X22" s="1455"/>
      <c r="Y22" s="3705"/>
      <c r="Z22" s="1463"/>
      <c r="AA22" s="1464">
        <v>1</v>
      </c>
      <c r="AB22" s="1464">
        <v>1</v>
      </c>
      <c r="AC22" s="1464">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c r="L23" s="1976"/>
      <c r="M23" s="1966"/>
      <c r="N23" s="1966"/>
      <c r="O23" s="1975"/>
      <c r="P23" s="3705"/>
      <c r="Q23" s="1460" t="str">
        <f>B23</f>
        <v>交通便捷度</v>
      </c>
      <c r="R23" s="1461" t="s">
        <v>8</v>
      </c>
      <c r="S23" s="1462">
        <f>F23</f>
        <v>100</v>
      </c>
      <c r="T23" s="1461" t="s">
        <v>8</v>
      </c>
      <c r="U23" s="1462">
        <f>H23</f>
        <v>100</v>
      </c>
      <c r="V23" s="1461" t="s">
        <v>8</v>
      </c>
      <c r="W23" s="1462">
        <f>J23</f>
        <v>100</v>
      </c>
      <c r="X23" s="1455"/>
      <c r="Y23" s="3705"/>
      <c r="Z23" s="1463" t="str">
        <f>Q23</f>
        <v>交通便捷度</v>
      </c>
      <c r="AA23" s="1464">
        <f t="shared" si="3"/>
        <v>1</v>
      </c>
      <c r="AB23" s="1464">
        <f t="shared" si="4"/>
        <v>1</v>
      </c>
      <c r="AC23" s="1464">
        <f t="shared" si="5"/>
        <v>1</v>
      </c>
    </row>
    <row r="24" spans="1:29" ht="20.25">
      <c r="A24" s="509"/>
      <c r="B24" s="555"/>
      <c r="C24" s="3470" t="s">
        <v>3387</v>
      </c>
      <c r="D24" s="534"/>
      <c r="E24" s="535" t="s">
        <v>3386</v>
      </c>
      <c r="F24" s="532"/>
      <c r="G24" s="3474" t="s">
        <v>3387</v>
      </c>
      <c r="H24" s="532"/>
      <c r="I24" s="3464" t="s">
        <v>3387</v>
      </c>
      <c r="J24" s="532"/>
      <c r="K24" s="508"/>
      <c r="L24" s="1976"/>
      <c r="M24" s="1966"/>
      <c r="N24" s="1966"/>
      <c r="O24" s="1975"/>
      <c r="P24" s="3705"/>
      <c r="Q24" s="1460"/>
      <c r="R24" s="1461"/>
      <c r="S24" s="1462"/>
      <c r="T24" s="1461"/>
      <c r="U24" s="1462"/>
      <c r="V24" s="1461"/>
      <c r="W24" s="1462"/>
      <c r="X24" s="1455"/>
      <c r="Y24" s="3705"/>
      <c r="Z24" s="1463"/>
      <c r="AA24" s="1464">
        <v>1</v>
      </c>
      <c r="AB24" s="1464">
        <v>1</v>
      </c>
      <c r="AC24" s="1464">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c r="L25" s="1976"/>
      <c r="M25" s="1966"/>
      <c r="N25" s="1966"/>
      <c r="O25" s="1975"/>
      <c r="P25" s="3705"/>
      <c r="Q25" s="1460" t="str">
        <f t="shared" ref="Q25:Q39" si="8">B25</f>
        <v>区域土地利用方向</v>
      </c>
      <c r="R25" s="1461" t="s">
        <v>8</v>
      </c>
      <c r="S25" s="1462">
        <f>F25</f>
        <v>100</v>
      </c>
      <c r="T25" s="1461" t="s">
        <v>8</v>
      </c>
      <c r="U25" s="1462">
        <f>H25</f>
        <v>100</v>
      </c>
      <c r="V25" s="1461" t="s">
        <v>8</v>
      </c>
      <c r="W25" s="1462">
        <f>J25</f>
        <v>100</v>
      </c>
      <c r="X25" s="1455"/>
      <c r="Y25" s="3705"/>
      <c r="Z25" s="1463" t="str">
        <f>Q25</f>
        <v>区域土地利用方向</v>
      </c>
      <c r="AA25" s="1464">
        <f t="shared" si="3"/>
        <v>1</v>
      </c>
      <c r="AB25" s="1464">
        <f t="shared" si="4"/>
        <v>1</v>
      </c>
      <c r="AC25" s="1464">
        <f t="shared" si="5"/>
        <v>1</v>
      </c>
    </row>
    <row r="26" spans="1:29" ht="20.25">
      <c r="A26" s="492"/>
      <c r="B26" s="975"/>
      <c r="C26" s="3470" t="s">
        <v>3387</v>
      </c>
      <c r="D26" s="534"/>
      <c r="E26" s="3464" t="s">
        <v>3387</v>
      </c>
      <c r="F26" s="532"/>
      <c r="G26" s="3474" t="s">
        <v>3387</v>
      </c>
      <c r="H26" s="532"/>
      <c r="I26" s="3464" t="s">
        <v>3387</v>
      </c>
      <c r="J26" s="532"/>
      <c r="K26" s="508"/>
      <c r="L26" s="1976"/>
      <c r="M26" s="1966"/>
      <c r="N26" s="1966"/>
      <c r="O26" s="1975"/>
      <c r="P26" s="3705"/>
      <c r="Q26" s="1460"/>
      <c r="R26" s="1461"/>
      <c r="S26" s="1462"/>
      <c r="T26" s="1461"/>
      <c r="U26" s="1462"/>
      <c r="V26" s="1461"/>
      <c r="W26" s="1462"/>
      <c r="X26" s="1455"/>
      <c r="Y26" s="3705"/>
      <c r="Z26" s="1463"/>
      <c r="AA26" s="1464"/>
      <c r="AB26" s="1464"/>
      <c r="AC26" s="1464"/>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c r="L27" s="1976"/>
      <c r="M27" s="1966"/>
      <c r="N27" s="1966"/>
      <c r="O27" s="1975"/>
      <c r="P27" s="3705"/>
      <c r="Q27" s="1460" t="str">
        <f t="shared" si="8"/>
        <v>自然及人文环境状况</v>
      </c>
      <c r="R27" s="1461" t="s">
        <v>8</v>
      </c>
      <c r="S27" s="1462">
        <f>F27</f>
        <v>100</v>
      </c>
      <c r="T27" s="1461" t="s">
        <v>8</v>
      </c>
      <c r="U27" s="1462">
        <f>H27</f>
        <v>100</v>
      </c>
      <c r="V27" s="1461" t="s">
        <v>8</v>
      </c>
      <c r="W27" s="1462">
        <f>J27</f>
        <v>100</v>
      </c>
      <c r="X27" s="1455"/>
      <c r="Y27" s="3705"/>
      <c r="Z27" s="1463" t="str">
        <f>Q27</f>
        <v>自然及人文环境状况</v>
      </c>
      <c r="AA27" s="1464">
        <f t="shared" si="3"/>
        <v>1</v>
      </c>
      <c r="AB27" s="1464">
        <f t="shared" si="4"/>
        <v>1</v>
      </c>
      <c r="AC27" s="1464">
        <f t="shared" si="5"/>
        <v>1</v>
      </c>
    </row>
    <row r="28" spans="1:29" ht="20.25">
      <c r="A28" s="492"/>
      <c r="B28" s="543"/>
      <c r="C28" s="3470" t="s">
        <v>3387</v>
      </c>
      <c r="D28" s="534"/>
      <c r="E28" s="3466" t="s">
        <v>3387</v>
      </c>
      <c r="F28" s="532"/>
      <c r="G28" s="3470" t="s">
        <v>3387</v>
      </c>
      <c r="H28" s="532"/>
      <c r="I28" s="3466" t="s">
        <v>3396</v>
      </c>
      <c r="J28" s="532"/>
      <c r="K28" s="508"/>
      <c r="L28" s="1976"/>
      <c r="M28" s="1966"/>
      <c r="N28" s="1966"/>
      <c r="O28" s="1975"/>
      <c r="P28" s="3705"/>
      <c r="Q28" s="1460"/>
      <c r="R28" s="1461"/>
      <c r="S28" s="1462"/>
      <c r="T28" s="1461"/>
      <c r="U28" s="1462"/>
      <c r="V28" s="1461"/>
      <c r="W28" s="1462"/>
      <c r="X28" s="1455"/>
      <c r="Y28" s="3705"/>
      <c r="Z28" s="1463"/>
      <c r="AA28" s="1464">
        <v>1</v>
      </c>
      <c r="AB28" s="1464">
        <v>1</v>
      </c>
      <c r="AC28" s="1464">
        <v>1</v>
      </c>
    </row>
    <row r="29" spans="1:29" s="1165" customFormat="1" ht="42.75">
      <c r="A29" s="554"/>
      <c r="B29" s="2355" t="s">
        <v>2265</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c r="L29" s="1969"/>
      <c r="M29" s="1966"/>
      <c r="N29" s="1966"/>
      <c r="O29" s="1971"/>
      <c r="P29" s="3705"/>
      <c r="Q29" s="1096" t="str">
        <f t="shared" si="8"/>
        <v>公共配套设施</v>
      </c>
      <c r="R29" s="1456" t="s">
        <v>8</v>
      </c>
      <c r="S29" s="1457">
        <f>F29</f>
        <v>100</v>
      </c>
      <c r="T29" s="1456" t="s">
        <v>8</v>
      </c>
      <c r="U29" s="1457">
        <f>H29</f>
        <v>100</v>
      </c>
      <c r="V29" s="1456" t="s">
        <v>8</v>
      </c>
      <c r="W29" s="1457">
        <f>J29</f>
        <v>100</v>
      </c>
      <c r="X29" s="1458"/>
      <c r="Y29" s="3705"/>
      <c r="Z29" s="1095" t="str">
        <f>Q29</f>
        <v>公共配套设施</v>
      </c>
      <c r="AA29" s="1464">
        <f>D29/F29</f>
        <v>1</v>
      </c>
      <c r="AB29" s="1464">
        <f>D29/H29</f>
        <v>1</v>
      </c>
      <c r="AC29" s="1464">
        <f>D29/J29</f>
        <v>1</v>
      </c>
    </row>
    <row r="30" spans="1:29" s="1165" customFormat="1" ht="20.25">
      <c r="A30" s="554"/>
      <c r="B30" s="543"/>
      <c r="C30" s="3472" t="s">
        <v>3387</v>
      </c>
      <c r="D30" s="534"/>
      <c r="E30" s="3466" t="s">
        <v>3387</v>
      </c>
      <c r="F30" s="532"/>
      <c r="G30" s="3470" t="s">
        <v>3387</v>
      </c>
      <c r="H30" s="532"/>
      <c r="I30" s="3466" t="s">
        <v>3387</v>
      </c>
      <c r="J30" s="532"/>
      <c r="K30" s="508"/>
      <c r="L30" s="1969"/>
      <c r="M30" s="1966"/>
      <c r="N30" s="1966"/>
      <c r="O30" s="1971"/>
      <c r="P30" s="3705"/>
      <c r="Q30" s="1096"/>
      <c r="R30" s="1456"/>
      <c r="S30" s="1457"/>
      <c r="T30" s="1456"/>
      <c r="U30" s="1457"/>
      <c r="V30" s="1456"/>
      <c r="W30" s="1457"/>
      <c r="X30" s="1458"/>
      <c r="Y30" s="3705"/>
      <c r="Z30" s="1095"/>
      <c r="AA30" s="1464">
        <v>1</v>
      </c>
      <c r="AB30" s="1464">
        <v>1</v>
      </c>
      <c r="AC30" s="1464">
        <v>1</v>
      </c>
    </row>
    <row r="31" spans="1:29" s="1165" customFormat="1" ht="28.5">
      <c r="A31" s="554"/>
      <c r="B31" s="2355" t="s">
        <v>2266</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69"/>
      <c r="M31" s="1966"/>
      <c r="N31" s="1966"/>
      <c r="O31" s="1971"/>
      <c r="P31" s="3705"/>
      <c r="Q31" s="2348" t="str">
        <f t="shared" ref="Q31" si="9">B31</f>
        <v>基础设施水平</v>
      </c>
      <c r="R31" s="1456" t="s">
        <v>8</v>
      </c>
      <c r="S31" s="1457">
        <f>F31</f>
        <v>100</v>
      </c>
      <c r="T31" s="1456" t="s">
        <v>8</v>
      </c>
      <c r="U31" s="1457">
        <f>H31</f>
        <v>100</v>
      </c>
      <c r="V31" s="1456" t="s">
        <v>8</v>
      </c>
      <c r="W31" s="1457">
        <f>J31</f>
        <v>100</v>
      </c>
      <c r="X31" s="1458"/>
      <c r="Y31" s="3705"/>
      <c r="Z31" s="2347" t="str">
        <f>Q31</f>
        <v>基础设施水平</v>
      </c>
      <c r="AA31" s="1464">
        <f>D31/F31</f>
        <v>1</v>
      </c>
      <c r="AB31" s="1464">
        <f>D31/H31</f>
        <v>1</v>
      </c>
      <c r="AC31" s="1464">
        <f>D31/J31</f>
        <v>1</v>
      </c>
    </row>
    <row r="32" spans="1:29" s="1165" customFormat="1" ht="20.25">
      <c r="A32" s="554"/>
      <c r="B32" s="543"/>
      <c r="C32" s="3472" t="s">
        <v>3388</v>
      </c>
      <c r="D32" s="534"/>
      <c r="E32" s="3467" t="s">
        <v>3388</v>
      </c>
      <c r="F32" s="532"/>
      <c r="G32" s="3472" t="s">
        <v>3388</v>
      </c>
      <c r="H32" s="532"/>
      <c r="I32" s="3472" t="s">
        <v>3397</v>
      </c>
      <c r="J32" s="532"/>
      <c r="K32" s="508"/>
      <c r="L32" s="1969"/>
      <c r="M32" s="1966"/>
      <c r="N32" s="1966"/>
      <c r="O32" s="1971"/>
      <c r="P32" s="3705"/>
      <c r="Q32" s="2348"/>
      <c r="R32" s="1456"/>
      <c r="S32" s="1457"/>
      <c r="T32" s="1456"/>
      <c r="U32" s="1457"/>
      <c r="V32" s="1456"/>
      <c r="W32" s="1457"/>
      <c r="X32" s="1458"/>
      <c r="Y32" s="3705"/>
      <c r="Z32" s="2347"/>
      <c r="AA32" s="1464">
        <v>1</v>
      </c>
      <c r="AB32" s="1464">
        <v>1</v>
      </c>
      <c r="AC32" s="1464">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6"/>
      <c r="M33" s="1966"/>
      <c r="N33" s="1966"/>
      <c r="O33" s="1975"/>
      <c r="P33" s="3705"/>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705"/>
      <c r="Z33" s="1463" t="str">
        <f t="shared" ref="Z33:Z47" si="13">Q33</f>
        <v>临街状况</v>
      </c>
      <c r="AA33" s="1464">
        <f t="shared" si="3"/>
        <v>1</v>
      </c>
      <c r="AB33" s="1464">
        <f t="shared" si="4"/>
        <v>1</v>
      </c>
      <c r="AC33" s="1464">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6"/>
      <c r="M34" s="1966"/>
      <c r="N34" s="1966"/>
      <c r="O34" s="1975"/>
      <c r="P34" s="3705"/>
      <c r="Q34" s="1460" t="str">
        <f t="shared" si="8"/>
        <v>毗邻道路的类型与等级</v>
      </c>
      <c r="R34" s="1461" t="s">
        <v>8</v>
      </c>
      <c r="S34" s="1462">
        <f t="shared" si="10"/>
        <v>100</v>
      </c>
      <c r="T34" s="1461" t="s">
        <v>8</v>
      </c>
      <c r="U34" s="1462">
        <f t="shared" si="11"/>
        <v>100</v>
      </c>
      <c r="V34" s="1461" t="s">
        <v>8</v>
      </c>
      <c r="W34" s="1462">
        <f t="shared" si="12"/>
        <v>100</v>
      </c>
      <c r="X34" s="1455"/>
      <c r="Y34" s="3705"/>
      <c r="Z34" s="1463" t="str">
        <f t="shared" si="13"/>
        <v>毗邻道路的类型与等级</v>
      </c>
      <c r="AA34" s="1464">
        <f t="shared" si="3"/>
        <v>1</v>
      </c>
      <c r="AB34" s="1464">
        <f t="shared" si="4"/>
        <v>1</v>
      </c>
      <c r="AC34" s="1464">
        <f t="shared" si="5"/>
        <v>1</v>
      </c>
    </row>
    <row r="35" spans="1:29" ht="20.25">
      <c r="A35" s="509"/>
      <c r="B35" s="543"/>
      <c r="C35" s="531"/>
      <c r="D35" s="534"/>
      <c r="E35" s="553"/>
      <c r="F35" s="532"/>
      <c r="G35" s="531"/>
      <c r="H35" s="532"/>
      <c r="I35" s="553"/>
      <c r="J35" s="532"/>
      <c r="K35" s="558"/>
      <c r="L35" s="1976"/>
      <c r="M35" s="1966"/>
      <c r="N35" s="1966"/>
      <c r="O35" s="1975"/>
      <c r="P35" s="3705"/>
      <c r="Q35" s="1460"/>
      <c r="R35" s="1461"/>
      <c r="S35" s="1462"/>
      <c r="T35" s="1461"/>
      <c r="U35" s="1462"/>
      <c r="V35" s="1461"/>
      <c r="W35" s="1462"/>
      <c r="X35" s="1455"/>
      <c r="Y35" s="3705"/>
      <c r="Z35" s="1463"/>
      <c r="AA35" s="1464">
        <v>1</v>
      </c>
      <c r="AB35" s="1464">
        <v>1</v>
      </c>
      <c r="AC35" s="1464">
        <v>1</v>
      </c>
    </row>
    <row r="36" spans="1:29" ht="20.25">
      <c r="A36" s="509"/>
      <c r="B36" s="559" t="s">
        <v>532</v>
      </c>
      <c r="C36" s="3469" t="s">
        <v>3389</v>
      </c>
      <c r="D36" s="552">
        <v>100</v>
      </c>
      <c r="E36" s="3468" t="s">
        <v>1385</v>
      </c>
      <c r="F36" s="517">
        <f>SUMIF(109:109,E36,110:110)-SUMIF(109:109,C36,110:110)+100</f>
        <v>98</v>
      </c>
      <c r="G36" s="3469" t="s">
        <v>3391</v>
      </c>
      <c r="H36" s="517">
        <f>SUMIF(109:109,G36,110:110)-SUMIF(109:109,C36,110:110)+100</f>
        <v>96</v>
      </c>
      <c r="I36" s="3468" t="s">
        <v>3398</v>
      </c>
      <c r="J36" s="517">
        <f>SUMIF(109:109,I36,110:110)-SUMIF(109:109,C36,110:110)+100</f>
        <v>98</v>
      </c>
      <c r="K36" s="561">
        <v>2</v>
      </c>
      <c r="L36" s="1976"/>
      <c r="M36" s="1966"/>
      <c r="N36" s="1966"/>
      <c r="O36" s="1975"/>
      <c r="P36" s="3705"/>
      <c r="Q36" s="1460" t="str">
        <f t="shared" si="8"/>
        <v>土地级别</v>
      </c>
      <c r="R36" s="1461" t="s">
        <v>8</v>
      </c>
      <c r="S36" s="1462">
        <f t="shared" si="10"/>
        <v>98</v>
      </c>
      <c r="T36" s="1461" t="s">
        <v>8</v>
      </c>
      <c r="U36" s="1462">
        <f t="shared" si="11"/>
        <v>96</v>
      </c>
      <c r="V36" s="1461" t="s">
        <v>8</v>
      </c>
      <c r="W36" s="1462">
        <f t="shared" si="12"/>
        <v>98</v>
      </c>
      <c r="X36" s="1455"/>
      <c r="Y36" s="3705"/>
      <c r="Z36" s="1463" t="str">
        <f t="shared" si="13"/>
        <v>土地级别</v>
      </c>
      <c r="AA36" s="1464">
        <f t="shared" si="3"/>
        <v>1.0204081632653061</v>
      </c>
      <c r="AB36" s="1464">
        <f t="shared" si="4"/>
        <v>1.0416666666666667</v>
      </c>
      <c r="AC36" s="1464">
        <f t="shared" si="5"/>
        <v>1.0204081632653061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6"/>
      <c r="M37" s="1966"/>
      <c r="N37" s="1966"/>
      <c r="O37" s="1975"/>
      <c r="P37" s="3705"/>
      <c r="Q37" s="1460">
        <f t="shared" si="8"/>
        <v>111</v>
      </c>
      <c r="R37" s="1461" t="s">
        <v>8</v>
      </c>
      <c r="S37" s="1462">
        <f t="shared" si="10"/>
        <v>100</v>
      </c>
      <c r="T37" s="1461" t="s">
        <v>8</v>
      </c>
      <c r="U37" s="1462">
        <f t="shared" si="11"/>
        <v>100</v>
      </c>
      <c r="V37" s="1461" t="s">
        <v>8</v>
      </c>
      <c r="W37" s="1462">
        <f t="shared" si="12"/>
        <v>100</v>
      </c>
      <c r="X37" s="1455"/>
      <c r="Y37" s="3705"/>
      <c r="Z37" s="1463">
        <f t="shared" si="13"/>
        <v>111</v>
      </c>
      <c r="AA37" s="1464">
        <f t="shared" si="3"/>
        <v>1</v>
      </c>
      <c r="AB37" s="1464">
        <f t="shared" si="4"/>
        <v>1</v>
      </c>
      <c r="AC37" s="1464">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6"/>
      <c r="M38" s="1966"/>
      <c r="N38" s="1966"/>
      <c r="O38" s="1975"/>
      <c r="P38" s="3706" t="s">
        <v>533</v>
      </c>
      <c r="Q38" s="1460">
        <f t="shared" si="8"/>
        <v>111</v>
      </c>
      <c r="R38" s="1461" t="s">
        <v>8</v>
      </c>
      <c r="S38" s="1462">
        <f t="shared" si="10"/>
        <v>100</v>
      </c>
      <c r="T38" s="1461" t="s">
        <v>8</v>
      </c>
      <c r="U38" s="1462">
        <f t="shared" si="11"/>
        <v>100</v>
      </c>
      <c r="V38" s="1461" t="s">
        <v>8</v>
      </c>
      <c r="W38" s="1462">
        <f t="shared" si="12"/>
        <v>100</v>
      </c>
      <c r="X38" s="1455"/>
      <c r="Y38" s="3707" t="s">
        <v>533</v>
      </c>
      <c r="Z38" s="1463">
        <f t="shared" si="13"/>
        <v>111</v>
      </c>
      <c r="AA38" s="1464">
        <f t="shared" si="3"/>
        <v>1</v>
      </c>
      <c r="AB38" s="1464">
        <f t="shared" si="4"/>
        <v>1</v>
      </c>
      <c r="AC38" s="1464">
        <f t="shared" si="5"/>
        <v>1</v>
      </c>
    </row>
    <row r="39" spans="1:29" s="1247"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4"/>
      <c r="M39" s="1966"/>
      <c r="N39" s="1966"/>
      <c r="O39" s="1977"/>
      <c r="P39" s="3707"/>
      <c r="Q39" s="1460">
        <f t="shared" si="8"/>
        <v>111</v>
      </c>
      <c r="R39" s="1465" t="s">
        <v>8</v>
      </c>
      <c r="S39" s="1466">
        <f t="shared" si="10"/>
        <v>100</v>
      </c>
      <c r="T39" s="1465" t="s">
        <v>8</v>
      </c>
      <c r="U39" s="1466">
        <f t="shared" si="11"/>
        <v>100</v>
      </c>
      <c r="V39" s="1465" t="s">
        <v>8</v>
      </c>
      <c r="W39" s="1466">
        <f t="shared" si="12"/>
        <v>100</v>
      </c>
      <c r="X39" s="1467"/>
      <c r="Y39" s="3707"/>
      <c r="Z39" s="1468">
        <f t="shared" si="13"/>
        <v>111</v>
      </c>
      <c r="AA39" s="1464">
        <f t="shared" si="3"/>
        <v>1</v>
      </c>
      <c r="AB39" s="1464">
        <f t="shared" si="4"/>
        <v>1</v>
      </c>
      <c r="AC39" s="1464">
        <f t="shared" si="5"/>
        <v>1</v>
      </c>
    </row>
    <row r="40" spans="1:29" ht="20.25">
      <c r="A40" s="2544" t="s">
        <v>2471</v>
      </c>
      <c r="B40" s="572" t="s">
        <v>535</v>
      </c>
      <c r="C40" s="573">
        <f>'数据-基础表'!A3</f>
        <v>23308.880000000001</v>
      </c>
      <c r="D40" s="574">
        <v>100</v>
      </c>
      <c r="E40" s="573">
        <f>土地案例!D61</f>
        <v>44426.7</v>
      </c>
      <c r="F40" s="574">
        <f>LOOKUP(E40,118:118,119:119)-LOOKUP(C40,118:118,119:119)+100</f>
        <v>104</v>
      </c>
      <c r="G40" s="573">
        <f>土地案例!D31</f>
        <v>33558.800000000003</v>
      </c>
      <c r="H40" s="574">
        <f>LOOKUP(G40,118:118,119:119)-LOOKUP(C40,118:118,119:119)+100</f>
        <v>102</v>
      </c>
      <c r="I40" s="575">
        <f>土地案例!D63</f>
        <v>16694.240000000002</v>
      </c>
      <c r="J40" s="574">
        <f>LOOKUP(I40,118:118,119:119)-LOOKUP(C40,118:118,119:119)+100</f>
        <v>98</v>
      </c>
      <c r="K40" s="558"/>
      <c r="L40" s="1976"/>
      <c r="M40" s="1966"/>
      <c r="N40" s="1966"/>
      <c r="O40" s="1975"/>
      <c r="P40" s="3707"/>
      <c r="Q40" s="1460" t="str">
        <f>B40</f>
        <v>宗地面积</v>
      </c>
      <c r="R40" s="1461" t="s">
        <v>8</v>
      </c>
      <c r="S40" s="1462">
        <f t="shared" si="10"/>
        <v>104</v>
      </c>
      <c r="T40" s="1461" t="s">
        <v>8</v>
      </c>
      <c r="U40" s="1462">
        <f t="shared" si="11"/>
        <v>102</v>
      </c>
      <c r="V40" s="1461" t="s">
        <v>8</v>
      </c>
      <c r="W40" s="1462">
        <f t="shared" si="12"/>
        <v>98</v>
      </c>
      <c r="X40" s="1455"/>
      <c r="Y40" s="3707"/>
      <c r="Z40" s="1463" t="str">
        <f t="shared" si="13"/>
        <v>宗地面积</v>
      </c>
      <c r="AA40" s="1464">
        <f t="shared" si="3"/>
        <v>0.96153846153846156</v>
      </c>
      <c r="AB40" s="1464">
        <f t="shared" si="4"/>
        <v>0.98039215686274506</v>
      </c>
      <c r="AC40" s="1464">
        <f t="shared" si="5"/>
        <v>1.0204081632653061</v>
      </c>
    </row>
    <row r="41" spans="1:29" ht="20.25">
      <c r="A41" s="571"/>
      <c r="B41" s="504" t="s">
        <v>536</v>
      </c>
      <c r="C41" s="576"/>
      <c r="D41" s="517">
        <v>100</v>
      </c>
      <c r="E41" s="576"/>
      <c r="F41" s="517">
        <f>SUMIF(120:120,E41,121:121)-SUMIF(120:120,C41,121:121)+100</f>
        <v>100</v>
      </c>
      <c r="G41" s="576"/>
      <c r="H41" s="517">
        <f>SUMIF(120:120,G41,121:121)-SUMIF(120:120,C41,121:121)+100</f>
        <v>100</v>
      </c>
      <c r="I41" s="576"/>
      <c r="J41" s="517">
        <f>SUMIF(120:120,I41,121:121)-SUMIF(120:120,C41,121:121)+100</f>
        <v>100</v>
      </c>
      <c r="K41" s="561"/>
      <c r="L41" s="1976"/>
      <c r="M41" s="1966"/>
      <c r="N41" s="1966"/>
      <c r="O41" s="1975"/>
      <c r="P41" s="3707"/>
      <c r="Q41" s="1460" t="str">
        <f t="shared" ref="Q41:Q47" si="14">B41</f>
        <v>宗地形状</v>
      </c>
      <c r="R41" s="1461" t="s">
        <v>8</v>
      </c>
      <c r="S41" s="1462">
        <f t="shared" si="10"/>
        <v>100</v>
      </c>
      <c r="T41" s="1461" t="s">
        <v>8</v>
      </c>
      <c r="U41" s="1462">
        <f t="shared" si="11"/>
        <v>100</v>
      </c>
      <c r="V41" s="1461" t="s">
        <v>8</v>
      </c>
      <c r="W41" s="1462">
        <f t="shared" si="12"/>
        <v>100</v>
      </c>
      <c r="X41" s="1455"/>
      <c r="Y41" s="3707"/>
      <c r="Z41" s="1463" t="str">
        <f t="shared" si="13"/>
        <v>宗地形状</v>
      </c>
      <c r="AA41" s="1464">
        <f t="shared" si="3"/>
        <v>1</v>
      </c>
      <c r="AB41" s="1464">
        <f t="shared" si="4"/>
        <v>1</v>
      </c>
      <c r="AC41" s="1464">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6"/>
      <c r="M42" s="1966"/>
      <c r="N42" s="1966"/>
      <c r="O42" s="1975"/>
      <c r="P42" s="3707"/>
      <c r="Q42" s="1460" t="str">
        <f t="shared" si="14"/>
        <v>临街宽度及深度</v>
      </c>
      <c r="R42" s="1461" t="s">
        <v>8</v>
      </c>
      <c r="S42" s="1462">
        <f t="shared" si="10"/>
        <v>100</v>
      </c>
      <c r="T42" s="1461" t="s">
        <v>8</v>
      </c>
      <c r="U42" s="1462">
        <f t="shared" si="11"/>
        <v>100</v>
      </c>
      <c r="V42" s="1461" t="s">
        <v>8</v>
      </c>
      <c r="W42" s="1462">
        <f t="shared" si="12"/>
        <v>100</v>
      </c>
      <c r="X42" s="1455"/>
      <c r="Y42" s="3707"/>
      <c r="Z42" s="1463" t="str">
        <f t="shared" si="13"/>
        <v>临街宽度及深度</v>
      </c>
      <c r="AA42" s="1464">
        <f t="shared" si="3"/>
        <v>1</v>
      </c>
      <c r="AB42" s="1464">
        <f t="shared" si="4"/>
        <v>1</v>
      </c>
      <c r="AC42" s="1464">
        <f t="shared" si="5"/>
        <v>1</v>
      </c>
    </row>
    <row r="43" spans="1:29" s="1165" customFormat="1" ht="20.25">
      <c r="A43" s="577"/>
      <c r="B43" s="1762" t="s">
        <v>2210</v>
      </c>
      <c r="C43" s="3476" t="s">
        <v>3392</v>
      </c>
      <c r="D43" s="253">
        <v>100</v>
      </c>
      <c r="E43" s="3476" t="s">
        <v>3393</v>
      </c>
      <c r="F43" s="517">
        <f>SUMIF(124:124,E43,125:125)-SUMIF(124:124,C43,125:125)+100</f>
        <v>96</v>
      </c>
      <c r="G43" s="3476" t="s">
        <v>3394</v>
      </c>
      <c r="H43" s="517">
        <f>SUMIF(124:124,G43,125:125)-SUMIF(124:124,C43,125:125)+100</f>
        <v>100</v>
      </c>
      <c r="I43" s="3476" t="s">
        <v>3393</v>
      </c>
      <c r="J43" s="517">
        <f>SUMIF(124:124,I43,125:125)-SUMIF(124:124,C43,125:125)+100</f>
        <v>96</v>
      </c>
      <c r="K43" s="561">
        <v>2</v>
      </c>
      <c r="L43" s="1969"/>
      <c r="M43" s="1966"/>
      <c r="N43" s="1966"/>
      <c r="O43" s="1971"/>
      <c r="P43" s="3707"/>
      <c r="Q43" s="1460" t="str">
        <f t="shared" si="14"/>
        <v>宗地开发程度</v>
      </c>
      <c r="R43" s="1456" t="s">
        <v>8</v>
      </c>
      <c r="S43" s="1457">
        <f t="shared" si="10"/>
        <v>96</v>
      </c>
      <c r="T43" s="1456" t="s">
        <v>8</v>
      </c>
      <c r="U43" s="1457">
        <f t="shared" si="11"/>
        <v>100</v>
      </c>
      <c r="V43" s="1456" t="s">
        <v>8</v>
      </c>
      <c r="W43" s="1457">
        <f t="shared" si="12"/>
        <v>96</v>
      </c>
      <c r="X43" s="1458"/>
      <c r="Y43" s="3707"/>
      <c r="Z43" s="1095" t="str">
        <f t="shared" si="13"/>
        <v>宗地开发程度</v>
      </c>
      <c r="AA43" s="1459">
        <f t="shared" si="3"/>
        <v>1.0416666666666667</v>
      </c>
      <c r="AB43" s="1459">
        <f t="shared" si="4"/>
        <v>1</v>
      </c>
      <c r="AC43" s="1459">
        <f t="shared" si="5"/>
        <v>1.0416666666666667</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6"/>
      <c r="M44" s="1966"/>
      <c r="N44" s="1966"/>
      <c r="O44" s="1975"/>
      <c r="P44" s="3707" t="s">
        <v>533</v>
      </c>
      <c r="Q44" s="1460" t="str">
        <f t="shared" si="14"/>
        <v>工程地质条件</v>
      </c>
      <c r="R44" s="1461" t="s">
        <v>8</v>
      </c>
      <c r="S44" s="1462">
        <f t="shared" si="10"/>
        <v>100</v>
      </c>
      <c r="T44" s="1461" t="s">
        <v>8</v>
      </c>
      <c r="U44" s="1462">
        <f t="shared" si="11"/>
        <v>100</v>
      </c>
      <c r="V44" s="1461" t="s">
        <v>8</v>
      </c>
      <c r="W44" s="1462">
        <f t="shared" si="12"/>
        <v>100</v>
      </c>
      <c r="X44" s="1455"/>
      <c r="Y44" s="3707" t="s">
        <v>533</v>
      </c>
      <c r="Z44" s="1463" t="str">
        <f t="shared" si="13"/>
        <v>工程地质条件</v>
      </c>
      <c r="AA44" s="1464">
        <f t="shared" si="3"/>
        <v>1</v>
      </c>
      <c r="AB44" s="1464">
        <f t="shared" si="4"/>
        <v>1</v>
      </c>
      <c r="AC44" s="1464">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6"/>
      <c r="M45" s="1966"/>
      <c r="N45" s="1966"/>
      <c r="O45" s="1975"/>
      <c r="P45" s="3707"/>
      <c r="Q45" s="1460">
        <f t="shared" si="14"/>
        <v>111</v>
      </c>
      <c r="R45" s="1461" t="s">
        <v>8</v>
      </c>
      <c r="S45" s="1462">
        <f t="shared" si="10"/>
        <v>100</v>
      </c>
      <c r="T45" s="1461" t="s">
        <v>8</v>
      </c>
      <c r="U45" s="1462">
        <f t="shared" si="11"/>
        <v>100</v>
      </c>
      <c r="V45" s="1461" t="s">
        <v>8</v>
      </c>
      <c r="W45" s="1462">
        <f t="shared" si="12"/>
        <v>100</v>
      </c>
      <c r="X45" s="1455"/>
      <c r="Y45" s="3707"/>
      <c r="Z45" s="1463">
        <f t="shared" si="13"/>
        <v>111</v>
      </c>
      <c r="AA45" s="1464">
        <f t="shared" si="3"/>
        <v>1</v>
      </c>
      <c r="AB45" s="1464">
        <f t="shared" si="4"/>
        <v>1</v>
      </c>
      <c r="AC45" s="1464">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6"/>
      <c r="M46" s="1966"/>
      <c r="N46" s="1966"/>
      <c r="O46" s="1975"/>
      <c r="P46" s="3707"/>
      <c r="Q46" s="1460">
        <f t="shared" si="14"/>
        <v>111</v>
      </c>
      <c r="R46" s="1461" t="s">
        <v>8</v>
      </c>
      <c r="S46" s="1462">
        <f t="shared" si="10"/>
        <v>100</v>
      </c>
      <c r="T46" s="1461" t="s">
        <v>8</v>
      </c>
      <c r="U46" s="1462">
        <f t="shared" si="11"/>
        <v>100</v>
      </c>
      <c r="V46" s="1461" t="s">
        <v>8</v>
      </c>
      <c r="W46" s="1462">
        <f t="shared" si="12"/>
        <v>100</v>
      </c>
      <c r="X46" s="1455"/>
      <c r="Y46" s="3707"/>
      <c r="Z46" s="1463">
        <f t="shared" si="13"/>
        <v>111</v>
      </c>
      <c r="AA46" s="1464">
        <f t="shared" si="3"/>
        <v>1</v>
      </c>
      <c r="AB46" s="1464">
        <f t="shared" si="4"/>
        <v>1</v>
      </c>
      <c r="AC46" s="1464">
        <f t="shared" si="5"/>
        <v>1</v>
      </c>
    </row>
    <row r="47" spans="1:29" s="1247"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4"/>
      <c r="M47" s="1966"/>
      <c r="N47" s="1966"/>
      <c r="O47" s="1977"/>
      <c r="P47" s="3707"/>
      <c r="Q47" s="1460">
        <f t="shared" si="14"/>
        <v>111</v>
      </c>
      <c r="R47" s="1465" t="s">
        <v>8</v>
      </c>
      <c r="S47" s="1466">
        <f t="shared" si="10"/>
        <v>100</v>
      </c>
      <c r="T47" s="1465" t="s">
        <v>8</v>
      </c>
      <c r="U47" s="1466">
        <f t="shared" si="11"/>
        <v>100</v>
      </c>
      <c r="V47" s="1465" t="s">
        <v>8</v>
      </c>
      <c r="W47" s="1466">
        <f t="shared" si="12"/>
        <v>100</v>
      </c>
      <c r="X47" s="1467"/>
      <c r="Y47" s="3707"/>
      <c r="Z47" s="1468">
        <f t="shared" si="13"/>
        <v>111</v>
      </c>
      <c r="AA47" s="1464">
        <f t="shared" si="3"/>
        <v>1</v>
      </c>
      <c r="AB47" s="1464">
        <f t="shared" si="4"/>
        <v>1</v>
      </c>
      <c r="AC47" s="1464">
        <f t="shared" si="5"/>
        <v>1</v>
      </c>
    </row>
    <row r="48" spans="1:29" ht="20.25">
      <c r="A48" s="584" t="s">
        <v>539</v>
      </c>
      <c r="B48" s="585" t="s">
        <v>3470</v>
      </c>
      <c r="C48" s="586" t="s">
        <v>1</v>
      </c>
      <c r="D48" s="587"/>
      <c r="E48" s="588">
        <v>3576</v>
      </c>
      <c r="F48" s="589"/>
      <c r="G48" s="590">
        <v>3778</v>
      </c>
      <c r="H48" s="591"/>
      <c r="I48" s="588">
        <v>3583</v>
      </c>
      <c r="J48" s="591"/>
      <c r="K48" s="1248"/>
      <c r="L48" s="1978"/>
      <c r="M48" s="1966"/>
      <c r="N48" s="1966"/>
      <c r="O48" s="1979"/>
      <c r="P48" s="3671" t="str">
        <f>A48</f>
        <v>成交单价</v>
      </c>
      <c r="Q48" s="3671"/>
      <c r="R48" s="3672">
        <f>E48</f>
        <v>3576</v>
      </c>
      <c r="S48" s="3672"/>
      <c r="T48" s="3672">
        <f>G48</f>
        <v>3778</v>
      </c>
      <c r="U48" s="3672"/>
      <c r="V48" s="3672">
        <f>I48</f>
        <v>3583</v>
      </c>
      <c r="W48" s="3672"/>
      <c r="X48" s="1450"/>
      <c r="Y48" s="1469"/>
      <c r="Z48" s="1450"/>
      <c r="AA48" s="1450"/>
      <c r="AB48" s="1450"/>
      <c r="AC48" s="1450"/>
    </row>
    <row r="49" spans="1:29" ht="21" thickBot="1">
      <c r="A49" s="592" t="s">
        <v>2409</v>
      </c>
      <c r="B49" s="593"/>
      <c r="C49" s="594">
        <f>R50</f>
        <v>3813</v>
      </c>
      <c r="D49" s="2919" t="s">
        <v>2701</v>
      </c>
      <c r="E49" s="594">
        <f>R49</f>
        <v>3717</v>
      </c>
      <c r="F49" s="2920"/>
      <c r="G49" s="595">
        <f>T49</f>
        <v>3769</v>
      </c>
      <c r="H49" s="2920"/>
      <c r="I49" s="594">
        <f>V49</f>
        <v>3953</v>
      </c>
      <c r="J49" s="2920"/>
      <c r="K49" s="2921">
        <f>F49+H49+J49</f>
        <v>0</v>
      </c>
      <c r="L49" s="1978"/>
      <c r="M49" s="1966"/>
      <c r="N49" s="1966"/>
      <c r="O49" s="1979"/>
      <c r="P49" s="3671" t="str">
        <f>A49</f>
        <v>比较价格（元/平方米）</v>
      </c>
      <c r="Q49" s="3671"/>
      <c r="R49" s="3673">
        <f>ROUND(PRODUCT(R48,AA9:AA47),0)</f>
        <v>3717</v>
      </c>
      <c r="S49" s="3673"/>
      <c r="T49" s="3673">
        <f>ROUND(PRODUCT(T48,AB9:AB47),0)</f>
        <v>3769</v>
      </c>
      <c r="U49" s="3673"/>
      <c r="V49" s="3673">
        <f>ROUND(PRODUCT(V48,AC9:AC47),0)</f>
        <v>3953</v>
      </c>
      <c r="W49" s="3673"/>
      <c r="X49" s="1450"/>
      <c r="Y49" s="1450"/>
      <c r="Z49" s="1450"/>
      <c r="AA49" s="1450"/>
      <c r="AB49" s="1450"/>
      <c r="AC49" s="1450"/>
    </row>
    <row r="50" spans="1:29" ht="21" thickBot="1">
      <c r="A50" s="596" t="s">
        <v>2636</v>
      </c>
      <c r="B50" s="597"/>
      <c r="C50" s="598">
        <f>R50</f>
        <v>3813</v>
      </c>
      <c r="D50" s="598"/>
      <c r="E50" s="598"/>
      <c r="F50" s="598"/>
      <c r="G50" s="598"/>
      <c r="H50" s="598"/>
      <c r="I50" s="598"/>
      <c r="J50" s="598"/>
      <c r="K50" s="1249"/>
      <c r="L50" s="1978"/>
      <c r="M50" s="1966"/>
      <c r="N50" s="1966"/>
      <c r="O50" s="1979"/>
      <c r="P50" s="3708" t="str">
        <f>A50</f>
        <v>估价对象XX用房的比较价格（楼面单价，元/平方米）</v>
      </c>
      <c r="Q50" s="3709"/>
      <c r="R50" s="3670">
        <f>ROUND(IF(D49="简单平均",AVERAGE(R49:W49),R49*F49+T49*H49+V49*J49),0)</f>
        <v>3813</v>
      </c>
      <c r="S50" s="3670"/>
      <c r="T50" s="3670"/>
      <c r="U50" s="3670"/>
      <c r="V50" s="3670"/>
      <c r="W50" s="3670"/>
      <c r="X50" s="1450"/>
      <c r="Y50" s="1450"/>
      <c r="Z50" s="1450"/>
      <c r="AA50" s="1450"/>
      <c r="AB50" s="1450"/>
      <c r="AC50" s="1450"/>
    </row>
    <row r="51" spans="1:29" ht="20.25">
      <c r="A51" s="3119"/>
      <c r="B51" s="3119"/>
      <c r="C51" s="3119"/>
      <c r="D51" s="3119"/>
      <c r="E51" s="3119"/>
      <c r="F51" s="3119"/>
      <c r="G51" s="3121"/>
      <c r="H51" s="3119"/>
      <c r="I51" s="3119"/>
      <c r="J51" s="3119"/>
      <c r="K51" s="3122"/>
      <c r="L51" s="1983"/>
      <c r="M51" s="1966"/>
      <c r="N51" s="1966"/>
      <c r="O51" s="1979"/>
      <c r="P51" s="1979"/>
      <c r="Q51" s="1979"/>
      <c r="R51" s="1979"/>
      <c r="S51" s="1979"/>
      <c r="T51" s="1979"/>
      <c r="U51" s="1979"/>
      <c r="V51" s="1979"/>
      <c r="W51" s="1979"/>
      <c r="X51" s="1979"/>
      <c r="Y51" s="1979"/>
      <c r="Z51" s="1979"/>
      <c r="AA51" s="1979"/>
      <c r="AB51" s="1979"/>
      <c r="AC51" s="1979"/>
    </row>
    <row r="52" spans="1:29" ht="20.25">
      <c r="A52" s="3119"/>
      <c r="B52" s="3119"/>
      <c r="C52" s="3119"/>
      <c r="D52" s="3119"/>
      <c r="E52" s="3119"/>
      <c r="F52" s="3119"/>
      <c r="G52" s="3119"/>
      <c r="H52" s="3119"/>
      <c r="I52" s="3119"/>
      <c r="J52" s="3119"/>
      <c r="K52" s="3122"/>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540</v>
      </c>
      <c r="D53" s="600"/>
      <c r="E53" s="601">
        <f>IF(E48&lt;E49,E49/E48-1,E48/E49-1)</f>
        <v>3.9429530201342322E-2</v>
      </c>
      <c r="F53" s="602" t="str">
        <f>IF(OR(E53&gt;=0.3,E53&lt;=-0.3),"超过30%","")</f>
        <v/>
      </c>
      <c r="G53" s="601">
        <f>IF(G48&lt;G49,G49/G48-1,G48/G49-1)</f>
        <v>2.3879013000795979E-3</v>
      </c>
      <c r="H53" s="602" t="str">
        <f>IF(OR(G53&gt;=0.3,G53&lt;=-0.3),"超过30%","")</f>
        <v/>
      </c>
      <c r="I53" s="601">
        <f>IF(I48&lt;I49,I49/I48-1,I48/I49-1)</f>
        <v>0.10326542003907346</v>
      </c>
      <c r="J53" s="602" t="str">
        <f>IF(OR(I53&gt;=0.3,I53&lt;=-0.3),"超过30%","")</f>
        <v/>
      </c>
      <c r="K53" s="3122"/>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19"/>
      <c r="B54" s="3119"/>
      <c r="C54" s="599" t="s">
        <v>541</v>
      </c>
      <c r="D54" s="603"/>
      <c r="E54" s="601">
        <f>IF(E49&lt;G49,G49/E49-1,E49/G49-1)</f>
        <v>1.3989776701641032E-2</v>
      </c>
      <c r="F54" s="602" t="str">
        <f>IF(OR(E54&gt;=0.2,E54&lt;=-0.2),"超过20%","")</f>
        <v/>
      </c>
      <c r="G54" s="601">
        <f>IF(G49&lt;I49,I49/G49-1,G49/I49-1)</f>
        <v>4.8819315468293878E-2</v>
      </c>
      <c r="H54" s="602" t="str">
        <f>IF(OR(G54&gt;=0.2,G54&lt;=-0.2),"超过20%","")</f>
        <v/>
      </c>
      <c r="I54" s="601">
        <f>IF(I49&lt;E49,E49/I49-1,I49/E49-1)</f>
        <v>6.3492063492063489E-2</v>
      </c>
      <c r="J54" s="602" t="str">
        <f>IF(OR(I54&gt;=0.2,I54&lt;=-0.2),"超过20%","")</f>
        <v/>
      </c>
      <c r="K54" s="3122"/>
      <c r="L54" s="1983"/>
      <c r="M54" s="1966"/>
      <c r="N54" s="1966"/>
      <c r="O54" s="1979"/>
      <c r="P54" s="1979"/>
      <c r="Q54" s="1979"/>
      <c r="R54" s="1979"/>
      <c r="S54" s="1979"/>
      <c r="T54" s="1979"/>
      <c r="U54" s="1979"/>
      <c r="V54" s="1979"/>
      <c r="W54" s="1979"/>
      <c r="X54" s="1979"/>
      <c r="Y54" s="1979"/>
      <c r="Z54" s="1979"/>
      <c r="AA54" s="1979"/>
      <c r="AB54" s="1979"/>
      <c r="AC54" s="1979"/>
    </row>
    <row r="55" spans="1:29" s="1252" customFormat="1" ht="13.5" customHeight="1">
      <c r="A55" s="3120"/>
      <c r="B55" s="3120"/>
      <c r="C55" s="599" t="s">
        <v>542</v>
      </c>
      <c r="D55" s="603"/>
      <c r="E55" s="601">
        <f>IF(E48&lt;G48,G48/E48-1,E48/G48-1)</f>
        <v>5.6487695749440681E-2</v>
      </c>
      <c r="F55" s="602" t="str">
        <f>IF(OR(E55&gt;=0.3,E55&lt;=-0.3),"超过30%","")</f>
        <v/>
      </c>
      <c r="G55" s="601">
        <f>IF(G48&lt;I48,I48/G48-1,G48/I48-1)</f>
        <v>5.4423667317889945E-2</v>
      </c>
      <c r="H55" s="602" t="str">
        <f>IF(OR(G55&gt;=0.3,G55&lt;=-0.3),"超过30%","")</f>
        <v/>
      </c>
      <c r="I55" s="601">
        <f>IF(I48&lt;E48,E48/I48-1,I48/E48-1)</f>
        <v>1.9574944071587552E-3</v>
      </c>
      <c r="J55" s="602" t="str">
        <f>IF(OR(I55&gt;=0.3,I55&lt;=-0.3),"超过30%","")</f>
        <v/>
      </c>
      <c r="K55" s="3123"/>
      <c r="L55" s="1986"/>
      <c r="M55" s="1966"/>
      <c r="N55" s="1966"/>
      <c r="O55" s="1980"/>
      <c r="P55" s="1980"/>
      <c r="Q55" s="1980"/>
      <c r="R55" s="1980"/>
      <c r="S55" s="1980"/>
      <c r="T55" s="1980"/>
      <c r="U55" s="1980"/>
      <c r="V55" s="1980"/>
      <c r="W55" s="1980"/>
      <c r="X55" s="1980"/>
      <c r="Y55" s="1980"/>
      <c r="Z55" s="1980"/>
      <c r="AA55" s="1980"/>
      <c r="AB55" s="1980"/>
      <c r="AC55" s="1980"/>
    </row>
    <row r="56" spans="1:29" s="1252" customFormat="1" ht="21" thickBot="1">
      <c r="A56" s="1980"/>
      <c r="B56" s="1981"/>
      <c r="C56" s="1984"/>
      <c r="D56" s="1980"/>
      <c r="E56" s="1980"/>
      <c r="F56" s="1980"/>
      <c r="G56" s="1980"/>
      <c r="H56" s="1980"/>
      <c r="I56" s="1980"/>
      <c r="J56" s="1980"/>
      <c r="K56" s="3123"/>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4" t="s">
        <v>543</v>
      </c>
      <c r="B57" s="605" t="s">
        <v>544</v>
      </c>
      <c r="C57" s="1451" t="s">
        <v>1523</v>
      </c>
      <c r="D57" s="2059" t="s">
        <v>2082</v>
      </c>
      <c r="E57" s="606" t="s">
        <v>545</v>
      </c>
      <c r="F57" s="607" t="s">
        <v>546</v>
      </c>
      <c r="G57" s="3697" t="s">
        <v>2071</v>
      </c>
      <c r="H57" s="3698"/>
      <c r="I57" s="1447" t="s">
        <v>1521</v>
      </c>
      <c r="J57" s="1447">
        <f>项目基本情况!F41</f>
        <v>0</v>
      </c>
      <c r="K57" s="1987" t="s">
        <v>1522</v>
      </c>
      <c r="L57" s="1983"/>
      <c r="M57" s="1979"/>
      <c r="N57" s="1979"/>
      <c r="O57" s="1979"/>
      <c r="P57" s="1979"/>
      <c r="Q57" s="1979"/>
      <c r="R57" s="1979"/>
      <c r="S57" s="1979"/>
      <c r="T57" s="1979"/>
      <c r="U57" s="1979"/>
      <c r="V57" s="1979"/>
      <c r="W57" s="1979"/>
      <c r="X57" s="1979"/>
      <c r="Y57" s="1979"/>
      <c r="Z57" s="1979"/>
      <c r="AA57" s="1979"/>
      <c r="AB57" s="1979"/>
      <c r="AC57" s="1979"/>
    </row>
    <row r="58" spans="1:29" s="1253" customFormat="1" ht="12.75">
      <c r="A58" s="608" t="s">
        <v>547</v>
      </c>
      <c r="B58" s="609">
        <f>C50</f>
        <v>3813</v>
      </c>
      <c r="C58" s="610">
        <v>1</v>
      </c>
      <c r="D58" s="2060">
        <v>1</v>
      </c>
      <c r="E58" s="610">
        <f>'数据-汇总表'!E8+'数据-汇总表'!E9</f>
        <v>126110.45999999999</v>
      </c>
      <c r="F58" s="611">
        <f t="shared" ref="F58:F66" si="15">ROUND(B58*E58/10000,0)</f>
        <v>48086</v>
      </c>
      <c r="G58" s="3699"/>
      <c r="H58" s="3700"/>
      <c r="I58" s="1448">
        <v>1</v>
      </c>
      <c r="J58" s="1448">
        <v>1</v>
      </c>
      <c r="K58" s="3124"/>
      <c r="L58" s="1988"/>
      <c r="M58" s="1988"/>
      <c r="N58" s="1988"/>
      <c r="O58" s="1988"/>
      <c r="P58" s="1988"/>
      <c r="Q58" s="1988"/>
      <c r="R58" s="1988"/>
      <c r="S58" s="1988"/>
      <c r="T58" s="1988"/>
      <c r="U58" s="1988"/>
      <c r="V58" s="1988"/>
      <c r="W58" s="1988"/>
      <c r="X58" s="1988"/>
      <c r="Y58" s="1988"/>
      <c r="Z58" s="1988"/>
      <c r="AA58" s="1988"/>
      <c r="AB58" s="1988"/>
      <c r="AC58" s="1988"/>
    </row>
    <row r="59" spans="1:29" s="1253" customFormat="1" ht="12.75">
      <c r="A59" s="612" t="s">
        <v>548</v>
      </c>
      <c r="B59" s="613">
        <f>ROUND($C$50*C59*D59,0)</f>
        <v>0</v>
      </c>
      <c r="C59" s="372">
        <f t="shared" ref="C59:C66" si="16">IF($C$57="北京市系数",I59,J59)</f>
        <v>0</v>
      </c>
      <c r="D59" s="2061">
        <v>0.25</v>
      </c>
      <c r="E59" s="614">
        <v>0</v>
      </c>
      <c r="F59" s="611">
        <f t="shared" si="15"/>
        <v>0</v>
      </c>
      <c r="G59" s="3440" t="s">
        <v>2072</v>
      </c>
      <c r="H59" s="1815">
        <f>项目基本情况!B43</f>
        <v>0</v>
      </c>
      <c r="I59" s="1448">
        <f>SUMIF(修正!$A$57:$A$68,H59,修正!B57:B68)</f>
        <v>0</v>
      </c>
      <c r="J59" s="1449"/>
      <c r="K59" s="3124"/>
      <c r="L59" s="1988"/>
      <c r="M59" s="1988"/>
      <c r="N59" s="1988"/>
      <c r="O59" s="1988"/>
      <c r="P59" s="1988"/>
      <c r="Q59" s="1988"/>
      <c r="R59" s="1988"/>
      <c r="S59" s="1988"/>
      <c r="T59" s="1988"/>
      <c r="U59" s="1988"/>
      <c r="V59" s="1988"/>
      <c r="W59" s="1988"/>
      <c r="X59" s="1988"/>
      <c r="Y59" s="1988"/>
      <c r="Z59" s="1988"/>
      <c r="AA59" s="1988"/>
      <c r="AB59" s="1988"/>
      <c r="AC59" s="1988"/>
    </row>
    <row r="60" spans="1:29" s="1253" customFormat="1" ht="12.75">
      <c r="A60" s="612" t="s">
        <v>549</v>
      </c>
      <c r="B60" s="613">
        <f t="shared" ref="B60:B66" si="17">ROUND($C$50*C60*D60,0)</f>
        <v>0</v>
      </c>
      <c r="C60" s="372">
        <f t="shared" si="16"/>
        <v>0</v>
      </c>
      <c r="D60" s="2061">
        <v>0.25</v>
      </c>
      <c r="E60" s="614">
        <v>0</v>
      </c>
      <c r="F60" s="611">
        <f t="shared" si="15"/>
        <v>0</v>
      </c>
      <c r="G60" s="3441"/>
      <c r="H60" s="1815">
        <f>项目基本情况!B43</f>
        <v>0</v>
      </c>
      <c r="I60" s="1448">
        <f>SUMIF(修正!$A$57:$A$68,H60,修正!C57:C68)</f>
        <v>0</v>
      </c>
      <c r="J60" s="1449"/>
      <c r="K60" s="3124"/>
      <c r="L60" s="1988"/>
      <c r="M60" s="1988"/>
      <c r="N60" s="1988"/>
      <c r="O60" s="1988"/>
      <c r="P60" s="1988"/>
      <c r="Q60" s="1988"/>
      <c r="R60" s="1988"/>
      <c r="S60" s="1988"/>
      <c r="T60" s="1988"/>
      <c r="U60" s="1988"/>
      <c r="V60" s="1988"/>
      <c r="W60" s="1988"/>
      <c r="X60" s="1988"/>
      <c r="Y60" s="1988"/>
      <c r="Z60" s="1988"/>
      <c r="AA60" s="1988"/>
      <c r="AB60" s="1988"/>
      <c r="AC60" s="1988"/>
    </row>
    <row r="61" spans="1:29" s="1253" customFormat="1" ht="12.75">
      <c r="A61" s="612" t="s">
        <v>550</v>
      </c>
      <c r="B61" s="613">
        <f t="shared" si="17"/>
        <v>0</v>
      </c>
      <c r="C61" s="372">
        <f t="shared" si="16"/>
        <v>0</v>
      </c>
      <c r="D61" s="2061">
        <v>0.25</v>
      </c>
      <c r="E61" s="614">
        <v>0</v>
      </c>
      <c r="F61" s="611">
        <f t="shared" si="15"/>
        <v>0</v>
      </c>
      <c r="G61" s="3441"/>
      <c r="H61" s="1815">
        <f>项目基本情况!B43</f>
        <v>0</v>
      </c>
      <c r="I61" s="1448">
        <f>SUMIF(修正!$A$57:$A$68,H61,修正!D57:D68)</f>
        <v>0</v>
      </c>
      <c r="J61" s="1449"/>
      <c r="K61" s="3124"/>
      <c r="L61" s="1988"/>
      <c r="M61" s="1988"/>
      <c r="N61" s="1988"/>
      <c r="O61" s="1988"/>
      <c r="P61" s="1988"/>
      <c r="Q61" s="1988"/>
      <c r="R61" s="1988"/>
      <c r="S61" s="1988"/>
      <c r="T61" s="1988"/>
      <c r="U61" s="1988"/>
      <c r="V61" s="1988"/>
      <c r="W61" s="1988"/>
      <c r="X61" s="1988"/>
      <c r="Y61" s="1988"/>
      <c r="Z61" s="1988"/>
      <c r="AA61" s="1988"/>
      <c r="AB61" s="1988"/>
      <c r="AC61" s="1988"/>
    </row>
    <row r="62" spans="1:29" s="1253" customFormat="1" ht="12.75">
      <c r="A62" s="2163" t="s">
        <v>2117</v>
      </c>
      <c r="B62" s="613">
        <f t="shared" si="17"/>
        <v>0</v>
      </c>
      <c r="C62" s="372">
        <f t="shared" si="16"/>
        <v>0</v>
      </c>
      <c r="D62" s="2061">
        <v>0.25</v>
      </c>
      <c r="E62" s="616">
        <f>'数据-汇总表'!E11</f>
        <v>0</v>
      </c>
      <c r="F62" s="611">
        <f t="shared" si="15"/>
        <v>0</v>
      </c>
      <c r="G62" s="1812" t="s">
        <v>2073</v>
      </c>
      <c r="H62" s="1815">
        <f>项目基本情况!C43</f>
        <v>0</v>
      </c>
      <c r="I62" s="1448">
        <f>SUMIF(修正!$A$57:$A$68,H62,修正!E57:E68)</f>
        <v>0</v>
      </c>
      <c r="J62" s="1449"/>
      <c r="K62" s="3124"/>
      <c r="L62" s="1988"/>
      <c r="M62" s="1988"/>
      <c r="N62" s="1988"/>
      <c r="O62" s="1988"/>
      <c r="P62" s="1988"/>
      <c r="Q62" s="1988"/>
      <c r="R62" s="1988"/>
      <c r="S62" s="1988"/>
      <c r="T62" s="1988"/>
      <c r="U62" s="1988"/>
      <c r="V62" s="1988"/>
      <c r="W62" s="1988"/>
      <c r="X62" s="1988"/>
      <c r="Y62" s="1988"/>
      <c r="Z62" s="1988"/>
      <c r="AA62" s="1988"/>
      <c r="AB62" s="1988"/>
      <c r="AC62" s="1988"/>
    </row>
    <row r="63" spans="1:29" s="1253" customFormat="1" ht="12.75">
      <c r="A63" s="612" t="s">
        <v>551</v>
      </c>
      <c r="B63" s="613">
        <f t="shared" si="17"/>
        <v>0</v>
      </c>
      <c r="C63" s="372">
        <f t="shared" si="16"/>
        <v>0</v>
      </c>
      <c r="D63" s="2061">
        <v>0.25</v>
      </c>
      <c r="E63" s="616">
        <f>'数据-汇总表'!E12</f>
        <v>0</v>
      </c>
      <c r="F63" s="611">
        <f t="shared" si="15"/>
        <v>0</v>
      </c>
      <c r="G63" s="1813" t="s">
        <v>1476</v>
      </c>
      <c r="H63" s="1811">
        <f>IF(G63="商业",项目基本情况!B43,IF(G63="办公",项目基本情况!C43,IF(G63="住宅",项目基本情况!D43,项目基本情况!E43)))</f>
        <v>0</v>
      </c>
      <c r="I63" s="1448">
        <f>SUMIF(修正!$A$57:$A$68,H63,修正!F57:F68)</f>
        <v>0</v>
      </c>
      <c r="J63" s="1449"/>
      <c r="K63" s="3124"/>
      <c r="L63" s="1988"/>
      <c r="M63" s="1988"/>
      <c r="N63" s="1988"/>
      <c r="O63" s="1988"/>
      <c r="P63" s="1988"/>
      <c r="Q63" s="1988"/>
      <c r="R63" s="1988"/>
      <c r="S63" s="1988"/>
      <c r="T63" s="1988"/>
      <c r="U63" s="1988"/>
      <c r="V63" s="1988"/>
      <c r="W63" s="1988"/>
      <c r="X63" s="1988"/>
      <c r="Y63" s="1988"/>
      <c r="Z63" s="1988"/>
      <c r="AA63" s="1988"/>
      <c r="AB63" s="1988"/>
      <c r="AC63" s="1988"/>
    </row>
    <row r="64" spans="1:29" s="1253" customFormat="1" ht="12.75">
      <c r="A64" s="612" t="s">
        <v>552</v>
      </c>
      <c r="B64" s="613">
        <f t="shared" si="17"/>
        <v>0</v>
      </c>
      <c r="C64" s="372">
        <f t="shared" si="16"/>
        <v>0</v>
      </c>
      <c r="D64" s="2061">
        <v>0.25</v>
      </c>
      <c r="E64" s="616">
        <f>'数据-汇总表'!E13</f>
        <v>52253.13</v>
      </c>
      <c r="F64" s="611">
        <f t="shared" si="15"/>
        <v>0</v>
      </c>
      <c r="G64" s="1813" t="s">
        <v>901</v>
      </c>
      <c r="H64" s="1811">
        <f>IF(G64="商业",项目基本情况!B43,IF(G64="办公",项目基本情况!C43,IF(G64="住宅",项目基本情况!D43,项目基本情况!E43)))</f>
        <v>0</v>
      </c>
      <c r="I64" s="1448">
        <f>SUMIF(修正!$A$57:$A$68,H64,修正!G57:G68)</f>
        <v>0</v>
      </c>
      <c r="J64" s="1449"/>
      <c r="K64" s="3124"/>
      <c r="L64" s="1988"/>
      <c r="M64" s="1988"/>
      <c r="N64" s="1988"/>
      <c r="O64" s="1988"/>
      <c r="P64" s="1988"/>
      <c r="Q64" s="1988"/>
      <c r="R64" s="1988"/>
      <c r="S64" s="1988"/>
      <c r="T64" s="1988"/>
      <c r="U64" s="1988"/>
      <c r="V64" s="1988"/>
      <c r="W64" s="1988"/>
      <c r="X64" s="1988"/>
      <c r="Y64" s="1988"/>
      <c r="Z64" s="1988"/>
      <c r="AA64" s="1988"/>
      <c r="AB64" s="1988"/>
      <c r="AC64" s="1988"/>
    </row>
    <row r="65" spans="1:29" s="1253" customFormat="1" ht="12.75">
      <c r="A65" s="612" t="s">
        <v>553</v>
      </c>
      <c r="B65" s="613">
        <f t="shared" si="17"/>
        <v>0</v>
      </c>
      <c r="C65" s="372">
        <f t="shared" si="16"/>
        <v>0</v>
      </c>
      <c r="D65" s="2061">
        <v>0.25</v>
      </c>
      <c r="E65" s="616">
        <f>'数据-汇总表'!E14</f>
        <v>0</v>
      </c>
      <c r="F65" s="611">
        <f t="shared" si="15"/>
        <v>0</v>
      </c>
      <c r="G65" s="1812" t="s">
        <v>2072</v>
      </c>
      <c r="H65" s="1815">
        <f>项目基本情况!B43</f>
        <v>0</v>
      </c>
      <c r="I65" s="1448">
        <f>SUMIF(修正!$A$57:$A$68,H65,修正!G57:G68)</f>
        <v>0</v>
      </c>
      <c r="J65" s="1449"/>
      <c r="K65" s="3124"/>
      <c r="L65" s="1988"/>
      <c r="M65" s="1988"/>
      <c r="N65" s="1988"/>
      <c r="O65" s="1988"/>
      <c r="P65" s="1988"/>
      <c r="Q65" s="1988"/>
      <c r="R65" s="1988"/>
      <c r="S65" s="1988"/>
      <c r="T65" s="1988"/>
      <c r="U65" s="1988"/>
      <c r="V65" s="1988"/>
      <c r="W65" s="1988"/>
      <c r="X65" s="1988"/>
      <c r="Y65" s="1988"/>
      <c r="Z65" s="1988"/>
      <c r="AA65" s="1988"/>
      <c r="AB65" s="1988"/>
      <c r="AC65" s="1988"/>
    </row>
    <row r="66" spans="1:29" s="1253" customFormat="1" ht="13.5" thickBot="1">
      <c r="A66" s="612" t="s">
        <v>554</v>
      </c>
      <c r="B66" s="613">
        <f t="shared" si="17"/>
        <v>0</v>
      </c>
      <c r="C66" s="372">
        <f t="shared" si="16"/>
        <v>0</v>
      </c>
      <c r="D66" s="2061">
        <v>0.25</v>
      </c>
      <c r="E66" s="616">
        <f>'数据-汇总表'!E15</f>
        <v>0</v>
      </c>
      <c r="F66" s="611">
        <f t="shared" si="15"/>
        <v>0</v>
      </c>
      <c r="G66" s="1814" t="s">
        <v>2073</v>
      </c>
      <c r="H66" s="1816">
        <f>项目基本情况!C43</f>
        <v>0</v>
      </c>
      <c r="I66" s="1448">
        <f>SUMIF(修正!$A$57:$A$68,H66,修正!G57:G68)</f>
        <v>0</v>
      </c>
      <c r="J66" s="1449"/>
      <c r="K66" s="3124"/>
      <c r="L66" s="1988"/>
      <c r="M66" s="1988"/>
      <c r="N66" s="1988"/>
      <c r="O66" s="1988"/>
      <c r="P66" s="1988"/>
      <c r="Q66" s="1988"/>
      <c r="R66" s="1988"/>
      <c r="S66" s="1988"/>
      <c r="T66" s="1988"/>
      <c r="U66" s="1988"/>
      <c r="V66" s="1988"/>
      <c r="W66" s="1988"/>
      <c r="X66" s="1988"/>
      <c r="Y66" s="1988"/>
      <c r="Z66" s="1988"/>
      <c r="AA66" s="1988"/>
      <c r="AB66" s="1988"/>
      <c r="AC66" s="1988"/>
    </row>
    <row r="67" spans="1:29" s="1253" customFormat="1" ht="13.5" thickBot="1">
      <c r="A67" s="617" t="s">
        <v>555</v>
      </c>
      <c r="B67" s="618" t="s">
        <v>17</v>
      </c>
      <c r="C67" s="618" t="s">
        <v>18</v>
      </c>
      <c r="D67" s="618" t="s">
        <v>2083</v>
      </c>
      <c r="E67" s="618">
        <f>IF(B48="楼面地价",SUM(E58:E66),'数据-汇总表'!D3)</f>
        <v>178363.59</v>
      </c>
      <c r="F67" s="619">
        <f>IF(B48="楼面地价",SUM(F58:F66),ROUND(C50*E67/10000,0))</f>
        <v>48086</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36" t="str">
        <f>YEAR(C9)&amp;"-"&amp;MONTH(C9)&amp;"-1"</f>
        <v>2022-11-1</v>
      </c>
      <c r="D69" s="2436">
        <f>EDATE(C69,-3)</f>
        <v>44774</v>
      </c>
      <c r="E69" s="2436">
        <f t="shared" ref="E69:N69" si="18">EDATE(D69,-3)</f>
        <v>44682</v>
      </c>
      <c r="F69" s="2436">
        <f t="shared" si="18"/>
        <v>44593</v>
      </c>
      <c r="G69" s="2436">
        <f t="shared" si="18"/>
        <v>44501</v>
      </c>
      <c r="H69" s="2436">
        <f t="shared" si="18"/>
        <v>44409</v>
      </c>
      <c r="I69" s="2436">
        <f t="shared" si="18"/>
        <v>44317</v>
      </c>
      <c r="J69" s="2436">
        <f t="shared" si="18"/>
        <v>44228</v>
      </c>
      <c r="K69" s="2436">
        <f t="shared" si="18"/>
        <v>44136</v>
      </c>
      <c r="L69" s="2436">
        <f t="shared" si="18"/>
        <v>44044</v>
      </c>
      <c r="M69" s="2436">
        <f t="shared" si="18"/>
        <v>43952</v>
      </c>
      <c r="N69" s="2436">
        <f t="shared" si="18"/>
        <v>43862</v>
      </c>
      <c r="O69" s="1979"/>
      <c r="P69" s="1979"/>
      <c r="Q69" s="1979"/>
      <c r="R69" s="1979"/>
      <c r="S69" s="1979"/>
      <c r="T69" s="1979"/>
      <c r="U69" s="1979"/>
      <c r="V69" s="1979"/>
      <c r="W69" s="1979"/>
      <c r="X69" s="1979"/>
      <c r="Y69" s="1979"/>
      <c r="Z69" s="1979"/>
      <c r="AA69" s="1979"/>
      <c r="AB69" s="1979"/>
      <c r="AC69" s="1979"/>
    </row>
    <row r="70" spans="1:29" ht="21.75" thickBot="1">
      <c r="A70" s="1472" t="s">
        <v>556</v>
      </c>
      <c r="B70" s="1450"/>
      <c r="C70" s="1471"/>
      <c r="D70" s="1471"/>
      <c r="E70" s="1471"/>
      <c r="F70" s="1473"/>
      <c r="G70" s="1473"/>
      <c r="H70" s="1471"/>
      <c r="I70" s="1471"/>
      <c r="J70" s="1471"/>
      <c r="K70" s="1474"/>
      <c r="L70" s="1470"/>
      <c r="M70" s="1471"/>
      <c r="N70" s="1471"/>
      <c r="O70" s="1990"/>
      <c r="P70" s="1990"/>
      <c r="Q70" s="1991"/>
      <c r="R70" s="1979"/>
      <c r="S70" s="1979"/>
      <c r="T70" s="1979"/>
      <c r="U70" s="1979"/>
      <c r="V70" s="1979"/>
      <c r="W70" s="1979"/>
      <c r="X70" s="1979"/>
      <c r="Y70" s="1979"/>
      <c r="Z70" s="1979"/>
      <c r="AA70" s="1979"/>
      <c r="AB70" s="1979"/>
      <c r="AC70" s="1979"/>
    </row>
    <row r="71" spans="1:29" s="1254" customFormat="1" ht="15">
      <c r="A71" s="2341" t="s">
        <v>2249</v>
      </c>
      <c r="B71" s="2342"/>
      <c r="C71" s="2433" t="str">
        <f>YEAR(C69)&amp;"-"&amp;ROUNDUP(MONTH(C69)/3,0)</f>
        <v>2022-4</v>
      </c>
      <c r="D71" s="2438" t="str">
        <f>YEAR(D69)&amp;"-"&amp;ROUNDUP(MONTH(D69)/3,0)</f>
        <v>2022-3</v>
      </c>
      <c r="E71" s="2438" t="str">
        <f t="shared" ref="E71:N71" si="19">YEAR(E69)&amp;"-"&amp;ROUNDUP(MONTH(E69)/3,0)</f>
        <v>2022-2</v>
      </c>
      <c r="F71" s="2438" t="str">
        <f t="shared" si="19"/>
        <v>2022-1</v>
      </c>
      <c r="G71" s="2438" t="str">
        <f t="shared" si="19"/>
        <v>2021-4</v>
      </c>
      <c r="H71" s="2438" t="str">
        <f t="shared" si="19"/>
        <v>2021-3</v>
      </c>
      <c r="I71" s="2438" t="str">
        <f t="shared" si="19"/>
        <v>2021-2</v>
      </c>
      <c r="J71" s="2438" t="str">
        <f t="shared" si="19"/>
        <v>2021-1</v>
      </c>
      <c r="K71" s="2438" t="str">
        <f t="shared" si="19"/>
        <v>2020-4</v>
      </c>
      <c r="L71" s="2438" t="str">
        <f t="shared" si="19"/>
        <v>2020-3</v>
      </c>
      <c r="M71" s="2438" t="str">
        <f t="shared" si="19"/>
        <v>2020-2</v>
      </c>
      <c r="N71" s="2438" t="str">
        <f t="shared" si="19"/>
        <v>2020-1</v>
      </c>
      <c r="O71" s="1992"/>
      <c r="P71" s="1993"/>
      <c r="Q71" s="1994"/>
      <c r="R71" s="1994"/>
      <c r="S71" s="1994"/>
      <c r="T71" s="1994"/>
      <c r="U71" s="1994"/>
      <c r="V71" s="1994"/>
      <c r="W71" s="1994"/>
      <c r="X71" s="1994"/>
      <c r="Y71" s="1994"/>
      <c r="Z71" s="1994"/>
      <c r="AA71" s="1994"/>
      <c r="AB71" s="1994"/>
      <c r="AC71" s="1994"/>
    </row>
    <row r="72" spans="1:29" s="1165" customFormat="1" ht="27" customHeight="1">
      <c r="A72" s="2443" t="s">
        <v>2363</v>
      </c>
      <c r="B72" s="472" t="str">
        <f>"北京市平均增长率"&amp;TEXT(SUMIF(基准地价!N21:N25,A72,基准地价!P21:P25),"0.00%")</f>
        <v>北京市平均增长率1.51%</v>
      </c>
      <c r="C72" s="864">
        <v>100</v>
      </c>
      <c r="D72" s="705">
        <v>99.5</v>
      </c>
      <c r="E72" s="705">
        <v>99</v>
      </c>
      <c r="F72" s="705">
        <v>98.5</v>
      </c>
      <c r="G72" s="705">
        <v>98</v>
      </c>
      <c r="H72" s="705">
        <v>97.5</v>
      </c>
      <c r="I72" s="705">
        <v>97</v>
      </c>
      <c r="J72" s="705">
        <v>96.5</v>
      </c>
      <c r="K72" s="705">
        <v>96</v>
      </c>
      <c r="L72" s="705">
        <v>95.5</v>
      </c>
      <c r="M72" s="2431">
        <v>95</v>
      </c>
      <c r="N72" s="2432">
        <v>94.5</v>
      </c>
      <c r="O72" s="1995"/>
      <c r="P72" s="1991"/>
      <c r="Q72" s="1857"/>
      <c r="R72" s="1857"/>
      <c r="S72" s="1857"/>
      <c r="T72" s="1857"/>
      <c r="U72" s="1857"/>
      <c r="V72" s="1857"/>
      <c r="W72" s="1857"/>
      <c r="X72" s="1857"/>
      <c r="Y72" s="1857"/>
      <c r="Z72" s="1857"/>
      <c r="AA72" s="1857"/>
      <c r="AB72" s="1857"/>
      <c r="AC72" s="1857"/>
    </row>
    <row r="73" spans="1:29" s="1165" customFormat="1" ht="15" customHeight="1" thickBot="1">
      <c r="A73" s="2434" t="s">
        <v>2362</v>
      </c>
      <c r="B73" s="2442"/>
      <c r="C73" s="2429"/>
      <c r="D73" s="2430"/>
      <c r="E73" s="2430"/>
      <c r="F73" s="2430"/>
      <c r="G73" s="2430"/>
      <c r="H73" s="2430"/>
      <c r="I73" s="2430"/>
      <c r="J73" s="2430"/>
      <c r="K73" s="2430"/>
      <c r="L73" s="2430"/>
      <c r="M73" s="2430"/>
      <c r="N73" s="2430"/>
      <c r="O73" s="1995"/>
      <c r="P73" s="1991"/>
      <c r="Q73" s="1991"/>
      <c r="R73" s="1857"/>
      <c r="S73" s="1857"/>
      <c r="T73" s="1857"/>
      <c r="U73" s="1857"/>
      <c r="V73" s="1857"/>
      <c r="W73" s="1857"/>
      <c r="X73" s="1857"/>
      <c r="Y73" s="1857"/>
      <c r="Z73" s="1857"/>
      <c r="AA73" s="1857"/>
      <c r="AB73" s="1857"/>
      <c r="AC73" s="1857"/>
    </row>
    <row r="74" spans="1:29" s="1165" customFormat="1" ht="15">
      <c r="A74" s="634" t="s">
        <v>514</v>
      </c>
      <c r="B74" s="623"/>
      <c r="C74" s="635" t="s">
        <v>558</v>
      </c>
      <c r="D74" s="636"/>
      <c r="E74" s="636"/>
      <c r="F74" s="636"/>
      <c r="G74" s="636"/>
      <c r="H74" s="636"/>
      <c r="I74" s="636"/>
      <c r="J74" s="636"/>
      <c r="K74" s="636"/>
      <c r="L74" s="637"/>
      <c r="M74" s="638"/>
      <c r="N74" s="1995"/>
      <c r="O74" s="1995"/>
      <c r="P74" s="1996"/>
      <c r="Q74" s="1991"/>
      <c r="R74" s="1857"/>
      <c r="S74" s="1857"/>
      <c r="T74" s="1857"/>
      <c r="U74" s="1857"/>
      <c r="V74" s="1857"/>
      <c r="W74" s="1857"/>
      <c r="X74" s="1857"/>
      <c r="Y74" s="1857"/>
      <c r="Z74" s="1857"/>
      <c r="AA74" s="1857"/>
      <c r="AB74" s="1857"/>
      <c r="AC74" s="1857"/>
    </row>
    <row r="75" spans="1:29" s="1165" customFormat="1" ht="15.75" thickBot="1">
      <c r="A75" s="634"/>
      <c r="B75" s="623"/>
      <c r="C75" s="624">
        <v>100</v>
      </c>
      <c r="D75" s="625"/>
      <c r="E75" s="625"/>
      <c r="F75" s="625"/>
      <c r="G75" s="625"/>
      <c r="H75" s="625"/>
      <c r="I75" s="625"/>
      <c r="J75" s="625"/>
      <c r="K75" s="625"/>
      <c r="L75" s="625"/>
      <c r="M75" s="627"/>
      <c r="N75" s="1995"/>
      <c r="O75" s="1995"/>
      <c r="P75" s="1991"/>
      <c r="Q75" s="1991"/>
      <c r="R75" s="1857"/>
      <c r="S75" s="1857"/>
      <c r="T75" s="1857"/>
      <c r="U75" s="1857"/>
      <c r="V75" s="1857"/>
      <c r="W75" s="1857"/>
      <c r="X75" s="1857"/>
      <c r="Y75" s="1857"/>
      <c r="Z75" s="1857"/>
      <c r="AA75" s="1857"/>
      <c r="AB75" s="1857"/>
      <c r="AC75" s="1857"/>
    </row>
    <row r="76" spans="1:29">
      <c r="A76" s="639" t="s">
        <v>559</v>
      </c>
      <c r="B76" s="640" t="s">
        <v>517</v>
      </c>
      <c r="C76" s="3480" t="s">
        <v>3406</v>
      </c>
      <c r="D76" s="3480" t="s">
        <v>3409</v>
      </c>
      <c r="E76" s="575"/>
      <c r="F76" s="575"/>
      <c r="G76" s="575"/>
      <c r="H76" s="575"/>
      <c r="I76" s="575"/>
      <c r="J76" s="575"/>
      <c r="K76" s="641"/>
      <c r="L76" s="642"/>
      <c r="M76" s="643"/>
      <c r="N76" s="1997"/>
      <c r="O76" s="1997"/>
      <c r="P76" s="1998"/>
      <c r="Q76" s="1991"/>
      <c r="R76" s="1979"/>
      <c r="S76" s="1979"/>
      <c r="T76" s="1979"/>
      <c r="U76" s="1979"/>
      <c r="V76" s="1979"/>
      <c r="W76" s="1979"/>
      <c r="X76" s="1979"/>
      <c r="Y76" s="1979"/>
      <c r="Z76" s="1979"/>
      <c r="AA76" s="1979"/>
      <c r="AB76" s="1979"/>
      <c r="AC76" s="1979"/>
    </row>
    <row r="77" spans="1:29" ht="15.75" thickBot="1">
      <c r="A77" s="644"/>
      <c r="B77" s="645"/>
      <c r="C77" s="646">
        <v>100</v>
      </c>
      <c r="D77" s="646">
        <v>95</v>
      </c>
      <c r="E77" s="646"/>
      <c r="F77" s="646"/>
      <c r="G77" s="646"/>
      <c r="H77" s="646"/>
      <c r="I77" s="646"/>
      <c r="J77" s="646"/>
      <c r="K77" s="646"/>
      <c r="L77" s="646"/>
      <c r="M77" s="647"/>
      <c r="N77" s="1999"/>
      <c r="O77" s="1999"/>
      <c r="P77" s="1998"/>
      <c r="Q77" s="1991"/>
      <c r="R77" s="1979"/>
      <c r="S77" s="1979"/>
      <c r="T77" s="1979"/>
      <c r="U77" s="1979"/>
      <c r="V77" s="1979"/>
      <c r="W77" s="1979"/>
      <c r="X77" s="1979"/>
      <c r="Y77" s="1979"/>
      <c r="Z77" s="1979"/>
      <c r="AA77" s="1979"/>
      <c r="AB77" s="1979"/>
      <c r="AC77" s="1979"/>
    </row>
    <row r="78" spans="1:29" ht="27.75" thickTop="1">
      <c r="A78" s="644"/>
      <c r="B78" s="648" t="s">
        <v>520</v>
      </c>
      <c r="C78" s="649"/>
      <c r="D78" s="649"/>
      <c r="E78" s="649"/>
      <c r="F78" s="649"/>
      <c r="G78" s="649"/>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c r="D79" s="654"/>
      <c r="E79" s="654"/>
      <c r="F79" s="654"/>
      <c r="G79" s="654"/>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656" t="s">
        <v>521</v>
      </c>
      <c r="C80" s="657" t="str">
        <f>C81&amp;"（含）"&amp;"-"&amp;D81</f>
        <v>0（含）-1</v>
      </c>
      <c r="D80" s="657" t="str">
        <f t="shared" ref="D80:L80" si="20">D81&amp;"（含）"&amp;"-"&amp;E81</f>
        <v>1（含）-2</v>
      </c>
      <c r="E80" s="657" t="str">
        <f t="shared" si="20"/>
        <v>2（含）-3</v>
      </c>
      <c r="F80" s="657" t="str">
        <f t="shared" si="20"/>
        <v>3（含）-4</v>
      </c>
      <c r="G80" s="657" t="str">
        <f t="shared" si="20"/>
        <v>4（含）-5</v>
      </c>
      <c r="H80" s="657" t="str">
        <f t="shared" si="20"/>
        <v>5（含）-6</v>
      </c>
      <c r="I80" s="657" t="str">
        <f t="shared" si="20"/>
        <v>6（含）-7</v>
      </c>
      <c r="J80" s="657" t="str">
        <f t="shared" si="20"/>
        <v>7（含）-</v>
      </c>
      <c r="K80" s="657" t="str">
        <f t="shared" si="20"/>
        <v>（含）-</v>
      </c>
      <c r="L80" s="657" t="str">
        <f t="shared" si="20"/>
        <v>（含）-</v>
      </c>
      <c r="M80" s="532" t="str">
        <f>M81&amp;"（含）"&amp;"-"&amp;P81</f>
        <v>（含）-</v>
      </c>
      <c r="N80" s="1999"/>
      <c r="O80" s="1999"/>
      <c r="P80" s="1998"/>
      <c r="Q80" s="1991"/>
      <c r="R80" s="1979"/>
      <c r="S80" s="1979"/>
      <c r="T80" s="1979"/>
      <c r="U80" s="1979"/>
      <c r="V80" s="1979"/>
      <c r="W80" s="1979"/>
      <c r="X80" s="1979"/>
      <c r="Y80" s="1979"/>
      <c r="Z80" s="1979"/>
      <c r="AA80" s="1979"/>
      <c r="AB80" s="1979"/>
      <c r="AC80" s="1979"/>
    </row>
    <row r="81" spans="1:29" ht="15">
      <c r="A81" s="644"/>
      <c r="B81" s="658"/>
      <c r="C81" s="518">
        <v>0</v>
      </c>
      <c r="D81" s="518">
        <v>1</v>
      </c>
      <c r="E81" s="518">
        <v>2</v>
      </c>
      <c r="F81" s="518">
        <v>3</v>
      </c>
      <c r="G81" s="518">
        <v>4</v>
      </c>
      <c r="H81" s="518">
        <v>5</v>
      </c>
      <c r="I81" s="518">
        <v>6</v>
      </c>
      <c r="J81" s="518">
        <v>7</v>
      </c>
      <c r="K81" s="659"/>
      <c r="L81" s="660"/>
      <c r="M81" s="661"/>
      <c r="N81" s="1997"/>
      <c r="O81" s="1997"/>
      <c r="P81" s="1998"/>
      <c r="Q81" s="1991"/>
      <c r="R81" s="1979"/>
      <c r="S81" s="1979"/>
      <c r="T81" s="1979"/>
      <c r="U81" s="1979"/>
      <c r="V81" s="1979"/>
      <c r="W81" s="1979"/>
      <c r="X81" s="1979"/>
      <c r="Y81" s="1979"/>
      <c r="Z81" s="1979"/>
      <c r="AA81" s="1979"/>
      <c r="AB81" s="1979"/>
      <c r="AC81" s="1979"/>
    </row>
    <row r="82" spans="1:29" ht="15.75" thickBot="1">
      <c r="A82" s="644"/>
      <c r="B82" s="645"/>
      <c r="C82" s="654">
        <v>100</v>
      </c>
      <c r="D82" s="654">
        <f t="shared" ref="D82:M82" si="21">IF($B$48="单位面积地价",C82+$K13,C82-$K13)</f>
        <v>98</v>
      </c>
      <c r="E82" s="654">
        <f t="shared" si="21"/>
        <v>96</v>
      </c>
      <c r="F82" s="654">
        <f t="shared" si="21"/>
        <v>94</v>
      </c>
      <c r="G82" s="654">
        <f t="shared" si="21"/>
        <v>92</v>
      </c>
      <c r="H82" s="654">
        <f t="shared" si="21"/>
        <v>90</v>
      </c>
      <c r="I82" s="654">
        <f t="shared" si="21"/>
        <v>88</v>
      </c>
      <c r="J82" s="654">
        <f t="shared" si="21"/>
        <v>86</v>
      </c>
      <c r="K82" s="654">
        <f t="shared" si="21"/>
        <v>84</v>
      </c>
      <c r="L82" s="654">
        <f t="shared" si="21"/>
        <v>82</v>
      </c>
      <c r="M82" s="654">
        <f t="shared" si="21"/>
        <v>80</v>
      </c>
      <c r="N82" s="1999"/>
      <c r="O82" s="1999"/>
      <c r="P82" s="1998"/>
      <c r="Q82" s="1991"/>
      <c r="R82" s="1979"/>
      <c r="S82" s="1979"/>
      <c r="T82" s="1979"/>
      <c r="U82" s="1979"/>
      <c r="V82" s="1979"/>
      <c r="W82" s="1979"/>
      <c r="X82" s="1979"/>
      <c r="Y82" s="1979"/>
      <c r="Z82" s="1979"/>
      <c r="AA82" s="1979"/>
      <c r="AB82" s="1979"/>
      <c r="AC82" s="1979"/>
    </row>
    <row r="83" spans="1:29" s="1247" customFormat="1" ht="15.75" thickTop="1">
      <c r="A83" s="662"/>
      <c r="B83" s="648" t="str">
        <f>B14</f>
        <v>配建</v>
      </c>
      <c r="C83" s="663"/>
      <c r="D83" s="1280"/>
      <c r="E83" s="1281"/>
      <c r="F83" s="663"/>
      <c r="G83" s="663"/>
      <c r="H83" s="664"/>
      <c r="I83" s="664"/>
      <c r="J83" s="664"/>
      <c r="K83" s="664"/>
      <c r="L83" s="665"/>
      <c r="M83" s="666"/>
      <c r="N83" s="2000"/>
      <c r="O83" s="2000"/>
      <c r="P83" s="2001"/>
      <c r="Q83" s="2002"/>
      <c r="R83" s="2003"/>
      <c r="S83" s="2003"/>
      <c r="T83" s="2003"/>
      <c r="U83" s="2003"/>
      <c r="V83" s="2003"/>
      <c r="W83" s="2003"/>
      <c r="X83" s="2003"/>
      <c r="Y83" s="2003"/>
      <c r="Z83" s="2003"/>
      <c r="AA83" s="2003"/>
      <c r="AB83" s="2003"/>
      <c r="AC83" s="2003"/>
    </row>
    <row r="84" spans="1:29" s="1247" customFormat="1" ht="15.75" thickBot="1">
      <c r="A84" s="662"/>
      <c r="B84" s="653"/>
      <c r="C84" s="667"/>
      <c r="D84" s="646"/>
      <c r="E84" s="646"/>
      <c r="F84" s="646"/>
      <c r="G84" s="646"/>
      <c r="H84" s="646"/>
      <c r="I84" s="646"/>
      <c r="J84" s="646"/>
      <c r="K84" s="646"/>
      <c r="L84" s="646"/>
      <c r="M84" s="647"/>
      <c r="N84" s="1999"/>
      <c r="O84" s="1999"/>
      <c r="P84" s="2001"/>
      <c r="Q84" s="2002"/>
      <c r="R84" s="2003"/>
      <c r="S84" s="2003"/>
      <c r="T84" s="2003"/>
      <c r="U84" s="2003"/>
      <c r="V84" s="2003"/>
      <c r="W84" s="2003"/>
      <c r="X84" s="2003"/>
      <c r="Y84" s="2003"/>
      <c r="Z84" s="2003"/>
      <c r="AA84" s="2003"/>
      <c r="AB84" s="2003"/>
      <c r="AC84" s="2003"/>
    </row>
    <row r="85" spans="1:29" s="1247" customFormat="1" ht="15.75" thickTop="1">
      <c r="A85" s="662"/>
      <c r="B85" s="648">
        <f>B15</f>
        <v>111</v>
      </c>
      <c r="C85" s="663"/>
      <c r="D85" s="663"/>
      <c r="E85" s="663"/>
      <c r="F85" s="663"/>
      <c r="G85" s="663"/>
      <c r="H85" s="664"/>
      <c r="I85" s="664"/>
      <c r="J85" s="664"/>
      <c r="K85" s="664"/>
      <c r="L85" s="665"/>
      <c r="M85" s="666"/>
      <c r="N85" s="2000"/>
      <c r="O85" s="2000"/>
      <c r="P85" s="2004"/>
      <c r="Q85" s="2005"/>
      <c r="R85" s="2003"/>
      <c r="S85" s="2003"/>
      <c r="T85" s="2003"/>
      <c r="U85" s="2003"/>
      <c r="V85" s="2003"/>
      <c r="W85" s="2003"/>
      <c r="X85" s="2003"/>
      <c r="Y85" s="2003"/>
      <c r="Z85" s="2003"/>
      <c r="AA85" s="2003"/>
      <c r="AB85" s="2003"/>
      <c r="AC85" s="2003"/>
    </row>
    <row r="86" spans="1:29" s="1247" customFormat="1" ht="15.75" thickBot="1">
      <c r="A86" s="662"/>
      <c r="B86" s="653"/>
      <c r="C86" s="667"/>
      <c r="D86" s="667"/>
      <c r="E86" s="667"/>
      <c r="F86" s="667"/>
      <c r="G86" s="667"/>
      <c r="H86" s="668"/>
      <c r="I86" s="668"/>
      <c r="J86" s="668"/>
      <c r="K86" s="668"/>
      <c r="L86" s="668"/>
      <c r="M86" s="669"/>
      <c r="N86" s="2000"/>
      <c r="O86" s="2000"/>
      <c r="P86" s="2001"/>
      <c r="Q86" s="2002"/>
      <c r="R86" s="2003"/>
      <c r="S86" s="2003"/>
      <c r="T86" s="2003"/>
      <c r="U86" s="2003"/>
      <c r="V86" s="2003"/>
      <c r="W86" s="2003"/>
      <c r="X86" s="2003"/>
      <c r="Y86" s="2003"/>
      <c r="Z86" s="2003"/>
      <c r="AA86" s="2003"/>
      <c r="AB86" s="2003"/>
      <c r="AC86" s="2003"/>
    </row>
    <row r="87" spans="1:29" s="1247" customFormat="1" ht="15.75" thickTop="1">
      <c r="A87" s="662"/>
      <c r="B87" s="656">
        <f>B16</f>
        <v>111</v>
      </c>
      <c r="C87" s="636"/>
      <c r="D87" s="636"/>
      <c r="E87" s="636"/>
      <c r="F87" s="636"/>
      <c r="G87" s="636"/>
      <c r="H87" s="670"/>
      <c r="I87" s="670"/>
      <c r="J87" s="670"/>
      <c r="K87" s="670"/>
      <c r="L87" s="671"/>
      <c r="M87" s="672"/>
      <c r="N87" s="2000"/>
      <c r="O87" s="2000"/>
      <c r="P87" s="2006"/>
      <c r="Q87" s="2002"/>
      <c r="R87" s="2003"/>
      <c r="S87" s="2003"/>
      <c r="T87" s="2003"/>
      <c r="U87" s="2003"/>
      <c r="V87" s="2003"/>
      <c r="W87" s="2003"/>
      <c r="X87" s="2003"/>
      <c r="Y87" s="2003"/>
      <c r="Z87" s="2003"/>
      <c r="AA87" s="2003"/>
      <c r="AB87" s="2003"/>
      <c r="AC87" s="2003"/>
    </row>
    <row r="88" spans="1:29" s="1247" customFormat="1" ht="15.75" thickBot="1">
      <c r="A88" s="673"/>
      <c r="B88" s="674"/>
      <c r="C88" s="675"/>
      <c r="D88" s="675"/>
      <c r="E88" s="675"/>
      <c r="F88" s="675"/>
      <c r="G88" s="675"/>
      <c r="H88" s="676"/>
      <c r="I88" s="676"/>
      <c r="J88" s="676"/>
      <c r="K88" s="676"/>
      <c r="L88" s="676"/>
      <c r="M88" s="677"/>
      <c r="N88" s="2000"/>
      <c r="O88" s="2000"/>
      <c r="P88" s="2001"/>
      <c r="Q88" s="2002"/>
      <c r="R88" s="2003"/>
      <c r="S88" s="2003"/>
      <c r="T88" s="2003"/>
      <c r="U88" s="2003"/>
      <c r="V88" s="2003"/>
      <c r="W88" s="2003"/>
      <c r="X88" s="2003"/>
      <c r="Y88" s="2003"/>
      <c r="Z88" s="2003"/>
      <c r="AA88" s="2003"/>
      <c r="AB88" s="2003"/>
      <c r="AC88" s="2003"/>
    </row>
    <row r="89" spans="1:29">
      <c r="A89" s="639" t="s">
        <v>522</v>
      </c>
      <c r="B89" s="640" t="s">
        <v>560</v>
      </c>
      <c r="C89" s="678" t="s">
        <v>561</v>
      </c>
      <c r="D89" s="678" t="s">
        <v>562</v>
      </c>
      <c r="E89" s="678" t="s">
        <v>563</v>
      </c>
      <c r="F89" s="678" t="s">
        <v>564</v>
      </c>
      <c r="G89" s="678" t="s">
        <v>565</v>
      </c>
      <c r="H89" s="679"/>
      <c r="I89" s="679"/>
      <c r="J89" s="679"/>
      <c r="K89" s="680"/>
      <c r="L89" s="681"/>
      <c r="M89" s="682"/>
      <c r="N89" s="1997"/>
      <c r="O89" s="1997"/>
      <c r="P89" s="2007"/>
      <c r="Q89" s="1991"/>
      <c r="R89" s="1979"/>
      <c r="S89" s="1979"/>
      <c r="T89" s="1979"/>
      <c r="U89" s="1979"/>
      <c r="V89" s="1979"/>
      <c r="W89" s="1979"/>
      <c r="X89" s="1979"/>
      <c r="Y89" s="1979"/>
      <c r="Z89" s="1979"/>
      <c r="AA89" s="1979"/>
      <c r="AB89" s="1979"/>
      <c r="AC89" s="1979"/>
    </row>
    <row r="90" spans="1:29" ht="15.75" thickBot="1">
      <c r="A90" s="644"/>
      <c r="B90" s="653"/>
      <c r="C90" s="654">
        <v>100</v>
      </c>
      <c r="D90" s="654">
        <f>C90-$K17</f>
        <v>100</v>
      </c>
      <c r="E90" s="654">
        <f>D90-$K17</f>
        <v>100</v>
      </c>
      <c r="F90" s="654">
        <f>E90-$K17</f>
        <v>100</v>
      </c>
      <c r="G90" s="654">
        <f>F90-$K17</f>
        <v>100</v>
      </c>
      <c r="H90" s="654"/>
      <c r="I90" s="654"/>
      <c r="J90" s="654"/>
      <c r="K90" s="654"/>
      <c r="L90" s="654"/>
      <c r="M90" s="655"/>
      <c r="N90" s="1999"/>
      <c r="O90" s="1999"/>
      <c r="P90" s="1998"/>
      <c r="Q90" s="1991"/>
      <c r="R90" s="1979"/>
      <c r="S90" s="1979"/>
      <c r="T90" s="1979"/>
      <c r="U90" s="1979"/>
      <c r="V90" s="1979"/>
      <c r="W90" s="1979"/>
      <c r="X90" s="1979"/>
      <c r="Y90" s="1979"/>
      <c r="Z90" s="1979"/>
      <c r="AA90" s="1979"/>
      <c r="AB90" s="1979"/>
      <c r="AC90" s="1979"/>
    </row>
    <row r="91" spans="1:29" ht="15.75" thickTop="1">
      <c r="A91" s="644"/>
      <c r="B91" s="648" t="s">
        <v>566</v>
      </c>
      <c r="C91" s="683" t="s">
        <v>561</v>
      </c>
      <c r="D91" s="683" t="s">
        <v>562</v>
      </c>
      <c r="E91" s="683" t="s">
        <v>563</v>
      </c>
      <c r="F91" s="683" t="s">
        <v>564</v>
      </c>
      <c r="G91" s="683" t="s">
        <v>565</v>
      </c>
      <c r="H91" s="649"/>
      <c r="I91" s="649"/>
      <c r="J91" s="649"/>
      <c r="K91" s="650"/>
      <c r="L91" s="651"/>
      <c r="M91" s="652"/>
      <c r="N91" s="1997"/>
      <c r="O91" s="1997"/>
      <c r="P91" s="1998"/>
      <c r="Q91" s="1991"/>
      <c r="R91" s="1979"/>
      <c r="S91" s="1979"/>
      <c r="T91" s="1979"/>
      <c r="U91" s="1979"/>
      <c r="V91" s="1979"/>
      <c r="W91" s="1979"/>
      <c r="X91" s="1979"/>
      <c r="Y91" s="1979"/>
      <c r="Z91" s="1979"/>
      <c r="AA91" s="1979"/>
      <c r="AB91" s="1979"/>
      <c r="AC91" s="1979"/>
    </row>
    <row r="92" spans="1:29" ht="15.75" thickBot="1">
      <c r="A92" s="644"/>
      <c r="B92" s="653"/>
      <c r="C92" s="654">
        <v>100</v>
      </c>
      <c r="D92" s="654">
        <f>C92-$K19</f>
        <v>100</v>
      </c>
      <c r="E92" s="654">
        <f>D92-$K19</f>
        <v>100</v>
      </c>
      <c r="F92" s="654">
        <f>E92-$K19</f>
        <v>100</v>
      </c>
      <c r="G92" s="654">
        <f>F92-$K19</f>
        <v>100</v>
      </c>
      <c r="H92" s="654"/>
      <c r="I92" s="654"/>
      <c r="J92" s="654"/>
      <c r="K92" s="654"/>
      <c r="L92" s="654"/>
      <c r="M92" s="655"/>
      <c r="N92" s="1999"/>
      <c r="O92" s="1999"/>
      <c r="P92" s="1998"/>
      <c r="Q92" s="1991"/>
      <c r="R92" s="1979"/>
      <c r="S92" s="1979"/>
      <c r="T92" s="1979"/>
      <c r="U92" s="1979"/>
      <c r="V92" s="1979"/>
      <c r="W92" s="1979"/>
      <c r="X92" s="1979"/>
      <c r="Y92" s="1979"/>
      <c r="Z92" s="1979"/>
      <c r="AA92" s="1979"/>
      <c r="AB92" s="1979"/>
      <c r="AC92" s="1979"/>
    </row>
    <row r="93" spans="1:29" ht="15.75" thickTop="1">
      <c r="A93" s="644"/>
      <c r="B93" s="648" t="s">
        <v>567</v>
      </c>
      <c r="C93" s="683" t="s">
        <v>561</v>
      </c>
      <c r="D93" s="683" t="s">
        <v>562</v>
      </c>
      <c r="E93" s="683" t="s">
        <v>563</v>
      </c>
      <c r="F93" s="683" t="s">
        <v>564</v>
      </c>
      <c r="G93" s="683" t="s">
        <v>565</v>
      </c>
      <c r="H93" s="649"/>
      <c r="I93" s="649"/>
      <c r="J93" s="649"/>
      <c r="K93" s="650"/>
      <c r="L93" s="651"/>
      <c r="M93" s="652"/>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C94-$K21</f>
        <v>100</v>
      </c>
      <c r="E94" s="654">
        <f>D94-$K21</f>
        <v>100</v>
      </c>
      <c r="F94" s="654">
        <f>E94-$K21</f>
        <v>100</v>
      </c>
      <c r="G94" s="654">
        <f>F94-$K21</f>
        <v>100</v>
      </c>
      <c r="H94" s="654"/>
      <c r="I94" s="654"/>
      <c r="J94" s="654"/>
      <c r="K94" s="654"/>
      <c r="L94" s="654"/>
      <c r="M94" s="655"/>
      <c r="N94" s="1999"/>
      <c r="O94" s="1999"/>
      <c r="P94" s="1998"/>
      <c r="Q94" s="1991"/>
      <c r="R94" s="1979"/>
      <c r="S94" s="1979"/>
      <c r="T94" s="1979"/>
      <c r="U94" s="1979"/>
      <c r="V94" s="1979"/>
      <c r="W94" s="1979"/>
      <c r="X94" s="1979"/>
      <c r="Y94" s="1979"/>
      <c r="Z94" s="1979"/>
      <c r="AA94" s="1979"/>
      <c r="AB94" s="1979"/>
      <c r="AC94" s="1979"/>
    </row>
    <row r="95" spans="1:29" ht="15.75" thickTop="1">
      <c r="A95" s="644"/>
      <c r="B95" s="648" t="s">
        <v>568</v>
      </c>
      <c r="C95" s="683" t="s">
        <v>561</v>
      </c>
      <c r="D95" s="683" t="s">
        <v>562</v>
      </c>
      <c r="E95" s="683" t="s">
        <v>563</v>
      </c>
      <c r="F95" s="683" t="s">
        <v>564</v>
      </c>
      <c r="G95" s="683" t="s">
        <v>565</v>
      </c>
      <c r="H95" s="649"/>
      <c r="I95" s="649"/>
      <c r="J95" s="649"/>
      <c r="K95" s="650"/>
      <c r="L95" s="651"/>
      <c r="M95" s="652"/>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C96-$K23</f>
        <v>100</v>
      </c>
      <c r="E96" s="654">
        <f>D96-$K23</f>
        <v>100</v>
      </c>
      <c r="F96" s="654">
        <f>E96-$K23</f>
        <v>100</v>
      </c>
      <c r="G96" s="654">
        <f>F96-$K23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s="1165" customFormat="1" ht="27.75" thickTop="1">
      <c r="A97" s="684"/>
      <c r="B97" s="648" t="s">
        <v>569</v>
      </c>
      <c r="C97" s="683" t="s">
        <v>561</v>
      </c>
      <c r="D97" s="683" t="s">
        <v>562</v>
      </c>
      <c r="E97" s="683" t="s">
        <v>563</v>
      </c>
      <c r="F97" s="683" t="s">
        <v>564</v>
      </c>
      <c r="G97" s="683" t="s">
        <v>565</v>
      </c>
      <c r="H97" s="683"/>
      <c r="I97" s="683"/>
      <c r="J97" s="683"/>
      <c r="K97" s="683"/>
      <c r="L97" s="685"/>
      <c r="M97" s="686"/>
      <c r="N97" s="1995"/>
      <c r="O97" s="1995"/>
      <c r="P97" s="1998"/>
      <c r="Q97" s="1991"/>
      <c r="R97" s="1857"/>
      <c r="S97" s="1857"/>
      <c r="T97" s="1857"/>
      <c r="U97" s="1857"/>
      <c r="V97" s="1857"/>
      <c r="W97" s="1857"/>
      <c r="X97" s="1857"/>
      <c r="Y97" s="1857"/>
      <c r="Z97" s="1857"/>
      <c r="AA97" s="1857"/>
      <c r="AB97" s="1857"/>
      <c r="AC97" s="1857"/>
    </row>
    <row r="98" spans="1:29" s="1165" customFormat="1" ht="15.75" thickBot="1">
      <c r="A98" s="684"/>
      <c r="B98" s="653"/>
      <c r="C98" s="687">
        <v>100</v>
      </c>
      <c r="D98" s="654">
        <f>C98-$K25</f>
        <v>100</v>
      </c>
      <c r="E98" s="654">
        <f>D98-$K25</f>
        <v>100</v>
      </c>
      <c r="F98" s="654">
        <f>E98-$K25</f>
        <v>100</v>
      </c>
      <c r="G98" s="654">
        <f>F98-$K25</f>
        <v>100</v>
      </c>
      <c r="H98" s="654"/>
      <c r="I98" s="654"/>
      <c r="J98" s="654"/>
      <c r="K98" s="654"/>
      <c r="L98" s="654"/>
      <c r="M98" s="655"/>
      <c r="N98" s="1999"/>
      <c r="O98" s="1999"/>
      <c r="P98" s="1998"/>
      <c r="Q98" s="1991"/>
      <c r="R98" s="1857"/>
      <c r="S98" s="1857"/>
      <c r="T98" s="1857"/>
      <c r="U98" s="1857"/>
      <c r="V98" s="1857"/>
      <c r="W98" s="1857"/>
      <c r="X98" s="1857"/>
      <c r="Y98" s="1857"/>
      <c r="Z98" s="1857"/>
      <c r="AA98" s="1857"/>
      <c r="AB98" s="1857"/>
      <c r="AC98" s="1857"/>
    </row>
    <row r="99" spans="1:29" s="1165" customFormat="1" ht="27.75" thickTop="1">
      <c r="A99" s="684"/>
      <c r="B99" s="648" t="s">
        <v>570</v>
      </c>
      <c r="C99" s="678" t="s">
        <v>561</v>
      </c>
      <c r="D99" s="678" t="s">
        <v>562</v>
      </c>
      <c r="E99" s="678" t="s">
        <v>563</v>
      </c>
      <c r="F99" s="678" t="s">
        <v>564</v>
      </c>
      <c r="G99" s="678" t="s">
        <v>565</v>
      </c>
      <c r="H99" s="683"/>
      <c r="I99" s="683"/>
      <c r="J99" s="683"/>
      <c r="K99" s="683"/>
      <c r="L99" s="683"/>
      <c r="M99" s="686"/>
      <c r="N99" s="1995"/>
      <c r="O99" s="1995"/>
      <c r="P99" s="1998"/>
      <c r="Q99" s="1991"/>
      <c r="R99" s="1857"/>
      <c r="S99" s="1857"/>
      <c r="T99" s="1857"/>
      <c r="U99" s="1857"/>
      <c r="V99" s="1857"/>
      <c r="W99" s="1857"/>
      <c r="X99" s="1857"/>
      <c r="Y99" s="1857"/>
      <c r="Z99" s="1857"/>
      <c r="AA99" s="1857"/>
      <c r="AB99" s="1857"/>
      <c r="AC99" s="1857"/>
    </row>
    <row r="100" spans="1:29" s="1165" customFormat="1" ht="15.75" thickBot="1">
      <c r="A100" s="684"/>
      <c r="B100" s="653"/>
      <c r="C100" s="654">
        <v>100</v>
      </c>
      <c r="D100" s="654">
        <f>C100-$K27</f>
        <v>100</v>
      </c>
      <c r="E100" s="654">
        <f>D100-$K27</f>
        <v>100</v>
      </c>
      <c r="F100" s="654">
        <f>E100-$K27</f>
        <v>100</v>
      </c>
      <c r="G100" s="654">
        <f>F100-$K27</f>
        <v>100</v>
      </c>
      <c r="H100" s="654"/>
      <c r="I100" s="654"/>
      <c r="J100" s="654"/>
      <c r="K100" s="654"/>
      <c r="L100" s="654"/>
      <c r="M100" s="655"/>
      <c r="N100" s="1999"/>
      <c r="O100" s="1999"/>
      <c r="P100" s="1998"/>
      <c r="Q100" s="1991"/>
      <c r="R100" s="1857"/>
      <c r="S100" s="1857"/>
      <c r="T100" s="1857"/>
      <c r="U100" s="1857"/>
      <c r="V100" s="1857"/>
      <c r="W100" s="1857"/>
      <c r="X100" s="1857"/>
      <c r="Y100" s="1857"/>
      <c r="Z100" s="1857"/>
      <c r="AA100" s="1857"/>
      <c r="AB100" s="1857"/>
      <c r="AC100" s="1857"/>
    </row>
    <row r="101" spans="1:29" s="1247" customFormat="1" ht="15.75" thickTop="1">
      <c r="A101" s="662"/>
      <c r="B101" s="1763" t="s">
        <v>2265</v>
      </c>
      <c r="C101" s="678" t="s">
        <v>561</v>
      </c>
      <c r="D101" s="678" t="s">
        <v>562</v>
      </c>
      <c r="E101" s="678" t="s">
        <v>563</v>
      </c>
      <c r="F101" s="678" t="s">
        <v>564</v>
      </c>
      <c r="G101" s="678" t="s">
        <v>565</v>
      </c>
      <c r="H101" s="688"/>
      <c r="I101" s="688"/>
      <c r="J101" s="688"/>
      <c r="K101" s="688"/>
      <c r="L101" s="689"/>
      <c r="M101" s="690"/>
      <c r="N101" s="2000"/>
      <c r="O101" s="2000"/>
      <c r="P101" s="2001"/>
      <c r="Q101" s="2002"/>
      <c r="R101" s="2003"/>
      <c r="S101" s="2003"/>
      <c r="T101" s="2003"/>
      <c r="U101" s="2003"/>
      <c r="V101" s="2003"/>
      <c r="W101" s="2003"/>
      <c r="X101" s="2003"/>
      <c r="Y101" s="2003"/>
      <c r="Z101" s="2003"/>
      <c r="AA101" s="2003"/>
      <c r="AB101" s="2003"/>
      <c r="AC101" s="2003"/>
    </row>
    <row r="102" spans="1:29" s="1247" customFormat="1" ht="15.75" thickBot="1">
      <c r="A102" s="662"/>
      <c r="B102" s="653"/>
      <c r="C102" s="654">
        <v>100</v>
      </c>
      <c r="D102" s="654">
        <f>C102-$K29</f>
        <v>100</v>
      </c>
      <c r="E102" s="654">
        <f>D102-$K29</f>
        <v>100</v>
      </c>
      <c r="F102" s="654">
        <f>E102-$K29</f>
        <v>100</v>
      </c>
      <c r="G102" s="654">
        <f>F102-$K29</f>
        <v>100</v>
      </c>
      <c r="H102" s="691"/>
      <c r="I102" s="691"/>
      <c r="J102" s="691"/>
      <c r="K102" s="691"/>
      <c r="L102" s="691"/>
      <c r="M102" s="692"/>
      <c r="N102" s="2000"/>
      <c r="O102" s="2000"/>
      <c r="P102" s="2001"/>
      <c r="Q102" s="2002"/>
      <c r="R102" s="2003"/>
      <c r="S102" s="2003"/>
      <c r="T102" s="2003"/>
      <c r="U102" s="2003"/>
      <c r="V102" s="2003"/>
      <c r="W102" s="2003"/>
      <c r="X102" s="2003"/>
      <c r="Y102" s="2003"/>
      <c r="Z102" s="2003"/>
      <c r="AA102" s="2003"/>
      <c r="AB102" s="2003"/>
      <c r="AC102" s="2003"/>
    </row>
    <row r="103" spans="1:29" s="1247" customFormat="1" ht="15.75" thickTop="1">
      <c r="A103" s="662"/>
      <c r="B103" s="2361" t="s">
        <v>2267</v>
      </c>
      <c r="C103" s="2362" t="s">
        <v>2268</v>
      </c>
      <c r="D103" s="2362" t="s">
        <v>2269</v>
      </c>
      <c r="E103" s="2362" t="s">
        <v>2270</v>
      </c>
      <c r="F103" s="2362" t="s">
        <v>2271</v>
      </c>
      <c r="G103" s="2362" t="s">
        <v>2272</v>
      </c>
      <c r="H103" s="688"/>
      <c r="I103" s="688"/>
      <c r="J103" s="688"/>
      <c r="K103" s="688"/>
      <c r="L103" s="688"/>
      <c r="M103" s="690"/>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6"/>
      <c r="C104" s="654">
        <v>100</v>
      </c>
      <c r="D104" s="654">
        <f>C104-$K31</f>
        <v>100</v>
      </c>
      <c r="E104" s="654">
        <f>D104-$K31</f>
        <v>100</v>
      </c>
      <c r="F104" s="654">
        <f>E104-$K31</f>
        <v>100</v>
      </c>
      <c r="G104" s="654">
        <f>F104-$K31</f>
        <v>100</v>
      </c>
      <c r="H104" s="658"/>
      <c r="I104" s="658"/>
      <c r="J104" s="658"/>
      <c r="K104" s="658"/>
      <c r="L104" s="658"/>
      <c r="M104" s="2354"/>
      <c r="N104" s="2000"/>
      <c r="O104" s="2000"/>
      <c r="P104" s="2001"/>
      <c r="Q104" s="2002"/>
      <c r="R104" s="2003"/>
      <c r="S104" s="2003"/>
      <c r="T104" s="2003"/>
      <c r="U104" s="2003"/>
      <c r="V104" s="2003"/>
      <c r="W104" s="2003"/>
      <c r="X104" s="2003"/>
      <c r="Y104" s="2003"/>
      <c r="Z104" s="2003"/>
      <c r="AA104" s="2003"/>
      <c r="AB104" s="2003"/>
      <c r="AC104" s="2003"/>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1999"/>
      <c r="O106" s="1999"/>
      <c r="P106" s="1998"/>
      <c r="Q106" s="1991"/>
      <c r="R106" s="1979"/>
      <c r="S106" s="1979"/>
      <c r="T106" s="1979"/>
      <c r="U106" s="1979"/>
      <c r="V106" s="1979"/>
      <c r="W106" s="1979"/>
      <c r="X106" s="1979"/>
      <c r="Y106" s="1979"/>
      <c r="Z106" s="1979"/>
      <c r="AA106" s="1979"/>
      <c r="AB106" s="1979"/>
      <c r="AC106" s="1979"/>
    </row>
    <row r="107" spans="1:29" ht="27.75" thickTop="1">
      <c r="A107" s="644"/>
      <c r="B107" s="648" t="s">
        <v>531</v>
      </c>
      <c r="C107" s="663"/>
      <c r="D107" s="663"/>
      <c r="E107" s="663"/>
      <c r="F107" s="663"/>
      <c r="G107" s="66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1999"/>
      <c r="O108" s="1999"/>
      <c r="P108" s="1998"/>
      <c r="Q108" s="1991"/>
      <c r="R108" s="1979"/>
      <c r="S108" s="1979"/>
      <c r="T108" s="1979"/>
      <c r="U108" s="1979"/>
      <c r="V108" s="1979"/>
      <c r="W108" s="1979"/>
      <c r="X108" s="1979"/>
      <c r="Y108" s="1979"/>
      <c r="Z108" s="1979"/>
      <c r="AA108" s="1979"/>
      <c r="AB108" s="1979"/>
      <c r="AC108" s="1979"/>
    </row>
    <row r="109" spans="1:29" ht="15.75" thickTop="1">
      <c r="A109" s="644"/>
      <c r="B109" s="648" t="s">
        <v>532</v>
      </c>
      <c r="C109" s="3477" t="s">
        <v>3402</v>
      </c>
      <c r="D109" s="3477" t="s">
        <v>3389</v>
      </c>
      <c r="E109" s="3477" t="s">
        <v>3398</v>
      </c>
      <c r="F109" s="3477" t="s">
        <v>3391</v>
      </c>
      <c r="G109" s="3477" t="s">
        <v>3403</v>
      </c>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4">C110-$K36</f>
        <v>98</v>
      </c>
      <c r="E110" s="654">
        <f t="shared" si="24"/>
        <v>96</v>
      </c>
      <c r="F110" s="654">
        <f t="shared" si="24"/>
        <v>94</v>
      </c>
      <c r="G110" s="654">
        <f t="shared" si="24"/>
        <v>92</v>
      </c>
      <c r="H110" s="654">
        <f t="shared" si="24"/>
        <v>90</v>
      </c>
      <c r="I110" s="654">
        <f t="shared" si="24"/>
        <v>88</v>
      </c>
      <c r="J110" s="654">
        <f t="shared" si="24"/>
        <v>86</v>
      </c>
      <c r="K110" s="654">
        <f t="shared" si="24"/>
        <v>84</v>
      </c>
      <c r="L110" s="654">
        <f t="shared" si="24"/>
        <v>82</v>
      </c>
      <c r="M110" s="654">
        <f t="shared" si="24"/>
        <v>80</v>
      </c>
      <c r="N110" s="1999"/>
      <c r="O110" s="1999"/>
      <c r="P110" s="1998"/>
      <c r="Q110" s="1991"/>
      <c r="R110" s="1979"/>
      <c r="S110" s="1979"/>
      <c r="T110" s="1979"/>
      <c r="U110" s="1979"/>
      <c r="V110" s="1979"/>
      <c r="W110" s="1979"/>
      <c r="X110" s="1979"/>
      <c r="Y110" s="1979"/>
      <c r="Z110" s="1979"/>
      <c r="AA110" s="1979"/>
      <c r="AB110" s="1979"/>
      <c r="AC110" s="1979"/>
    </row>
    <row r="111" spans="1:29" ht="15.75" thickTop="1">
      <c r="A111" s="644"/>
      <c r="B111" s="656">
        <f>B37</f>
        <v>111</v>
      </c>
      <c r="C111" s="663"/>
      <c r="D111" s="663"/>
      <c r="E111" s="663"/>
      <c r="F111" s="663"/>
      <c r="G111" s="697"/>
      <c r="H111" s="697"/>
      <c r="I111" s="697"/>
      <c r="J111" s="697"/>
      <c r="K111" s="698"/>
      <c r="L111" s="699"/>
      <c r="M111" s="700"/>
      <c r="N111" s="1997"/>
      <c r="O111" s="1997"/>
      <c r="P111" s="1998"/>
      <c r="Q111" s="1991"/>
      <c r="R111" s="1979"/>
      <c r="S111" s="1979"/>
      <c r="T111" s="1979"/>
      <c r="U111" s="1979"/>
      <c r="V111" s="1979"/>
      <c r="W111" s="1979"/>
      <c r="X111" s="1979"/>
      <c r="Y111" s="1979"/>
      <c r="Z111" s="1979"/>
      <c r="AA111" s="1979"/>
      <c r="AB111" s="1979"/>
      <c r="AC111" s="1979"/>
    </row>
    <row r="112" spans="1:29" ht="15.75" thickBot="1">
      <c r="A112" s="644"/>
      <c r="B112" s="674"/>
      <c r="C112" s="667"/>
      <c r="D112" s="667"/>
      <c r="E112" s="667"/>
      <c r="F112" s="667"/>
      <c r="G112" s="701"/>
      <c r="H112" s="701"/>
      <c r="I112" s="701"/>
      <c r="J112" s="701"/>
      <c r="K112" s="701"/>
      <c r="L112" s="701"/>
      <c r="M112" s="702"/>
      <c r="N112" s="1999"/>
      <c r="O112" s="1999"/>
      <c r="P112" s="1998"/>
      <c r="Q112" s="1991"/>
      <c r="R112" s="1979"/>
      <c r="S112" s="1979"/>
      <c r="T112" s="1979"/>
      <c r="U112" s="1979"/>
      <c r="V112" s="1979"/>
      <c r="W112" s="1979"/>
      <c r="X112" s="1979"/>
      <c r="Y112" s="1979"/>
      <c r="Z112" s="1979"/>
      <c r="AA112" s="1979"/>
      <c r="AB112" s="1979"/>
      <c r="AC112" s="1979"/>
    </row>
    <row r="113" spans="1:29" ht="15" thickTop="1">
      <c r="A113" s="564"/>
      <c r="B113" s="648">
        <f>B38</f>
        <v>111</v>
      </c>
      <c r="C113" s="636"/>
      <c r="D113" s="636"/>
      <c r="E113" s="636"/>
      <c r="F113" s="636"/>
      <c r="G113" s="693"/>
      <c r="H113" s="693"/>
      <c r="I113" s="693"/>
      <c r="J113" s="693"/>
      <c r="K113" s="694"/>
      <c r="L113" s="695"/>
      <c r="M113" s="696"/>
      <c r="N113" s="1997"/>
      <c r="O113" s="1997"/>
      <c r="P113" s="1998"/>
      <c r="Q113" s="1991"/>
      <c r="R113" s="1979"/>
      <c r="S113" s="1979"/>
      <c r="T113" s="1979"/>
      <c r="U113" s="1979"/>
      <c r="V113" s="1979"/>
      <c r="W113" s="1979"/>
      <c r="X113" s="1979"/>
      <c r="Y113" s="1979"/>
      <c r="Z113" s="1979"/>
      <c r="AA113" s="1979"/>
      <c r="AB113" s="1979"/>
      <c r="AC113" s="1979"/>
    </row>
    <row r="114" spans="1:29" ht="15.75" thickBot="1">
      <c r="A114" s="644"/>
      <c r="B114" s="653"/>
      <c r="C114" s="675"/>
      <c r="D114" s="675"/>
      <c r="E114" s="675"/>
      <c r="F114" s="675"/>
      <c r="G114" s="646"/>
      <c r="H114" s="646"/>
      <c r="I114" s="646"/>
      <c r="J114" s="646"/>
      <c r="K114" s="646"/>
      <c r="L114" s="646"/>
      <c r="M114" s="647"/>
      <c r="N114" s="1999"/>
      <c r="O114" s="1999"/>
      <c r="P114" s="1998"/>
      <c r="Q114" s="1991"/>
      <c r="R114" s="1979"/>
      <c r="S114" s="1979"/>
      <c r="T114" s="1979"/>
      <c r="U114" s="1979"/>
      <c r="V114" s="1979"/>
      <c r="W114" s="1979"/>
      <c r="X114" s="1979"/>
      <c r="Y114" s="1979"/>
      <c r="Z114" s="1979"/>
      <c r="AA114" s="1979"/>
      <c r="AB114" s="1979"/>
      <c r="AC114" s="1979"/>
    </row>
    <row r="115" spans="1:29" s="1247" customFormat="1" ht="15" thickTop="1">
      <c r="A115" s="703"/>
      <c r="B115" s="704">
        <f>B39</f>
        <v>111</v>
      </c>
      <c r="C115" s="705"/>
      <c r="D115" s="705"/>
      <c r="E115" s="705"/>
      <c r="F115" s="705"/>
      <c r="G115" s="705"/>
      <c r="H115" s="705"/>
      <c r="I115" s="705"/>
      <c r="J115" s="706"/>
      <c r="K115" s="706"/>
      <c r="L115" s="707"/>
      <c r="M115" s="708"/>
      <c r="N115" s="2000"/>
      <c r="O115" s="2000"/>
      <c r="P115" s="2001"/>
      <c r="Q115" s="2002"/>
      <c r="R115" s="2003"/>
      <c r="S115" s="2003"/>
      <c r="T115" s="2003"/>
      <c r="U115" s="2003"/>
      <c r="V115" s="2003"/>
      <c r="W115" s="2003"/>
      <c r="X115" s="2003"/>
      <c r="Y115" s="2003"/>
      <c r="Z115" s="2003"/>
      <c r="AA115" s="2003"/>
      <c r="AB115" s="2003"/>
      <c r="AC115" s="2003"/>
    </row>
    <row r="116" spans="1:29" s="1247" customFormat="1" ht="15.75" thickBot="1">
      <c r="A116" s="662"/>
      <c r="B116" s="656"/>
      <c r="C116" s="625"/>
      <c r="D116" s="569"/>
      <c r="E116" s="569"/>
      <c r="F116" s="569"/>
      <c r="G116" s="569"/>
      <c r="H116" s="569"/>
      <c r="I116" s="569"/>
      <c r="J116" s="569"/>
      <c r="K116" s="569"/>
      <c r="L116" s="569"/>
      <c r="M116" s="709"/>
      <c r="N116" s="1999"/>
      <c r="O116" s="1999"/>
      <c r="P116" s="2001"/>
      <c r="Q116" s="2002"/>
      <c r="R116" s="2003"/>
      <c r="S116" s="2003"/>
      <c r="T116" s="2003"/>
      <c r="U116" s="2003"/>
      <c r="V116" s="2003"/>
      <c r="W116" s="2003"/>
      <c r="X116" s="2003"/>
      <c r="Y116" s="2003"/>
      <c r="Z116" s="2003"/>
      <c r="AA116" s="2003"/>
      <c r="AB116" s="2003"/>
      <c r="AC116" s="2003"/>
    </row>
    <row r="117" spans="1:29" ht="28.5">
      <c r="A117" s="639" t="s">
        <v>534</v>
      </c>
      <c r="B117" s="640" t="s">
        <v>575</v>
      </c>
      <c r="C117" s="679" t="str">
        <f t="shared" ref="C117:L117" si="25">C118&amp;"(含)"&amp;"-"&amp;D118</f>
        <v>0(含)-10000</v>
      </c>
      <c r="D117" s="679" t="str">
        <f t="shared" si="25"/>
        <v>10000(含)-20000</v>
      </c>
      <c r="E117" s="679" t="str">
        <f t="shared" si="25"/>
        <v>20000(含)-30000</v>
      </c>
      <c r="F117" s="679" t="str">
        <f t="shared" si="25"/>
        <v>30000(含)-40000</v>
      </c>
      <c r="G117" s="679" t="str">
        <f t="shared" si="25"/>
        <v>40000(含)-50000</v>
      </c>
      <c r="H117" s="679" t="str">
        <f t="shared" si="25"/>
        <v>50000(含)-</v>
      </c>
      <c r="I117" s="679" t="str">
        <f t="shared" si="25"/>
        <v>(含)-</v>
      </c>
      <c r="J117" s="2695" t="str">
        <f t="shared" si="25"/>
        <v>(含)-</v>
      </c>
      <c r="K117" s="2695" t="str">
        <f t="shared" si="25"/>
        <v>(含)-</v>
      </c>
      <c r="L117" s="2696" t="str">
        <f t="shared" si="25"/>
        <v>(含)-</v>
      </c>
      <c r="M117" s="2697"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ht="15">
      <c r="A118" s="644"/>
      <c r="B118" s="656"/>
      <c r="C118" s="705">
        <v>0</v>
      </c>
      <c r="D118" s="705">
        <v>10000</v>
      </c>
      <c r="E118" s="705">
        <v>20000</v>
      </c>
      <c r="F118" s="705">
        <v>30000</v>
      </c>
      <c r="G118" s="705">
        <v>40000</v>
      </c>
      <c r="H118" s="705">
        <v>50000</v>
      </c>
      <c r="I118" s="705"/>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75">
        <v>100</v>
      </c>
      <c r="D119" s="701">
        <v>102</v>
      </c>
      <c r="E119" s="701">
        <v>104</v>
      </c>
      <c r="F119" s="701">
        <v>106</v>
      </c>
      <c r="G119" s="701">
        <v>108</v>
      </c>
      <c r="H119" s="701">
        <v>110</v>
      </c>
      <c r="I119" s="701"/>
      <c r="J119" s="701"/>
      <c r="K119" s="701"/>
      <c r="L119" s="701"/>
      <c r="M119" s="702"/>
      <c r="N119" s="1999"/>
      <c r="O119" s="1999"/>
      <c r="P119" s="1998"/>
      <c r="Q119" s="1991"/>
      <c r="R119" s="1979"/>
      <c r="S119" s="1979"/>
      <c r="T119" s="1979"/>
      <c r="U119" s="1979"/>
      <c r="V119" s="1979"/>
      <c r="W119" s="1979"/>
      <c r="X119" s="1979"/>
      <c r="Y119" s="1979"/>
      <c r="Z119" s="1979"/>
      <c r="AA119" s="1979"/>
      <c r="AB119" s="1979"/>
      <c r="AC119" s="1979"/>
    </row>
    <row r="120" spans="1:29" ht="15" thickTop="1">
      <c r="A120" s="710"/>
      <c r="B120" s="648" t="s">
        <v>576</v>
      </c>
      <c r="C120" s="693"/>
      <c r="D120" s="693"/>
      <c r="E120" s="693"/>
      <c r="F120" s="693"/>
      <c r="G120" s="693"/>
      <c r="H120" s="693"/>
      <c r="I120" s="693"/>
      <c r="J120" s="693"/>
      <c r="K120" s="694"/>
      <c r="L120" s="695"/>
      <c r="M120" s="696"/>
      <c r="N120" s="1997"/>
      <c r="O120" s="1997"/>
      <c r="P120" s="1998"/>
      <c r="Q120" s="1991"/>
      <c r="R120" s="1979"/>
      <c r="S120" s="1979"/>
      <c r="T120" s="1979"/>
      <c r="U120" s="1979"/>
      <c r="V120" s="1979"/>
      <c r="W120" s="1979"/>
      <c r="X120" s="1979"/>
      <c r="Y120" s="1979"/>
      <c r="Z120" s="1979"/>
      <c r="AA120" s="1979"/>
      <c r="AB120" s="1979"/>
      <c r="AC120" s="1979"/>
    </row>
    <row r="121" spans="1:29" ht="15.75"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1999"/>
      <c r="O121" s="1999"/>
      <c r="P121" s="1998"/>
      <c r="Q121" s="1991"/>
      <c r="R121" s="1979"/>
      <c r="S121" s="1979"/>
      <c r="T121" s="1979"/>
      <c r="U121" s="1979"/>
      <c r="V121" s="1979"/>
      <c r="W121" s="1979"/>
      <c r="X121" s="1979"/>
      <c r="Y121" s="1979"/>
      <c r="Z121" s="1979"/>
      <c r="AA121" s="1979"/>
      <c r="AB121" s="1979"/>
      <c r="AC121" s="1979"/>
    </row>
    <row r="122" spans="1:29" ht="15" thickTop="1">
      <c r="A122" s="710"/>
      <c r="B122" s="648" t="s">
        <v>577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1999"/>
      <c r="O123" s="1999"/>
      <c r="P123" s="1998"/>
      <c r="Q123" s="1991"/>
      <c r="R123" s="1979"/>
      <c r="S123" s="1979"/>
      <c r="T123" s="1979"/>
      <c r="U123" s="1979"/>
      <c r="V123" s="1979"/>
      <c r="W123" s="1979"/>
      <c r="X123" s="1979"/>
      <c r="Y123" s="1979"/>
      <c r="Z123" s="1979"/>
      <c r="AA123" s="1979"/>
      <c r="AB123" s="1979"/>
      <c r="AC123" s="1979"/>
    </row>
    <row r="124" spans="1:29" s="1247" customFormat="1" ht="15" thickTop="1">
      <c r="A124" s="703"/>
      <c r="B124" s="1763" t="s">
        <v>2211</v>
      </c>
      <c r="C124" s="1280" t="s">
        <v>3397</v>
      </c>
      <c r="D124" s="1280" t="s">
        <v>3399</v>
      </c>
      <c r="E124" s="1280" t="s">
        <v>3392</v>
      </c>
      <c r="F124" s="1280" t="s">
        <v>3400</v>
      </c>
      <c r="G124" s="1280" t="s">
        <v>3401</v>
      </c>
      <c r="H124" s="693"/>
      <c r="I124" s="693"/>
      <c r="J124" s="693"/>
      <c r="K124" s="694"/>
      <c r="L124" s="695"/>
      <c r="M124" s="696"/>
      <c r="N124" s="2000"/>
      <c r="O124" s="2000"/>
      <c r="P124" s="2001"/>
      <c r="Q124" s="2002"/>
      <c r="R124" s="2003"/>
      <c r="S124" s="2003"/>
      <c r="T124" s="2003"/>
      <c r="U124" s="2003"/>
      <c r="V124" s="2003"/>
      <c r="W124" s="2003"/>
      <c r="X124" s="2003"/>
      <c r="Y124" s="2003"/>
      <c r="Z124" s="2003"/>
      <c r="AA124" s="2003"/>
      <c r="AB124" s="2003"/>
      <c r="AC124" s="2003"/>
    </row>
    <row r="125" spans="1:29" s="1247" customFormat="1" ht="15.75" thickBot="1">
      <c r="A125" s="662"/>
      <c r="B125" s="653"/>
      <c r="C125" s="654">
        <v>100</v>
      </c>
      <c r="D125" s="654">
        <f t="shared" ref="D125:M125" si="28">C125-$K43</f>
        <v>98</v>
      </c>
      <c r="E125" s="654">
        <f t="shared" si="28"/>
        <v>96</v>
      </c>
      <c r="F125" s="654">
        <f t="shared" si="28"/>
        <v>94</v>
      </c>
      <c r="G125" s="654">
        <f t="shared" si="28"/>
        <v>92</v>
      </c>
      <c r="H125" s="654">
        <f t="shared" si="28"/>
        <v>90</v>
      </c>
      <c r="I125" s="654">
        <f t="shared" si="28"/>
        <v>88</v>
      </c>
      <c r="J125" s="654">
        <f t="shared" si="28"/>
        <v>86</v>
      </c>
      <c r="K125" s="654">
        <f t="shared" si="28"/>
        <v>84</v>
      </c>
      <c r="L125" s="654">
        <f t="shared" si="28"/>
        <v>82</v>
      </c>
      <c r="M125" s="655">
        <f t="shared" si="28"/>
        <v>80</v>
      </c>
      <c r="N125" s="2000"/>
      <c r="O125" s="2000"/>
      <c r="P125" s="2001"/>
      <c r="Q125" s="2002"/>
      <c r="R125" s="2003"/>
      <c r="S125" s="2003"/>
      <c r="T125" s="2003"/>
      <c r="U125" s="2003"/>
      <c r="V125" s="2003"/>
      <c r="W125" s="2003"/>
      <c r="X125" s="2003"/>
      <c r="Y125" s="2003"/>
      <c r="Z125" s="2003"/>
      <c r="AA125" s="2003"/>
      <c r="AB125" s="2003"/>
      <c r="AC125" s="2003"/>
    </row>
    <row r="126" spans="1:29" ht="15" thickTop="1">
      <c r="A126" s="710"/>
      <c r="B126" s="648" t="s">
        <v>578</v>
      </c>
      <c r="C126" s="663"/>
      <c r="D126" s="663"/>
      <c r="E126" s="693"/>
      <c r="F126" s="693"/>
      <c r="G126" s="693"/>
      <c r="H126" s="693"/>
      <c r="I126" s="693"/>
      <c r="J126" s="693"/>
      <c r="K126" s="694"/>
      <c r="L126" s="695"/>
      <c r="M126" s="696"/>
      <c r="N126" s="1997"/>
      <c r="O126" s="1997"/>
      <c r="P126" s="1998"/>
      <c r="Q126" s="1991"/>
      <c r="R126" s="1979"/>
      <c r="S126" s="1979"/>
      <c r="T126" s="1979"/>
      <c r="U126" s="1979"/>
      <c r="V126" s="1979"/>
      <c r="W126" s="1979"/>
      <c r="X126" s="1979"/>
      <c r="Y126" s="1979"/>
      <c r="Z126" s="1979"/>
      <c r="AA126" s="1979"/>
      <c r="AB126" s="1979"/>
      <c r="AC126" s="1979"/>
    </row>
    <row r="127" spans="1:29" ht="15.75"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1999"/>
      <c r="O127" s="1999"/>
      <c r="P127" s="1998"/>
      <c r="Q127" s="1991"/>
      <c r="R127" s="1979"/>
      <c r="S127" s="1979"/>
      <c r="T127" s="1979"/>
      <c r="U127" s="1979"/>
      <c r="V127" s="1979"/>
      <c r="W127" s="1979"/>
      <c r="X127" s="1979"/>
      <c r="Y127" s="1979"/>
      <c r="Z127" s="1979"/>
      <c r="AA127" s="1979"/>
      <c r="AB127" s="1979"/>
      <c r="AC127" s="1979"/>
    </row>
    <row r="128" spans="1:29" ht="15" thickTop="1">
      <c r="A128" s="710"/>
      <c r="B128" s="648">
        <f>B45</f>
        <v>111</v>
      </c>
      <c r="C128" s="663"/>
      <c r="D128" s="663"/>
      <c r="E128" s="663"/>
      <c r="F128" s="663"/>
      <c r="G128" s="66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48">
        <f>B46</f>
        <v>111</v>
      </c>
      <c r="C130" s="636"/>
      <c r="D130" s="636"/>
      <c r="E130" s="636"/>
      <c r="F130" s="636"/>
      <c r="G130" s="693"/>
      <c r="H130" s="693"/>
      <c r="I130" s="693"/>
      <c r="J130" s="693"/>
      <c r="K130" s="694"/>
      <c r="L130" s="695"/>
      <c r="M130" s="696"/>
      <c r="N130" s="1997"/>
      <c r="O130" s="1997"/>
      <c r="P130" s="1998"/>
      <c r="Q130" s="1991"/>
      <c r="R130" s="1979"/>
      <c r="S130" s="1979"/>
      <c r="T130" s="1979"/>
      <c r="U130" s="1979"/>
      <c r="V130" s="1979"/>
      <c r="W130" s="1979"/>
      <c r="X130" s="1979"/>
      <c r="Y130" s="1979"/>
      <c r="Z130" s="1979"/>
      <c r="AA130" s="1979"/>
      <c r="AB130" s="1979"/>
      <c r="AC130" s="1979"/>
    </row>
    <row r="131" spans="1:29" ht="15.75" thickBot="1">
      <c r="A131" s="644"/>
      <c r="B131" s="653"/>
      <c r="C131" s="675"/>
      <c r="D131" s="675"/>
      <c r="E131" s="675"/>
      <c r="F131" s="675"/>
      <c r="G131" s="646"/>
      <c r="H131" s="646"/>
      <c r="I131" s="646"/>
      <c r="J131" s="646"/>
      <c r="K131" s="646"/>
      <c r="L131" s="646"/>
      <c r="M131" s="647"/>
      <c r="N131" s="1999"/>
      <c r="O131" s="1999"/>
      <c r="P131" s="1998"/>
      <c r="Q131" s="1991"/>
      <c r="R131" s="1979"/>
      <c r="S131" s="1979"/>
      <c r="T131" s="1979"/>
      <c r="U131" s="1979"/>
      <c r="V131" s="1979"/>
      <c r="W131" s="1979"/>
      <c r="X131" s="1979"/>
      <c r="Y131" s="1979"/>
      <c r="Z131" s="1979"/>
      <c r="AA131" s="1979"/>
      <c r="AB131" s="1979"/>
      <c r="AC131" s="1979"/>
    </row>
    <row r="132" spans="1:29" s="1247" customFormat="1" ht="15" thickTop="1">
      <c r="A132" s="703"/>
      <c r="B132" s="648">
        <f>B47</f>
        <v>111</v>
      </c>
      <c r="C132" s="636"/>
      <c r="D132" s="636"/>
      <c r="E132" s="636"/>
      <c r="F132" s="636"/>
      <c r="G132" s="664"/>
      <c r="H132" s="664"/>
      <c r="I132" s="664"/>
      <c r="J132" s="664"/>
      <c r="K132" s="664"/>
      <c r="L132" s="665"/>
      <c r="M132" s="666"/>
      <c r="N132" s="2000"/>
      <c r="O132" s="2000"/>
      <c r="P132" s="2001"/>
      <c r="Q132" s="2002"/>
      <c r="R132" s="2003"/>
      <c r="S132" s="2003"/>
      <c r="T132" s="2003"/>
      <c r="U132" s="2003"/>
      <c r="V132" s="2003"/>
      <c r="W132" s="2003"/>
      <c r="X132" s="2003"/>
      <c r="Y132" s="2003"/>
      <c r="Z132" s="2003"/>
      <c r="AA132" s="2003"/>
      <c r="AB132" s="2003"/>
      <c r="AC132" s="2003"/>
    </row>
    <row r="133" spans="1:29" s="1247" customFormat="1" ht="15.75" thickBot="1">
      <c r="A133" s="673"/>
      <c r="B133" s="711"/>
      <c r="C133" s="675"/>
      <c r="D133" s="675"/>
      <c r="E133" s="675"/>
      <c r="F133" s="675"/>
      <c r="G133" s="701"/>
      <c r="H133" s="701"/>
      <c r="I133" s="701"/>
      <c r="J133" s="701"/>
      <c r="K133" s="701"/>
      <c r="L133" s="701"/>
      <c r="M133" s="702"/>
      <c r="N133" s="2000"/>
      <c r="O133" s="2000"/>
      <c r="P133" s="2001"/>
      <c r="Q133" s="2002"/>
      <c r="R133" s="2003"/>
      <c r="S133" s="2003"/>
      <c r="T133" s="2003"/>
      <c r="U133" s="2003"/>
      <c r="V133" s="2003"/>
      <c r="W133" s="2003"/>
      <c r="X133" s="2003"/>
      <c r="Y133" s="2003"/>
      <c r="Z133" s="2003"/>
      <c r="AA133" s="2003"/>
      <c r="AB133" s="2003"/>
      <c r="AC133" s="2003"/>
    </row>
    <row r="134" spans="1:29" s="1475"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5"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5"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5"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5"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5"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5"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5"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5"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5"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5"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5"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5"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5"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5"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5"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5"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5"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5"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5"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5"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5"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5"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5"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5"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5"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5"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5"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5"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5"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5"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5"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5"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5"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5"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5"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5"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5"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5"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5"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5"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5"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5"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5"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5"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5"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5"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5"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5"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5"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5"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5"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5"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5"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5"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5"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5"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5"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5"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5"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5"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5"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5"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5"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5"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5"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5"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5"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5"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5"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5"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5"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5"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5"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5"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5"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5"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5"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5"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5"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5"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5"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5"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5"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5"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5"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5"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5"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5"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5"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5"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5"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5"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5"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5"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5"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5"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5"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5"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5"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5"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5"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5"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5"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5"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5"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5"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5"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5"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5"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5"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5"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5"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5"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5"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5"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5"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5"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5"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5"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5"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6" customWidth="1"/>
    <col min="2" max="2" width="10.75" style="1536" customWidth="1"/>
    <col min="3" max="4" width="11.625" style="1536" customWidth="1"/>
    <col min="5" max="5" width="6.625" style="1536" customWidth="1"/>
    <col min="6" max="16384" width="9" style="1536"/>
  </cols>
  <sheetData>
    <row r="36" spans="1:9">
      <c r="A36" s="1535" t="s">
        <v>1696</v>
      </c>
      <c r="B36" s="1535" t="s">
        <v>1697</v>
      </c>
    </row>
    <row r="37" spans="1:9" ht="28.5" customHeight="1">
      <c r="A37" s="1535"/>
      <c r="B37" s="3494" t="str">
        <f>项目基本情况!B1</f>
        <v>出让国有建设用地使用权抵押价格预评估</v>
      </c>
      <c r="C37" s="3494"/>
      <c r="D37" s="3494"/>
      <c r="E37" s="3494"/>
      <c r="F37" s="3494"/>
      <c r="G37" s="3494"/>
      <c r="H37" s="3494"/>
      <c r="I37" s="3494"/>
    </row>
    <row r="38" spans="1:9">
      <c r="A38" s="1537"/>
      <c r="B38" s="1537"/>
    </row>
    <row r="39" spans="1:9">
      <c r="A39" s="1535" t="s">
        <v>1696</v>
      </c>
      <c r="B39" s="1535" t="s">
        <v>1837</v>
      </c>
    </row>
    <row r="40" spans="1:9">
      <c r="A40" s="1535"/>
      <c r="B40" s="1535">
        <f>项目基本情况!B5</f>
        <v>0</v>
      </c>
    </row>
    <row r="41" spans="1:9">
      <c r="A41" s="1535"/>
      <c r="B41" s="1535"/>
    </row>
    <row r="42" spans="1:9">
      <c r="A42" s="1535" t="s">
        <v>1696</v>
      </c>
      <c r="B42" s="1535" t="s">
        <v>1838</v>
      </c>
    </row>
    <row r="43" spans="1:9">
      <c r="A43" s="1535"/>
      <c r="B43" s="1535" t="s">
        <v>1698</v>
      </c>
    </row>
    <row r="44" spans="1:9">
      <c r="A44" s="1535"/>
      <c r="B44" s="1535"/>
    </row>
    <row r="45" spans="1:9">
      <c r="A45" s="1535" t="s">
        <v>1696</v>
      </c>
      <c r="B45" s="1535" t="s">
        <v>1836</v>
      </c>
    </row>
    <row r="46" spans="1:9" s="1535" customFormat="1" ht="12.75">
      <c r="B46" s="1535" t="str">
        <f>项目基本情况!K4</f>
        <v>土地估价师、土地估价师</v>
      </c>
    </row>
    <row r="47" spans="1:9">
      <c r="A47" s="1535"/>
      <c r="B47" s="1535"/>
    </row>
    <row r="48" spans="1:9">
      <c r="A48" s="1535" t="s">
        <v>1696</v>
      </c>
      <c r="B48" s="1535" t="s">
        <v>1839</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90" zoomScaleNormal="80" zoomScaleSheetLayoutView="90" workbookViewId="0">
      <selection activeCell="F18" sqref="F18"/>
    </sheetView>
  </sheetViews>
  <sheetFormatPr defaultColWidth="6.625" defaultRowHeight="12.75"/>
  <cols>
    <col min="1" max="1" width="9.75" style="1958" customWidth="1"/>
    <col min="2" max="2" width="25.75" style="1948" customWidth="1"/>
    <col min="3" max="3" width="10.37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31" s="1876" customFormat="1" ht="20.25">
      <c r="A1" s="1937"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31" s="1876" customFormat="1" ht="18" customHeight="1">
      <c r="A2" s="1935" t="s">
        <v>461</v>
      </c>
      <c r="B2" s="1939">
        <f ca="1">C36</f>
        <v>55258</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31" s="1876" customFormat="1" ht="18" customHeight="1">
      <c r="A3" s="1940" t="s">
        <v>1483</v>
      </c>
      <c r="B3" s="1941">
        <f ca="1">ROUND(B2*10000/IF(B1="",'数据-汇总表'!E3,INDIRECT("'数据-取费表'!K"&amp;$K$1)),0)</f>
        <v>2992</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31" s="1876" customFormat="1" ht="18" customHeight="1">
      <c r="A4" s="420" t="s">
        <v>462</v>
      </c>
      <c r="B4" s="421">
        <f ca="1">ROUND(B2*10000/IF(B1="",'数据-汇总表'!D3,INDIRECT("'数据-取费表'!R"&amp;$K$1)),0)</f>
        <v>23707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6" customFormat="1" ht="18" customHeight="1" thickBot="1">
      <c r="A5" s="423"/>
      <c r="B5" s="424">
        <f ca="1">ROUND(B2/(IF(B1="",'数据-汇总表'!D3,INDIRECT("'数据-取费表'!R"&amp;$K$1))/666.67),0)</f>
        <v>1580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5" customFormat="1" ht="16.5" customHeight="1">
      <c r="A6" s="2465" t="s">
        <v>1641</v>
      </c>
      <c r="B6" s="2466"/>
      <c r="C6" s="2467">
        <f ca="1">SUM(C10:K10)</f>
        <v>151272</v>
      </c>
      <c r="D6" s="2466"/>
      <c r="E6" s="2466"/>
      <c r="F6" s="2466"/>
      <c r="G6" s="2466"/>
      <c r="H6" s="2466"/>
      <c r="I6" s="2466"/>
      <c r="J6" s="2466"/>
      <c r="K6" s="2468"/>
      <c r="L6" s="3102"/>
      <c r="M6" s="3102"/>
      <c r="N6" s="3102"/>
      <c r="O6" s="3102"/>
      <c r="P6" s="3102"/>
      <c r="Q6" s="3102"/>
      <c r="R6" s="3102"/>
      <c r="S6" s="3102"/>
      <c r="T6" s="3102"/>
      <c r="U6" s="3102"/>
      <c r="V6" s="3102"/>
      <c r="W6" s="3102"/>
      <c r="X6" s="3102"/>
      <c r="Y6" s="3102"/>
      <c r="Z6" s="3102"/>
    </row>
    <row r="7" spans="1:31" s="1947" customFormat="1" ht="15">
      <c r="A7" s="2469" t="s">
        <v>464</v>
      </c>
      <c r="B7" s="2470" t="s">
        <v>465</v>
      </c>
      <c r="C7" s="430" t="s">
        <v>901</v>
      </c>
      <c r="D7" s="430" t="s">
        <v>3123</v>
      </c>
      <c r="E7" s="430" t="s">
        <v>3152</v>
      </c>
      <c r="F7" s="430" t="s">
        <v>35</v>
      </c>
      <c r="G7" s="430"/>
      <c r="H7" s="430"/>
      <c r="I7" s="430"/>
      <c r="J7" s="430"/>
      <c r="K7" s="431"/>
      <c r="AA7" s="1946"/>
      <c r="AB7" s="1946"/>
      <c r="AC7" s="1946"/>
      <c r="AD7" s="1946"/>
      <c r="AE7" s="1946"/>
    </row>
    <row r="8" spans="1:31" s="1949" customFormat="1" ht="13.5" customHeight="1">
      <c r="A8" s="776" t="s">
        <v>1644</v>
      </c>
      <c r="B8" s="259" t="s">
        <v>466</v>
      </c>
      <c r="C8" s="2471">
        <f>'不动产比较法-住宅'!B3</f>
        <v>11631</v>
      </c>
      <c r="D8" s="2471">
        <f>典型户型修正!R22</f>
        <v>18924</v>
      </c>
      <c r="E8" s="2471">
        <f>'不动产比较法-公寓'!B3</f>
        <v>7472</v>
      </c>
      <c r="F8" s="2471">
        <f ca="1">不动产收益法!B3</f>
        <v>2375</v>
      </c>
      <c r="G8" s="2471"/>
      <c r="H8" s="2471"/>
      <c r="I8" s="2471"/>
      <c r="J8" s="2471"/>
      <c r="K8" s="2472"/>
      <c r="AA8" s="1948"/>
      <c r="AB8" s="1948"/>
      <c r="AC8" s="1948"/>
      <c r="AD8" s="1948"/>
      <c r="AE8" s="1948"/>
    </row>
    <row r="9" spans="1:31" s="1949" customFormat="1" ht="13.5" customHeight="1">
      <c r="A9" s="776" t="s">
        <v>1645</v>
      </c>
      <c r="B9" s="259" t="s">
        <v>467</v>
      </c>
      <c r="C9" s="435">
        <f>SUMIF('数据-汇总表'!$C19:$C33,'剩余法-待开发'!C7,'数据-汇总表'!$E19:$E33)</f>
        <v>100035.04</v>
      </c>
      <c r="D9" s="435">
        <f>SUMIF('数据-汇总表'!$C19:$C33,'剩余法-待开发'!D7,'数据-汇总表'!$E19:$E33)</f>
        <v>2643.8</v>
      </c>
      <c r="E9" s="435">
        <f>SUMIF('数据-汇总表'!$C19:$C33,'剩余法-待开发'!E7,'数据-汇总表'!$E19:$E33)</f>
        <v>23431.62</v>
      </c>
      <c r="F9" s="435">
        <f>SUMIF('数据-汇总表'!$C19:$C33,'剩余法-待开发'!F7,'数据-汇总表'!$E19:$E33)</f>
        <v>52253.13</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8"/>
      <c r="AB9" s="1948"/>
      <c r="AC9" s="1948"/>
      <c r="AD9" s="1948"/>
      <c r="AE9" s="1948"/>
    </row>
    <row r="10" spans="1:31" s="1949" customFormat="1" ht="13.5" customHeight="1" thickBot="1">
      <c r="A10" s="2473" t="s">
        <v>1646</v>
      </c>
      <c r="B10" s="2459" t="s">
        <v>468</v>
      </c>
      <c r="C10" s="2660">
        <f>'不动产比较法-住宅'!B2</f>
        <v>116351</v>
      </c>
      <c r="D10" s="2660">
        <f>典型户型修正!S22</f>
        <v>5003</v>
      </c>
      <c r="E10" s="2660">
        <f>'不动产比较法-公寓'!B2</f>
        <v>17508</v>
      </c>
      <c r="F10" s="2474">
        <f ca="1">不动产收益法!B2</f>
        <v>12410</v>
      </c>
      <c r="G10" s="2474"/>
      <c r="H10" s="2474"/>
      <c r="I10" s="2474"/>
      <c r="J10" s="2474"/>
      <c r="K10" s="2475"/>
      <c r="AA10" s="1948"/>
      <c r="AB10" s="1948"/>
      <c r="AC10" s="1948"/>
      <c r="AD10" s="1948"/>
      <c r="AE10" s="1948"/>
    </row>
    <row r="11" spans="1:31" s="1945" customFormat="1" ht="16.5" customHeight="1">
      <c r="A11" s="2476" t="s">
        <v>1642</v>
      </c>
      <c r="B11" s="2466"/>
      <c r="C11" s="2466"/>
      <c r="D11" s="2466"/>
      <c r="E11" s="2466"/>
      <c r="F11" s="2466"/>
      <c r="G11" s="2466"/>
      <c r="H11" s="2466"/>
      <c r="I11" s="2466"/>
      <c r="J11" s="2466"/>
      <c r="K11" s="2468"/>
      <c r="L11" s="3102"/>
      <c r="M11" s="3102"/>
      <c r="N11" s="3102"/>
      <c r="O11" s="3102"/>
      <c r="P11" s="3102"/>
      <c r="Q11" s="3102"/>
      <c r="R11" s="3102"/>
      <c r="S11" s="3102"/>
      <c r="T11" s="3102"/>
      <c r="U11" s="3102"/>
      <c r="V11" s="3102"/>
      <c r="W11" s="3102"/>
      <c r="X11" s="3102"/>
      <c r="Y11" s="3102"/>
      <c r="Z11" s="3102"/>
    </row>
    <row r="12" spans="1:31" s="1919" customFormat="1" ht="13.5" customHeight="1">
      <c r="A12" s="2477" t="s">
        <v>464</v>
      </c>
      <c r="B12" s="2449" t="s">
        <v>465</v>
      </c>
      <c r="C12" s="2478" t="s">
        <v>469</v>
      </c>
      <c r="D12" s="2445" t="s">
        <v>470</v>
      </c>
      <c r="E12" s="2445" t="s">
        <v>471</v>
      </c>
      <c r="F12" s="2445" t="s">
        <v>472</v>
      </c>
      <c r="G12" s="2449"/>
      <c r="H12" s="2450"/>
      <c r="I12" s="2450"/>
      <c r="J12" s="2450"/>
      <c r="K12" s="2451"/>
      <c r="L12" s="3103"/>
      <c r="M12" s="3103"/>
      <c r="N12" s="3103"/>
      <c r="O12" s="3103"/>
      <c r="P12" s="3103"/>
      <c r="Q12" s="3103"/>
      <c r="R12" s="3103"/>
      <c r="S12" s="3103"/>
      <c r="T12" s="3103"/>
      <c r="U12" s="3103"/>
      <c r="V12" s="3103"/>
      <c r="W12" s="3103"/>
      <c r="X12" s="3103"/>
      <c r="Y12" s="3103"/>
      <c r="Z12" s="3103"/>
    </row>
    <row r="13" spans="1:31" s="1950" customFormat="1" ht="13.5" customHeight="1">
      <c r="A13" s="2479" t="s">
        <v>1647</v>
      </c>
      <c r="B13" s="2480" t="s">
        <v>473</v>
      </c>
      <c r="C13" s="443">
        <f ca="1">IF(B1="",'数据-取费表'!P16,INDIRECT("'数据-取费表'!p"&amp;$K$1)+INDIRECT("'数据-取费表'!t"&amp;$K$1))</f>
        <v>42212</v>
      </c>
      <c r="D13" s="2481"/>
      <c r="E13" s="2482"/>
      <c r="F13" s="2483"/>
      <c r="G13" s="2449"/>
      <c r="H13" s="2450"/>
      <c r="I13" s="2450"/>
      <c r="J13" s="2450"/>
      <c r="K13" s="2451"/>
      <c r="L13" s="1951"/>
      <c r="M13" s="1951"/>
      <c r="N13" s="1951"/>
      <c r="O13" s="1951"/>
      <c r="P13" s="1951"/>
      <c r="Q13" s="1951"/>
      <c r="R13" s="1951"/>
      <c r="S13" s="1951"/>
      <c r="T13" s="1951"/>
      <c r="U13" s="1951"/>
      <c r="V13" s="1951"/>
      <c r="W13" s="1951"/>
      <c r="X13" s="1951"/>
      <c r="Y13" s="1951"/>
      <c r="Z13" s="1951"/>
    </row>
    <row r="14" spans="1:31" s="1950" customFormat="1" ht="13.5" customHeight="1">
      <c r="A14" s="2479" t="s">
        <v>1648</v>
      </c>
      <c r="B14" s="2480" t="s">
        <v>474</v>
      </c>
      <c r="C14" s="53">
        <f ca="1">ROUND(C13*F14,0)</f>
        <v>1266</v>
      </c>
      <c r="D14" s="2481"/>
      <c r="E14" s="2482"/>
      <c r="F14" s="2484">
        <f>'数据-取费表'!B33</f>
        <v>0.03</v>
      </c>
      <c r="G14" s="2449" t="s">
        <v>475</v>
      </c>
      <c r="H14" s="2450"/>
      <c r="I14" s="2450"/>
      <c r="J14" s="2450"/>
      <c r="K14" s="2451"/>
      <c r="L14" s="1951"/>
      <c r="M14" s="1951"/>
      <c r="N14" s="1951"/>
      <c r="O14" s="1951"/>
      <c r="P14" s="1951"/>
      <c r="Q14" s="1951"/>
      <c r="R14" s="1951"/>
      <c r="S14" s="1951"/>
      <c r="T14" s="1951"/>
      <c r="U14" s="1951"/>
      <c r="V14" s="1951"/>
      <c r="W14" s="1951"/>
      <c r="X14" s="1951"/>
      <c r="Y14" s="1951"/>
      <c r="Z14" s="1951"/>
    </row>
    <row r="15" spans="1:31" s="1950" customFormat="1" ht="13.5" customHeight="1">
      <c r="A15" s="2479" t="s">
        <v>1649</v>
      </c>
      <c r="B15" s="2480" t="s">
        <v>476</v>
      </c>
      <c r="C15" s="53">
        <f ca="1">ROUND(IF(B1="",SUMIF('数据-取费表'!C:C,"住宅",'数据-取费表'!P:P)*F15,IF(INDIRECT("'数据-取费表'!c"&amp;$K$1)="住宅",INDIRECT("'数据-取费表'!P"&amp;$K$1)*F15,0)),0)</f>
        <v>1250</v>
      </c>
      <c r="D15" s="2481"/>
      <c r="E15" s="2482"/>
      <c r="F15" s="2484">
        <f>'数据-取费表'!B34</f>
        <v>0.05</v>
      </c>
      <c r="G15" s="2449" t="s">
        <v>477</v>
      </c>
      <c r="H15" s="2450"/>
      <c r="I15" s="2450"/>
      <c r="J15" s="2450"/>
      <c r="K15" s="2451"/>
      <c r="L15" s="1951"/>
      <c r="M15" s="1951"/>
      <c r="N15" s="1951"/>
      <c r="O15" s="1951"/>
      <c r="P15" s="1951"/>
      <c r="Q15" s="1951"/>
      <c r="R15" s="1951"/>
      <c r="S15" s="1951"/>
      <c r="T15" s="1951"/>
      <c r="U15" s="1951"/>
      <c r="V15" s="1951"/>
      <c r="W15" s="1951"/>
      <c r="X15" s="1951"/>
      <c r="Y15" s="1951"/>
      <c r="Z15" s="1951"/>
    </row>
    <row r="16" spans="1:31" s="1951" customFormat="1" ht="13.5" customHeight="1">
      <c r="A16" s="2479" t="s">
        <v>1650</v>
      </c>
      <c r="B16" s="2480" t="s">
        <v>478</v>
      </c>
      <c r="C16" s="53">
        <f ca="1">ROUND(D16*E16/10000,0)</f>
        <v>3694</v>
      </c>
      <c r="D16" s="2481">
        <f ca="1">IF(B1="",'数据-汇总表'!E3,INDIRECT("'数据-取费表'!K"&amp;$K$1)+INDIRECT("'数据-取费表'!S"&amp;$K$1))</f>
        <v>184715.46</v>
      </c>
      <c r="E16" s="53">
        <f>'数据-取费表'!B35</f>
        <v>200</v>
      </c>
      <c r="F16" s="2484"/>
      <c r="G16" s="2449"/>
      <c r="H16" s="2450"/>
      <c r="I16" s="2450"/>
      <c r="J16" s="2450"/>
      <c r="K16" s="2451"/>
      <c r="AA16" s="1950"/>
      <c r="AB16" s="1950"/>
      <c r="AC16" s="1950"/>
      <c r="AD16" s="1950"/>
      <c r="AE16" s="1950"/>
    </row>
    <row r="17" spans="1:26" s="1950" customFormat="1" ht="13.5" customHeight="1">
      <c r="A17" s="2479" t="s">
        <v>1651</v>
      </c>
      <c r="B17" s="2480" t="s">
        <v>479</v>
      </c>
      <c r="C17" s="2485">
        <f ca="1">ROUND(C13*F17,0)</f>
        <v>633</v>
      </c>
      <c r="D17" s="468"/>
      <c r="E17" s="2485"/>
      <c r="F17" s="2486">
        <f>'数据-取费表'!B36</f>
        <v>1.4999999999999999E-2</v>
      </c>
      <c r="G17" s="259" t="s">
        <v>480</v>
      </c>
      <c r="H17" s="2452"/>
      <c r="I17" s="2452"/>
      <c r="J17" s="2452"/>
      <c r="K17" s="277"/>
      <c r="L17" s="1951"/>
      <c r="M17" s="1951"/>
      <c r="N17" s="1951"/>
      <c r="O17" s="1951"/>
      <c r="P17" s="1951"/>
      <c r="Q17" s="1951"/>
      <c r="R17" s="1951"/>
      <c r="S17" s="1951"/>
      <c r="T17" s="1951"/>
      <c r="U17" s="1951"/>
      <c r="V17" s="1951"/>
      <c r="W17" s="1951"/>
      <c r="X17" s="1951"/>
      <c r="Y17" s="1951"/>
      <c r="Z17" s="1951"/>
    </row>
    <row r="18" spans="1:26" s="1950" customFormat="1" ht="13.5" customHeight="1">
      <c r="A18" s="2487" t="s">
        <v>1652</v>
      </c>
      <c r="B18" s="2488" t="s">
        <v>481</v>
      </c>
      <c r="C18" s="2489">
        <f ca="1">SUM(C13:C17)</f>
        <v>49055</v>
      </c>
      <c r="D18" s="2490"/>
      <c r="E18" s="461"/>
      <c r="F18" s="461"/>
      <c r="G18" s="2453" t="s">
        <v>2215</v>
      </c>
      <c r="H18" s="2454"/>
      <c r="I18" s="2454"/>
      <c r="J18" s="2454"/>
      <c r="K18" s="2455"/>
      <c r="L18" s="1951"/>
      <c r="M18" s="1951"/>
      <c r="N18" s="1951"/>
      <c r="O18" s="1951"/>
      <c r="P18" s="1951"/>
      <c r="Q18" s="1951"/>
      <c r="R18" s="1951"/>
      <c r="S18" s="1951"/>
      <c r="T18" s="1951"/>
      <c r="U18" s="1951"/>
      <c r="V18" s="1951"/>
      <c r="W18" s="1951"/>
      <c r="X18" s="1951"/>
      <c r="Y18" s="1951"/>
      <c r="Z18" s="1951"/>
    </row>
    <row r="19" spans="1:26" s="1950" customFormat="1" ht="13.5" customHeight="1">
      <c r="A19" s="2487" t="s">
        <v>1653</v>
      </c>
      <c r="B19" s="2488" t="s">
        <v>482</v>
      </c>
      <c r="C19" s="2445">
        <f ca="1">ROUND(D19*E19/10000,0)</f>
        <v>924</v>
      </c>
      <c r="D19" s="2491">
        <f ca="1">D16</f>
        <v>184715.46</v>
      </c>
      <c r="E19" s="2445">
        <f>'数据-取费表'!B32</f>
        <v>50</v>
      </c>
      <c r="F19" s="461"/>
      <c r="G19" s="2449" t="s">
        <v>483</v>
      </c>
      <c r="H19" s="2450"/>
      <c r="I19" s="2454"/>
      <c r="J19" s="2454"/>
      <c r="K19" s="2455"/>
      <c r="L19" s="1951"/>
      <c r="M19" s="1951"/>
      <c r="N19" s="1951"/>
      <c r="O19" s="1951"/>
      <c r="P19" s="1951"/>
      <c r="Q19" s="1951"/>
      <c r="R19" s="1951"/>
      <c r="S19" s="1951"/>
      <c r="T19" s="1951"/>
      <c r="U19" s="1951"/>
      <c r="V19" s="1951"/>
      <c r="W19" s="1951"/>
      <c r="X19" s="1951"/>
      <c r="Y19" s="1951"/>
      <c r="Z19" s="1951"/>
    </row>
    <row r="20" spans="1:26" s="1950" customFormat="1" ht="13.5" customHeight="1">
      <c r="A20" s="2487" t="s">
        <v>1654</v>
      </c>
      <c r="B20" s="2488" t="s">
        <v>484</v>
      </c>
      <c r="C20" s="2445">
        <f ca="1">C21+C22-IF(B1="",'数据-取费表'!B29,IF(G20="已全部缴纳",C21+C22,H20))</f>
        <v>3141</v>
      </c>
      <c r="D20" s="2491"/>
      <c r="E20" s="2445"/>
      <c r="F20" s="2492"/>
      <c r="G20" s="2691"/>
      <c r="H20" s="2447"/>
      <c r="I20" s="2448" t="s">
        <v>2367</v>
      </c>
      <c r="J20" s="2454"/>
      <c r="K20" s="2455"/>
      <c r="L20" s="1951"/>
      <c r="M20" s="1951"/>
      <c r="N20" s="1951"/>
      <c r="O20" s="1951"/>
      <c r="P20" s="1951"/>
      <c r="Q20" s="1951"/>
      <c r="R20" s="1951"/>
      <c r="S20" s="1951"/>
      <c r="T20" s="1951"/>
      <c r="U20" s="1951"/>
      <c r="V20" s="1951"/>
      <c r="W20" s="1951"/>
      <c r="X20" s="1951"/>
      <c r="Y20" s="1951"/>
      <c r="Z20" s="1951"/>
    </row>
    <row r="21" spans="1:26" s="1950" customFormat="1" ht="13.5" customHeight="1">
      <c r="A21" s="2479" t="s">
        <v>1655</v>
      </c>
      <c r="B21" s="2480" t="s">
        <v>485</v>
      </c>
      <c r="C21" s="53">
        <f ca="1">ROUND(D21*E21/10000,0)</f>
        <v>1701</v>
      </c>
      <c r="D21" s="2481">
        <f ca="1">IF(B1="",'数据-汇总表'!E5,IF(INDIRECT("'数据-取费表'!c"&amp;$K$1)="住宅",INDIRECT("'数据-取费表'!k"&amp;$K$1),0))</f>
        <v>100035.04</v>
      </c>
      <c r="E21" s="53">
        <f>'数据-取费表'!B27</f>
        <v>170</v>
      </c>
      <c r="F21" s="2484"/>
      <c r="G21" s="26"/>
      <c r="H21" s="51"/>
      <c r="I21" s="51"/>
      <c r="J21" s="51"/>
      <c r="K21" s="2456"/>
      <c r="L21" s="1951"/>
      <c r="M21" s="1951"/>
      <c r="N21" s="1951"/>
      <c r="O21" s="1951"/>
      <c r="P21" s="1951"/>
      <c r="Q21" s="1951"/>
      <c r="R21" s="1951"/>
      <c r="S21" s="1951"/>
      <c r="T21" s="1951"/>
      <c r="U21" s="1951"/>
      <c r="V21" s="1951"/>
      <c r="W21" s="1951"/>
      <c r="X21" s="1951"/>
      <c r="Y21" s="1951"/>
      <c r="Z21" s="1951"/>
    </row>
    <row r="22" spans="1:26" s="1950" customFormat="1" ht="13.5" customHeight="1">
      <c r="A22" s="2479" t="s">
        <v>1656</v>
      </c>
      <c r="B22" s="2480" t="s">
        <v>486</v>
      </c>
      <c r="C22" s="53">
        <f ca="1">ROUND(D22*E22/10000,0)</f>
        <v>1440</v>
      </c>
      <c r="D22" s="2481">
        <f ca="1">IF(B1="",'数据-汇总表'!E6,IF(INDIRECT("'数据-取费表'!c"&amp;$K$1)="住宅",INDIRECT("'数据-取费表'!s"&amp;$K$1),INDIRECT("'数据-取费表'!k"&amp;$K$1)+INDIRECT("'数据-取费表'!s"&amp;$K$1)))</f>
        <v>84680.42</v>
      </c>
      <c r="E22" s="53">
        <f>'数据-取费表'!B28</f>
        <v>170</v>
      </c>
      <c r="F22" s="2484"/>
      <c r="G22" s="26"/>
      <c r="H22" s="51"/>
      <c r="I22" s="51"/>
      <c r="J22" s="51"/>
      <c r="K22" s="2456"/>
      <c r="L22" s="1951"/>
      <c r="M22" s="1951"/>
      <c r="N22" s="1951"/>
      <c r="O22" s="1951"/>
      <c r="P22" s="1951"/>
      <c r="Q22" s="1951"/>
      <c r="R22" s="1951"/>
      <c r="S22" s="1951"/>
      <c r="T22" s="1951"/>
      <c r="U22" s="1951"/>
      <c r="V22" s="1951"/>
      <c r="W22" s="1951"/>
      <c r="X22" s="1951"/>
      <c r="Y22" s="1951"/>
      <c r="Z22" s="1951"/>
    </row>
    <row r="23" spans="1:26" s="1950" customFormat="1" ht="13.5" customHeight="1">
      <c r="A23" s="2487" t="s">
        <v>1657</v>
      </c>
      <c r="B23" s="2664" t="s">
        <v>2547</v>
      </c>
      <c r="C23" s="2489">
        <f ca="1">ROUND((C18+C19+C20)*F23,0)</f>
        <v>1062</v>
      </c>
      <c r="D23" s="461"/>
      <c r="E23" s="461"/>
      <c r="F23" s="2493">
        <f>'数据-取费表'!B37</f>
        <v>0.02</v>
      </c>
      <c r="G23" s="2449" t="s">
        <v>2216</v>
      </c>
      <c r="H23" s="2450"/>
      <c r="I23" s="2450"/>
      <c r="J23" s="2450"/>
      <c r="K23" s="2451"/>
      <c r="L23" s="3104"/>
      <c r="M23" s="3104"/>
      <c r="N23" s="3104"/>
      <c r="O23" s="1951"/>
      <c r="P23" s="1951"/>
      <c r="Q23" s="1951"/>
      <c r="R23" s="1951"/>
      <c r="S23" s="1951"/>
      <c r="T23" s="1951"/>
      <c r="U23" s="1951"/>
      <c r="V23" s="1951"/>
      <c r="W23" s="1951"/>
      <c r="X23" s="1951"/>
      <c r="Y23" s="1951"/>
      <c r="Z23" s="1951"/>
    </row>
    <row r="24" spans="1:26" s="1950" customFormat="1" ht="13.5" customHeight="1">
      <c r="A24" s="2487" t="s">
        <v>1658</v>
      </c>
      <c r="B24" s="2664" t="s">
        <v>2550</v>
      </c>
      <c r="C24" s="2489">
        <f ca="1">ROUND(C6*F24,0)</f>
        <v>3025</v>
      </c>
      <c r="D24" s="468"/>
      <c r="E24" s="466"/>
      <c r="F24" s="2493">
        <f>'数据-取费表'!B38</f>
        <v>0.02</v>
      </c>
      <c r="G24" s="2458" t="s">
        <v>493</v>
      </c>
      <c r="H24" s="2452"/>
      <c r="I24" s="2452"/>
      <c r="J24" s="2452"/>
      <c r="K24" s="277"/>
      <c r="L24" s="3104"/>
      <c r="M24" s="3104"/>
      <c r="N24" s="3104"/>
      <c r="O24" s="1951"/>
      <c r="P24" s="1951"/>
      <c r="Q24" s="1951"/>
      <c r="R24" s="1951"/>
      <c r="S24" s="1951"/>
      <c r="T24" s="1951"/>
      <c r="U24" s="1951"/>
      <c r="V24" s="1951"/>
      <c r="W24" s="1951"/>
      <c r="X24" s="1951"/>
      <c r="Y24" s="1951"/>
      <c r="Z24" s="1951"/>
    </row>
    <row r="25" spans="1:26" s="1953" customFormat="1" ht="13.5" customHeight="1">
      <c r="A25" s="2487" t="s">
        <v>1659</v>
      </c>
      <c r="B25" s="2664" t="s">
        <v>2548</v>
      </c>
      <c r="C25" s="460">
        <f>ROUND(F25/(1+'数据-取费表'!C42),4)</f>
        <v>3.8600000000000002E-2</v>
      </c>
      <c r="D25" s="455" t="s">
        <v>2543</v>
      </c>
      <c r="E25" s="462"/>
      <c r="F25" s="2493">
        <f>IF(项目基本情况!B8="出让",0,'数据-取费表'!B48+'数据-取费表'!B49)</f>
        <v>4.0500000000000001E-2</v>
      </c>
      <c r="G25" s="2457" t="s">
        <v>2079</v>
      </c>
      <c r="H25" s="2450"/>
      <c r="I25" s="2450"/>
      <c r="J25" s="2450"/>
      <c r="K25" s="2451"/>
      <c r="L25" s="3105"/>
      <c r="M25" s="3105"/>
      <c r="N25" s="3105"/>
      <c r="O25" s="3105"/>
      <c r="P25" s="3105"/>
      <c r="Q25" s="3105"/>
      <c r="R25" s="3105"/>
      <c r="S25" s="3105"/>
      <c r="T25" s="3105"/>
      <c r="U25" s="3105"/>
      <c r="V25" s="3105"/>
      <c r="W25" s="3105"/>
      <c r="X25" s="3105"/>
      <c r="Y25" s="3105"/>
      <c r="Z25" s="3105"/>
    </row>
    <row r="26" spans="1:26" s="1952" customFormat="1" ht="13.5" customHeight="1">
      <c r="A26" s="2487" t="s">
        <v>1660</v>
      </c>
      <c r="B26" s="2665" t="s">
        <v>2549</v>
      </c>
      <c r="C26" s="2494">
        <f ca="1">C28</f>
        <v>2983</v>
      </c>
      <c r="D26" s="460">
        <f ca="1">C27</f>
        <v>0.1111</v>
      </c>
      <c r="E26" s="462" t="s">
        <v>489</v>
      </c>
      <c r="F26" s="464">
        <f ca="1">'数据-取费表'!B40</f>
        <v>4.1499999999999995E-2</v>
      </c>
      <c r="G26" s="2344" t="str">
        <f>IF('数据-取费表'!B22&lt;=1,"单利计息。","复利计息。")&amp;"后续开发成本、管理费用及销售费用产生的利息。"</f>
        <v>复利计息。后续开发成本、管理费用及销售费用产生的利息。</v>
      </c>
      <c r="H26" s="2454"/>
      <c r="I26" s="2454"/>
      <c r="J26" s="2454"/>
      <c r="K26" s="2455"/>
      <c r="L26" s="3104"/>
      <c r="M26" s="3104"/>
      <c r="N26" s="3104"/>
      <c r="O26" s="3104"/>
      <c r="P26" s="3104"/>
      <c r="Q26" s="3104"/>
      <c r="R26" s="3104"/>
      <c r="S26" s="3104"/>
      <c r="T26" s="3104"/>
      <c r="U26" s="3104"/>
      <c r="V26" s="3104"/>
      <c r="W26" s="3104"/>
      <c r="X26" s="3104"/>
      <c r="Y26" s="3104"/>
      <c r="Z26" s="3104"/>
    </row>
    <row r="27" spans="1:26" s="1954" customFormat="1" ht="13.5" customHeight="1">
      <c r="A27" s="776" t="s">
        <v>1655</v>
      </c>
      <c r="B27" s="2495" t="s">
        <v>490</v>
      </c>
      <c r="C27" s="2496">
        <f ca="1">ROUND(IF('数据-取费表'!B22&lt;=1,(1+C25)*F26*'数据-取费表'!B24,(1+C25)*(POWER((1+F26),'数据-取费表'!B24)-1)),4)</f>
        <v>0.1111</v>
      </c>
      <c r="D27" s="465"/>
      <c r="E27" s="466"/>
      <c r="F27" s="467"/>
      <c r="G27" s="2344" t="str">
        <f>IF('数据-取费表'!B22&lt;=1,"（1+取得税费率/(1+5%)）×年利率×建设期","（1+取得税费率）/(1+5%)×((1+年利率)^建设期-1)")</f>
        <v>（1+取得税费率）/(1+5%)×((1+年利率)^建设期-1)</v>
      </c>
      <c r="H27" s="2452"/>
      <c r="I27" s="2452"/>
      <c r="J27" s="2452"/>
      <c r="K27" s="277"/>
      <c r="L27" s="3106"/>
      <c r="M27" s="3106"/>
      <c r="N27" s="3106"/>
      <c r="O27" s="3106"/>
      <c r="P27" s="3106"/>
      <c r="Q27" s="3106"/>
      <c r="R27" s="3106"/>
      <c r="S27" s="3106"/>
      <c r="T27" s="3106"/>
      <c r="U27" s="3106"/>
      <c r="V27" s="3106"/>
      <c r="W27" s="3106"/>
      <c r="X27" s="3106"/>
      <c r="Y27" s="3106"/>
      <c r="Z27" s="3106"/>
    </row>
    <row r="28" spans="1:26" s="1954" customFormat="1" ht="13.5" customHeight="1">
      <c r="A28" s="776" t="s">
        <v>1656</v>
      </c>
      <c r="B28" s="2495" t="s">
        <v>2551</v>
      </c>
      <c r="C28" s="2497">
        <f ca="1">ROUND(IF('数据-取费表'!B22&lt;=1,(C18+C19+C20+C23+C24)*F26*'数据-取费表'!B24/2,(C18+C19+C20+C23+C24)*(POWER((1+F26),'数据-取费表'!B24/2)-1)),0)</f>
        <v>2983</v>
      </c>
      <c r="D28" s="465"/>
      <c r="E28" s="466"/>
      <c r="F28" s="467"/>
      <c r="G28" s="2344" t="str">
        <f>IF('数据-取费表'!B22&lt;=1,"（1）-（4）项×年利率×建设期÷2","（1）-（4）项×((1+年利率)^(建设期÷2)-1)")</f>
        <v>（1）-（4）项×((1+年利率)^(建设期÷2)-1)</v>
      </c>
      <c r="H28" s="2452"/>
      <c r="I28" s="2452"/>
      <c r="J28" s="2452"/>
      <c r="K28" s="277"/>
      <c r="L28" s="3106"/>
      <c r="M28" s="3106"/>
      <c r="N28" s="3106"/>
      <c r="O28" s="3106"/>
      <c r="P28" s="3106"/>
      <c r="Q28" s="3106"/>
      <c r="R28" s="3106"/>
      <c r="S28" s="3106"/>
      <c r="T28" s="3106"/>
      <c r="U28" s="3106"/>
      <c r="V28" s="3106"/>
      <c r="W28" s="3106"/>
      <c r="X28" s="3106"/>
      <c r="Y28" s="3106"/>
      <c r="Z28" s="3106"/>
    </row>
    <row r="29" spans="1:26" s="1954" customFormat="1" ht="13.5" customHeight="1">
      <c r="A29" s="2498" t="s">
        <v>1661</v>
      </c>
      <c r="B29" s="2488" t="s">
        <v>491</v>
      </c>
      <c r="C29" s="2489">
        <f ca="1">ROUND(C6*F29/(1+'数据-取费表'!C42),0)</f>
        <v>8068</v>
      </c>
      <c r="D29" s="461"/>
      <c r="E29" s="461"/>
      <c r="F29" s="2666">
        <f>'数据-取费表'!B41</f>
        <v>5.6000000000000001E-2</v>
      </c>
      <c r="G29" s="2458" t="s">
        <v>492</v>
      </c>
      <c r="H29" s="2450"/>
      <c r="I29" s="2450"/>
      <c r="J29" s="2450"/>
      <c r="K29" s="2451"/>
      <c r="L29" s="3106"/>
      <c r="M29" s="3106"/>
      <c r="N29" s="3106"/>
      <c r="O29" s="3106"/>
      <c r="P29" s="3106"/>
      <c r="Q29" s="3106"/>
      <c r="R29" s="3106"/>
      <c r="S29" s="3106"/>
      <c r="T29" s="3106"/>
      <c r="U29" s="3106"/>
      <c r="V29" s="3106"/>
      <c r="W29" s="3106"/>
      <c r="X29" s="3106"/>
      <c r="Y29" s="3106"/>
      <c r="Z29" s="3106"/>
    </row>
    <row r="30" spans="1:26" s="1955" customFormat="1" ht="13.5" customHeight="1">
      <c r="A30" s="1517" t="s">
        <v>1662</v>
      </c>
      <c r="B30" s="2499" t="s">
        <v>494</v>
      </c>
      <c r="C30" s="2494">
        <f ca="1">C31</f>
        <v>68258</v>
      </c>
      <c r="D30" s="470">
        <f ca="1">C32</f>
        <v>0.1497</v>
      </c>
      <c r="E30" s="462" t="s">
        <v>489</v>
      </c>
      <c r="F30" s="464"/>
      <c r="G30" s="2457" t="s">
        <v>2668</v>
      </c>
      <c r="H30" s="2450"/>
      <c r="I30" s="2450"/>
      <c r="J30" s="2450"/>
      <c r="K30" s="2451"/>
      <c r="L30" s="3107"/>
      <c r="M30" s="3107"/>
      <c r="N30" s="3107"/>
      <c r="O30" s="3107"/>
      <c r="P30" s="3107"/>
      <c r="Q30" s="3107"/>
      <c r="R30" s="3107"/>
      <c r="S30" s="3107"/>
      <c r="T30" s="3107"/>
      <c r="U30" s="3107"/>
      <c r="V30" s="3107"/>
      <c r="W30" s="3107"/>
      <c r="X30" s="3107"/>
      <c r="Y30" s="3107"/>
      <c r="Z30" s="3107"/>
    </row>
    <row r="31" spans="1:26" s="1954" customFormat="1" ht="13.5" customHeight="1">
      <c r="A31" s="776" t="s">
        <v>1655</v>
      </c>
      <c r="B31" s="2495"/>
      <c r="C31" s="443">
        <f ca="1">C18+C19+C20+C23+C24+C26+C29</f>
        <v>68258</v>
      </c>
      <c r="D31" s="465"/>
      <c r="E31" s="466"/>
      <c r="F31" s="467"/>
      <c r="G31" s="259"/>
      <c r="H31" s="2452"/>
      <c r="I31" s="2452"/>
      <c r="J31" s="2452"/>
      <c r="K31" s="277"/>
      <c r="L31" s="3106"/>
      <c r="M31" s="3106"/>
      <c r="N31" s="3106"/>
      <c r="O31" s="3106"/>
      <c r="P31" s="3106"/>
      <c r="Q31" s="3106"/>
      <c r="R31" s="3106"/>
      <c r="S31" s="3106"/>
      <c r="T31" s="3106"/>
      <c r="U31" s="3106"/>
      <c r="V31" s="3106"/>
      <c r="W31" s="3106"/>
      <c r="X31" s="3106"/>
      <c r="Y31" s="3106"/>
      <c r="Z31" s="3106"/>
    </row>
    <row r="32" spans="1:26" s="1954" customFormat="1" ht="13.5" customHeight="1">
      <c r="A32" s="776" t="s">
        <v>1656</v>
      </c>
      <c r="B32" s="2495"/>
      <c r="C32" s="53">
        <f ca="1">ROUND(C25+D26,4)</f>
        <v>0.1497</v>
      </c>
      <c r="D32" s="465"/>
      <c r="E32" s="466"/>
      <c r="F32" s="467"/>
      <c r="G32" s="259"/>
      <c r="H32" s="2452"/>
      <c r="I32" s="2452"/>
      <c r="J32" s="2452"/>
      <c r="K32" s="277"/>
      <c r="L32" s="3106"/>
      <c r="M32" s="3106"/>
      <c r="N32" s="3106"/>
      <c r="O32" s="3106"/>
      <c r="P32" s="3106"/>
      <c r="Q32" s="3106"/>
      <c r="R32" s="3106"/>
      <c r="S32" s="3106"/>
      <c r="T32" s="3106"/>
      <c r="U32" s="3106"/>
      <c r="V32" s="3106"/>
      <c r="W32" s="3106"/>
      <c r="X32" s="3106"/>
      <c r="Y32" s="3106"/>
      <c r="Z32" s="3106"/>
    </row>
    <row r="33" spans="1:26" s="1956" customFormat="1" ht="13.5" customHeight="1">
      <c r="A33" s="2663" t="s">
        <v>2546</v>
      </c>
      <c r="B33" s="2661" t="s">
        <v>2544</v>
      </c>
      <c r="C33" s="471">
        <f ca="1">C35</f>
        <v>9725</v>
      </c>
      <c r="D33" s="460">
        <f ca="1">C34</f>
        <v>0.17660000000000001</v>
      </c>
      <c r="E33" s="462" t="s">
        <v>489</v>
      </c>
      <c r="F33" s="472">
        <f ca="1">IF(B1="",'数据-取费表'!Q16,INDIRECT("'数据-取费表'!q"&amp;$K$1))</f>
        <v>0.17</v>
      </c>
      <c r="G33" s="2453"/>
      <c r="H33" s="2454"/>
      <c r="I33" s="2454"/>
      <c r="J33" s="2454"/>
      <c r="K33" s="2455"/>
      <c r="L33" s="3108"/>
      <c r="M33" s="3108"/>
      <c r="N33" s="3108"/>
      <c r="O33" s="3108"/>
      <c r="P33" s="3108"/>
      <c r="Q33" s="3108"/>
      <c r="R33" s="3108"/>
      <c r="S33" s="3108"/>
      <c r="T33" s="3108"/>
      <c r="U33" s="3108"/>
      <c r="V33" s="3108"/>
      <c r="W33" s="3108"/>
      <c r="X33" s="3108"/>
      <c r="Y33" s="3108"/>
      <c r="Z33" s="3108"/>
    </row>
    <row r="34" spans="1:26" s="1957" customFormat="1" ht="13.5" customHeight="1">
      <c r="A34" s="369" t="s">
        <v>1655</v>
      </c>
      <c r="B34" s="2500" t="s">
        <v>495</v>
      </c>
      <c r="C34" s="465">
        <f ca="1">ROUND((1+C25)*F33,4)</f>
        <v>0.17660000000000001</v>
      </c>
      <c r="D34" s="465"/>
      <c r="E34" s="466"/>
      <c r="F34" s="473"/>
      <c r="G34" s="259" t="s">
        <v>2080</v>
      </c>
      <c r="H34" s="2452"/>
      <c r="I34" s="2452"/>
      <c r="J34" s="2452"/>
      <c r="K34" s="277"/>
      <c r="L34" s="3109"/>
      <c r="M34" s="3109"/>
      <c r="N34" s="3109"/>
      <c r="O34" s="3109"/>
      <c r="P34" s="3109"/>
      <c r="Q34" s="3109"/>
      <c r="R34" s="3109"/>
      <c r="S34" s="3109"/>
      <c r="T34" s="3109"/>
      <c r="U34" s="3109"/>
      <c r="V34" s="3109"/>
      <c r="W34" s="3109"/>
      <c r="X34" s="3109"/>
      <c r="Y34" s="3109"/>
      <c r="Z34" s="3109"/>
    </row>
    <row r="35" spans="1:26" s="1957" customFormat="1" ht="13.5" customHeight="1" thickBot="1">
      <c r="A35" s="1518" t="s">
        <v>1656</v>
      </c>
      <c r="B35" s="2662" t="s">
        <v>2552</v>
      </c>
      <c r="C35" s="1510">
        <f ca="1">ROUND((C18+C19+C20+C23+C24)*F33,0)</f>
        <v>9725</v>
      </c>
      <c r="D35" s="1511"/>
      <c r="E35" s="2501"/>
      <c r="F35" s="1512"/>
      <c r="G35" s="2459"/>
      <c r="H35" s="2460"/>
      <c r="I35" s="2460"/>
      <c r="J35" s="2460"/>
      <c r="K35" s="2461"/>
      <c r="L35" s="3109"/>
      <c r="M35" s="3109"/>
      <c r="N35" s="3109"/>
      <c r="O35" s="3109"/>
      <c r="P35" s="3109"/>
      <c r="Q35" s="3109"/>
      <c r="R35" s="3109"/>
      <c r="S35" s="3109"/>
      <c r="T35" s="3109"/>
      <c r="U35" s="3109"/>
      <c r="V35" s="3109"/>
      <c r="W35" s="3109"/>
      <c r="X35" s="3109"/>
      <c r="Y35" s="3109"/>
      <c r="Z35" s="3109"/>
    </row>
    <row r="36" spans="1:26" s="1919" customFormat="1" ht="13.5" customHeight="1" thickBot="1">
      <c r="A36" s="282" t="s">
        <v>1643</v>
      </c>
      <c r="B36" s="2463"/>
      <c r="C36" s="2502">
        <f ca="1">ROUND((C6-C30-C33)/(1+D30+D33),0)</f>
        <v>55258</v>
      </c>
      <c r="D36" s="2463"/>
      <c r="E36" s="2463"/>
      <c r="F36" s="2463"/>
      <c r="G36" s="2462" t="s">
        <v>2553</v>
      </c>
      <c r="H36" s="2463"/>
      <c r="I36" s="2463"/>
      <c r="J36" s="2463"/>
      <c r="K36" s="2464"/>
      <c r="L36" s="3103"/>
      <c r="M36" s="3103"/>
      <c r="N36" s="3103"/>
      <c r="O36" s="3103"/>
      <c r="P36" s="3103"/>
      <c r="Q36" s="3103"/>
      <c r="R36" s="3103"/>
      <c r="S36" s="3103"/>
      <c r="T36" s="3103"/>
      <c r="U36" s="3103"/>
      <c r="V36" s="3103"/>
      <c r="W36" s="3103"/>
      <c r="X36" s="3103"/>
      <c r="Y36" s="3103"/>
      <c r="Z36" s="3103"/>
    </row>
    <row r="37" spans="1:26" s="1949" customFormat="1">
      <c r="A37" s="3110"/>
      <c r="C37" s="3111"/>
      <c r="E37" s="3110"/>
    </row>
    <row r="38" spans="1:26" s="1949" customFormat="1" ht="12.75" customHeight="1">
      <c r="A38" s="3110"/>
      <c r="C38" s="3111"/>
      <c r="E38" s="3110"/>
    </row>
    <row r="39" spans="1:26" s="1949" customFormat="1">
      <c r="A39" s="3110"/>
      <c r="C39" s="3111"/>
      <c r="E39" s="3110"/>
    </row>
    <row r="40" spans="1:26" s="1949" customFormat="1">
      <c r="A40" s="3110"/>
      <c r="C40" s="3111"/>
      <c r="E40" s="3110"/>
    </row>
    <row r="41" spans="1:26" s="1949" customFormat="1">
      <c r="A41" s="3110"/>
      <c r="C41" s="3111"/>
      <c r="E41" s="3110"/>
    </row>
    <row r="42" spans="1:26" s="1949" customFormat="1">
      <c r="A42" s="3110"/>
      <c r="C42" s="3111"/>
      <c r="E42" s="3110"/>
    </row>
    <row r="43" spans="1:26" s="1949" customFormat="1">
      <c r="A43" s="3110"/>
      <c r="C43" s="3111"/>
      <c r="E43" s="3110"/>
    </row>
    <row r="44" spans="1:26" s="1949" customFormat="1">
      <c r="A44" s="3110"/>
      <c r="C44" s="3111"/>
      <c r="E44" s="3110"/>
    </row>
    <row r="45" spans="1:26" s="1949" customFormat="1">
      <c r="A45" s="3110"/>
      <c r="C45" s="3111"/>
      <c r="E45" s="3110"/>
    </row>
    <row r="46" spans="1:26" s="1949" customFormat="1">
      <c r="A46" s="3110"/>
      <c r="C46" s="3111"/>
      <c r="E46" s="3110"/>
    </row>
    <row r="47" spans="1:26" s="1949" customFormat="1">
      <c r="A47" s="3110"/>
      <c r="C47" s="3111"/>
      <c r="E47" s="3110"/>
    </row>
    <row r="48" spans="1:26" s="1949" customFormat="1">
      <c r="A48" s="3110"/>
      <c r="C48" s="3111"/>
      <c r="E48" s="3110"/>
    </row>
    <row r="49" spans="1:5" s="1949" customFormat="1">
      <c r="A49" s="3110"/>
      <c r="C49" s="3111"/>
      <c r="E49" s="3110"/>
    </row>
    <row r="50" spans="1:5" s="1949" customFormat="1">
      <c r="A50" s="3110"/>
      <c r="C50" s="3111"/>
      <c r="E50" s="3110"/>
    </row>
    <row r="51" spans="1:5" s="1949" customFormat="1">
      <c r="A51" s="3110"/>
      <c r="C51" s="3111"/>
      <c r="E51" s="3110"/>
    </row>
    <row r="52" spans="1:5" s="1949" customFormat="1">
      <c r="A52" s="3110"/>
      <c r="C52" s="3111"/>
      <c r="E52" s="3110"/>
    </row>
    <row r="53" spans="1:5" s="1949" customFormat="1">
      <c r="A53" s="3110"/>
      <c r="C53" s="3111"/>
      <c r="E53" s="3110"/>
    </row>
    <row r="54" spans="1:5" s="1949" customFormat="1">
      <c r="A54" s="3110"/>
      <c r="C54" s="3111"/>
      <c r="E54" s="3110"/>
    </row>
    <row r="55" spans="1:5" s="1949" customFormat="1">
      <c r="A55" s="3110"/>
      <c r="C55" s="3111"/>
      <c r="E55" s="3110"/>
    </row>
    <row r="56" spans="1:5" s="1949" customFormat="1">
      <c r="A56" s="3110"/>
      <c r="C56" s="3111"/>
      <c r="E56" s="3110"/>
    </row>
    <row r="57" spans="1:5" s="1949" customFormat="1">
      <c r="A57" s="3110"/>
      <c r="C57" s="3111"/>
      <c r="E57" s="3110"/>
    </row>
    <row r="58" spans="1:5" s="1949" customFormat="1">
      <c r="A58" s="3110"/>
      <c r="C58" s="3111"/>
      <c r="E58" s="3110"/>
    </row>
    <row r="59" spans="1:5" s="1949" customFormat="1">
      <c r="A59" s="3110"/>
      <c r="C59" s="3111"/>
      <c r="E59" s="3110"/>
    </row>
    <row r="60" spans="1:5" s="1949" customFormat="1">
      <c r="A60" s="3110"/>
      <c r="C60" s="3111"/>
      <c r="E60" s="3110"/>
    </row>
    <row r="61" spans="1:5" s="1949" customFormat="1">
      <c r="A61" s="3110"/>
      <c r="C61" s="3111"/>
      <c r="E61" s="3110"/>
    </row>
    <row r="62" spans="1:5" s="1949" customFormat="1">
      <c r="A62" s="3110"/>
      <c r="C62" s="3111"/>
      <c r="E62" s="3110"/>
    </row>
    <row r="63" spans="1:5" s="1949" customFormat="1">
      <c r="A63" s="3110"/>
      <c r="C63" s="3111"/>
      <c r="E63" s="3110"/>
    </row>
    <row r="64" spans="1:5" s="1949" customFormat="1">
      <c r="A64" s="3110"/>
      <c r="C64" s="3111"/>
      <c r="E64" s="3110"/>
    </row>
    <row r="65" spans="1:5" s="1949" customFormat="1">
      <c r="A65" s="3110"/>
      <c r="C65" s="3111"/>
      <c r="E65" s="3110"/>
    </row>
    <row r="66" spans="1:5" s="1949" customFormat="1">
      <c r="A66" s="3110"/>
      <c r="C66" s="3111"/>
      <c r="E66" s="3110"/>
    </row>
    <row r="67" spans="1:5" s="1949" customFormat="1">
      <c r="A67" s="3110"/>
      <c r="C67" s="3111"/>
      <c r="E67" s="3110"/>
    </row>
    <row r="68" spans="1:5" s="1949" customFormat="1">
      <c r="A68" s="3110"/>
      <c r="C68" s="3111"/>
      <c r="E68" s="3110"/>
    </row>
    <row r="69" spans="1:5" s="1949" customFormat="1">
      <c r="A69" s="3110"/>
      <c r="C69" s="3111"/>
      <c r="E69" s="3110"/>
    </row>
    <row r="70" spans="1:5" s="1949" customFormat="1">
      <c r="A70" s="3110"/>
      <c r="C70" s="3111"/>
      <c r="E70" s="3110"/>
    </row>
    <row r="71" spans="1:5" s="1949" customFormat="1">
      <c r="A71" s="3110"/>
      <c r="C71" s="3111"/>
      <c r="E71" s="3110"/>
    </row>
    <row r="72" spans="1:5" s="1949" customFormat="1">
      <c r="A72" s="3110"/>
      <c r="C72" s="3111"/>
      <c r="E72" s="3110"/>
    </row>
    <row r="73" spans="1:5" s="1949" customFormat="1">
      <c r="A73" s="3110"/>
      <c r="C73" s="3111"/>
      <c r="E73" s="3110"/>
    </row>
    <row r="74" spans="1:5" s="1949" customFormat="1">
      <c r="A74" s="3110"/>
      <c r="C74" s="3111"/>
      <c r="E74" s="3110"/>
    </row>
    <row r="75" spans="1:5" s="1949" customFormat="1">
      <c r="A75" s="3110"/>
      <c r="C75" s="3111"/>
      <c r="E75" s="3110"/>
    </row>
    <row r="76" spans="1:5" s="1949" customFormat="1">
      <c r="A76" s="3110"/>
      <c r="C76" s="3111"/>
      <c r="E76" s="3110"/>
    </row>
    <row r="77" spans="1:5" s="1949" customFormat="1">
      <c r="A77" s="3110"/>
      <c r="C77" s="3111"/>
      <c r="E77" s="3110"/>
    </row>
    <row r="78" spans="1:5" s="1949" customFormat="1">
      <c r="A78" s="3110"/>
      <c r="C78" s="3111"/>
      <c r="E78" s="3110"/>
    </row>
    <row r="79" spans="1:5" s="1949" customFormat="1">
      <c r="A79" s="3110"/>
      <c r="C79" s="3111"/>
      <c r="E79" s="3110"/>
    </row>
    <row r="80" spans="1:5" s="1949" customFormat="1">
      <c r="A80" s="3110"/>
      <c r="C80" s="3111"/>
      <c r="E80" s="3110"/>
    </row>
    <row r="81" spans="1:5" s="1949" customFormat="1">
      <c r="A81" s="3110"/>
      <c r="C81" s="3111"/>
      <c r="E81" s="3110"/>
    </row>
    <row r="82" spans="1:5" s="1949" customFormat="1">
      <c r="A82" s="3110"/>
      <c r="C82" s="3111"/>
      <c r="E82" s="3110"/>
    </row>
    <row r="83" spans="1:5" s="1949" customFormat="1">
      <c r="A83" s="3110"/>
      <c r="C83" s="3111"/>
      <c r="E83" s="3110"/>
    </row>
    <row r="84" spans="1:5" s="1949" customFormat="1">
      <c r="A84" s="3110"/>
      <c r="C84" s="3111"/>
      <c r="E84" s="3110"/>
    </row>
    <row r="85" spans="1:5" s="1949" customFormat="1">
      <c r="A85" s="3110"/>
      <c r="C85" s="3111"/>
      <c r="E85" s="3110"/>
    </row>
    <row r="86" spans="1:5" s="1949" customFormat="1">
      <c r="A86" s="3110"/>
      <c r="C86" s="3111"/>
      <c r="E86" s="3110"/>
    </row>
    <row r="87" spans="1:5" s="1949" customFormat="1">
      <c r="A87" s="3110"/>
      <c r="C87" s="3111"/>
      <c r="E87" s="3110"/>
    </row>
    <row r="88" spans="1:5" s="1949" customFormat="1">
      <c r="A88" s="3110"/>
      <c r="C88" s="3111"/>
      <c r="E88" s="3110"/>
    </row>
    <row r="89" spans="1:5" s="1949" customFormat="1">
      <c r="A89" s="3110"/>
      <c r="C89" s="3111"/>
      <c r="E89" s="3110"/>
    </row>
    <row r="90" spans="1:5" s="1949" customFormat="1">
      <c r="A90" s="3110"/>
      <c r="C90" s="3111"/>
      <c r="E90" s="3110"/>
    </row>
    <row r="91" spans="1:5" s="1949" customFormat="1">
      <c r="A91" s="3110"/>
      <c r="C91" s="3111"/>
      <c r="E91" s="3110"/>
    </row>
    <row r="92" spans="1:5" s="1949" customFormat="1">
      <c r="A92" s="3110"/>
      <c r="C92" s="3111"/>
      <c r="E92" s="3110"/>
    </row>
    <row r="93" spans="1:5" s="1949" customFormat="1">
      <c r="A93" s="3110"/>
      <c r="C93" s="3111"/>
      <c r="E93" s="3110"/>
    </row>
    <row r="94" spans="1:5" s="1949" customFormat="1">
      <c r="A94" s="3110"/>
      <c r="C94" s="3111"/>
      <c r="E94" s="3110"/>
    </row>
    <row r="95" spans="1:5" s="1949" customFormat="1">
      <c r="A95" s="3110"/>
      <c r="C95" s="3111"/>
      <c r="E95" s="3110"/>
    </row>
    <row r="96" spans="1:5" s="1949" customFormat="1">
      <c r="A96" s="3110"/>
      <c r="C96" s="3111"/>
      <c r="E96" s="3110"/>
    </row>
    <row r="97" spans="1:5" s="1949" customFormat="1">
      <c r="A97" s="3110"/>
      <c r="C97" s="3111"/>
      <c r="E97" s="3110"/>
    </row>
    <row r="98" spans="1:5" s="1949" customFormat="1">
      <c r="A98" s="3110"/>
      <c r="C98" s="3111"/>
      <c r="E98" s="3110"/>
    </row>
    <row r="99" spans="1:5" s="1949" customFormat="1">
      <c r="A99" s="3110"/>
      <c r="C99" s="3111"/>
      <c r="E99" s="3110"/>
    </row>
    <row r="100" spans="1:5" s="1949" customFormat="1">
      <c r="A100" s="3110"/>
      <c r="C100" s="3111"/>
      <c r="E100" s="3110"/>
    </row>
    <row r="101" spans="1:5" s="1949" customFormat="1">
      <c r="A101" s="3110"/>
      <c r="C101" s="3111"/>
      <c r="E101" s="3110"/>
    </row>
    <row r="102" spans="1:5" s="1949" customFormat="1">
      <c r="A102" s="3110"/>
      <c r="C102" s="3111"/>
      <c r="E102" s="3110"/>
    </row>
    <row r="103" spans="1:5" s="1949" customFormat="1">
      <c r="A103" s="3110"/>
      <c r="C103" s="3111"/>
      <c r="E103" s="3110"/>
    </row>
    <row r="104" spans="1:5" s="1949" customFormat="1">
      <c r="A104" s="3110"/>
      <c r="C104" s="3111"/>
      <c r="E104" s="3110"/>
    </row>
    <row r="105" spans="1:5" s="1949" customFormat="1">
      <c r="A105" s="3110"/>
      <c r="C105" s="3111"/>
      <c r="E105" s="3110"/>
    </row>
    <row r="106" spans="1:5" s="1949" customFormat="1">
      <c r="A106" s="3110"/>
      <c r="C106" s="3111"/>
      <c r="E106" s="3110"/>
    </row>
    <row r="107" spans="1:5" s="1949" customFormat="1">
      <c r="A107" s="3110"/>
      <c r="C107" s="3111"/>
      <c r="E107" s="3110"/>
    </row>
    <row r="108" spans="1:5" s="1949" customFormat="1">
      <c r="A108" s="3110"/>
      <c r="C108" s="3111"/>
      <c r="E108" s="3110"/>
    </row>
    <row r="109" spans="1:5" s="1949" customFormat="1">
      <c r="A109" s="3110"/>
      <c r="C109" s="3111"/>
      <c r="E109" s="3110"/>
    </row>
    <row r="110" spans="1:5" s="1949" customFormat="1">
      <c r="A110" s="3110"/>
      <c r="C110" s="3111"/>
      <c r="E110" s="3110"/>
    </row>
    <row r="111" spans="1:5" s="1949" customFormat="1">
      <c r="A111" s="3110"/>
      <c r="C111" s="3111"/>
      <c r="E111" s="3110"/>
    </row>
    <row r="112" spans="1:5" s="1949" customFormat="1">
      <c r="A112" s="3110"/>
      <c r="C112" s="3111"/>
      <c r="E112" s="3110"/>
    </row>
    <row r="113" spans="1:5" s="1949" customFormat="1">
      <c r="A113" s="3110"/>
      <c r="C113" s="3111"/>
      <c r="E113" s="3110"/>
    </row>
    <row r="114" spans="1:5" s="1949" customFormat="1">
      <c r="A114" s="3110"/>
      <c r="C114" s="3111"/>
      <c r="E114" s="3110"/>
    </row>
    <row r="115" spans="1:5" s="1949" customFormat="1">
      <c r="A115" s="3110"/>
      <c r="C115" s="3111"/>
      <c r="E115" s="3110"/>
    </row>
    <row r="116" spans="1:5" s="1949" customFormat="1">
      <c r="A116" s="3110"/>
      <c r="C116" s="3111"/>
      <c r="E116" s="3110"/>
    </row>
    <row r="117" spans="1:5" s="1949" customFormat="1">
      <c r="A117" s="3110"/>
      <c r="C117" s="3111"/>
      <c r="E117" s="3110"/>
    </row>
    <row r="118" spans="1:5" s="1949" customFormat="1">
      <c r="A118" s="3110"/>
      <c r="C118" s="3111"/>
      <c r="E118" s="3110"/>
    </row>
    <row r="119" spans="1:5" s="1949" customFormat="1">
      <c r="A119" s="3110"/>
      <c r="C119" s="3111"/>
      <c r="E119" s="3110"/>
    </row>
    <row r="120" spans="1:5" s="1949" customFormat="1">
      <c r="A120" s="3110"/>
      <c r="C120" s="3111"/>
      <c r="E120" s="3110"/>
    </row>
    <row r="121" spans="1:5" s="1949" customFormat="1">
      <c r="A121" s="3110"/>
      <c r="C121" s="3111"/>
      <c r="E121" s="3110"/>
    </row>
    <row r="122" spans="1:5" s="1949" customFormat="1">
      <c r="A122" s="3110"/>
      <c r="C122" s="3111"/>
      <c r="E122" s="3110"/>
    </row>
    <row r="123" spans="1:5" s="1949" customFormat="1">
      <c r="A123" s="3110"/>
      <c r="C123" s="3111"/>
      <c r="E123" s="3110"/>
    </row>
    <row r="124" spans="1:5" s="1949" customFormat="1">
      <c r="A124" s="3110"/>
      <c r="C124" s="3111"/>
      <c r="E124" s="3110"/>
    </row>
    <row r="125" spans="1:5" s="1949" customFormat="1">
      <c r="A125" s="3110"/>
      <c r="C125" s="3111"/>
      <c r="E125" s="3110"/>
    </row>
    <row r="126" spans="1:5" s="1949" customFormat="1">
      <c r="A126" s="3110"/>
      <c r="C126" s="3111"/>
      <c r="E126" s="3110"/>
    </row>
    <row r="127" spans="1:5" s="1949" customFormat="1">
      <c r="A127" s="3110"/>
      <c r="C127" s="3111"/>
      <c r="E127" s="3110"/>
    </row>
    <row r="128" spans="1:5" s="1949" customFormat="1">
      <c r="A128" s="3110"/>
      <c r="C128" s="3111"/>
      <c r="E128" s="3110"/>
    </row>
    <row r="129" spans="1:5" s="1949" customFormat="1">
      <c r="A129" s="3110"/>
      <c r="C129" s="3111"/>
      <c r="E129" s="3110"/>
    </row>
    <row r="130" spans="1:5" s="1949" customFormat="1">
      <c r="A130" s="3110"/>
      <c r="C130" s="3111"/>
      <c r="E130" s="3110"/>
    </row>
    <row r="131" spans="1:5" s="1949" customFormat="1">
      <c r="A131" s="3110"/>
      <c r="C131" s="3111"/>
      <c r="E131" s="3110"/>
    </row>
    <row r="132" spans="1:5" s="1949" customFormat="1">
      <c r="A132" s="3110"/>
      <c r="C132" s="3111"/>
      <c r="E132" s="3110"/>
    </row>
    <row r="133" spans="1:5" s="1949" customFormat="1">
      <c r="A133" s="3110"/>
      <c r="C133" s="3111"/>
      <c r="E133" s="3110"/>
    </row>
    <row r="134" spans="1:5" s="1949" customFormat="1">
      <c r="A134" s="3110"/>
      <c r="C134" s="3111"/>
      <c r="E134" s="3110"/>
    </row>
    <row r="135" spans="1:5" s="1949" customFormat="1">
      <c r="A135" s="3110"/>
      <c r="C135" s="3111"/>
      <c r="E135" s="3110"/>
    </row>
    <row r="136" spans="1:5" s="1949" customFormat="1">
      <c r="A136" s="3110"/>
      <c r="C136" s="3111"/>
      <c r="E136" s="3110"/>
    </row>
    <row r="137" spans="1:5" s="1949" customFormat="1">
      <c r="A137" s="3110"/>
      <c r="C137" s="3111"/>
      <c r="E137" s="3110"/>
    </row>
    <row r="138" spans="1:5" s="1949" customFormat="1">
      <c r="A138" s="3110"/>
      <c r="C138" s="3111"/>
      <c r="E138" s="3110"/>
    </row>
    <row r="139" spans="1:5" s="1949" customFormat="1">
      <c r="A139" s="3110"/>
      <c r="C139" s="3111"/>
      <c r="E139" s="3110"/>
    </row>
    <row r="140" spans="1:5" s="1949" customFormat="1">
      <c r="A140" s="3110"/>
      <c r="C140" s="3111"/>
      <c r="E140" s="3110"/>
    </row>
    <row r="141" spans="1:5" s="1949" customFormat="1">
      <c r="A141" s="3110"/>
      <c r="C141" s="3111"/>
      <c r="E141" s="3110"/>
    </row>
    <row r="142" spans="1:5" s="1949" customFormat="1">
      <c r="A142" s="3110"/>
      <c r="C142" s="3111"/>
      <c r="E142" s="3110"/>
    </row>
    <row r="143" spans="1:5" s="1949" customFormat="1">
      <c r="A143" s="3110"/>
      <c r="C143" s="3111"/>
      <c r="E143" s="3110"/>
    </row>
    <row r="144" spans="1:5" s="1949" customFormat="1">
      <c r="A144" s="3110"/>
      <c r="C144" s="3111"/>
      <c r="E144" s="3110"/>
    </row>
    <row r="145" spans="1:5" s="1949" customFormat="1">
      <c r="A145" s="3110"/>
      <c r="C145" s="3111"/>
      <c r="E145" s="3110"/>
    </row>
    <row r="146" spans="1:5" s="1949" customFormat="1">
      <c r="A146" s="3110"/>
      <c r="C146" s="3111"/>
      <c r="E146" s="3110"/>
    </row>
    <row r="147" spans="1:5" s="1949" customFormat="1">
      <c r="A147" s="3110"/>
      <c r="C147" s="3111"/>
      <c r="E147" s="3110"/>
    </row>
    <row r="148" spans="1:5" s="1949" customFormat="1">
      <c r="A148" s="3110"/>
      <c r="C148" s="3111"/>
      <c r="E148" s="3110"/>
    </row>
    <row r="149" spans="1:5" s="1949" customFormat="1">
      <c r="A149" s="3110"/>
      <c r="C149" s="3111"/>
      <c r="E149" s="3110"/>
    </row>
    <row r="150" spans="1:5" s="1949" customFormat="1">
      <c r="A150" s="3110"/>
      <c r="C150" s="3111"/>
      <c r="E150" s="3110"/>
    </row>
    <row r="151" spans="1:5" s="1949" customFormat="1">
      <c r="A151" s="3110"/>
      <c r="C151" s="3111"/>
      <c r="E151" s="3110"/>
    </row>
    <row r="152" spans="1:5" s="1949" customFormat="1">
      <c r="A152" s="3110"/>
      <c r="C152" s="3111"/>
      <c r="E152" s="3110"/>
    </row>
    <row r="153" spans="1:5" s="1949" customFormat="1">
      <c r="A153" s="3110"/>
      <c r="C153" s="3111"/>
      <c r="E153" s="3110"/>
    </row>
    <row r="154" spans="1:5" s="1949" customFormat="1">
      <c r="A154" s="3110"/>
      <c r="C154" s="3111"/>
      <c r="E154" s="3110"/>
    </row>
    <row r="155" spans="1:5" s="1949" customFormat="1">
      <c r="A155" s="3110"/>
      <c r="C155" s="3111"/>
      <c r="E155" s="3110"/>
    </row>
    <row r="156" spans="1:5" s="1949" customFormat="1">
      <c r="A156" s="3110"/>
      <c r="C156" s="3111"/>
      <c r="E156" s="3110"/>
    </row>
    <row r="157" spans="1:5" s="1949" customFormat="1">
      <c r="A157" s="3110"/>
      <c r="C157" s="3111"/>
      <c r="E157" s="3110"/>
    </row>
    <row r="158" spans="1:5" s="1949" customFormat="1">
      <c r="A158" s="3110"/>
      <c r="C158" s="3111"/>
      <c r="E158" s="3110"/>
    </row>
    <row r="159" spans="1:5" s="1949" customFormat="1">
      <c r="A159" s="3110"/>
      <c r="C159" s="3111"/>
      <c r="E159" s="3110"/>
    </row>
    <row r="160" spans="1:5" s="1949" customFormat="1">
      <c r="A160" s="3110"/>
      <c r="C160" s="3111"/>
      <c r="E160" s="3110"/>
    </row>
    <row r="161" spans="1:5" s="1949" customFormat="1">
      <c r="A161" s="3110"/>
      <c r="C161" s="3111"/>
      <c r="E161" s="3110"/>
    </row>
    <row r="162" spans="1:5" s="1949" customFormat="1">
      <c r="A162" s="3110"/>
      <c r="C162" s="3111"/>
      <c r="E162" s="3110"/>
    </row>
    <row r="163" spans="1:5" s="1949" customFormat="1">
      <c r="A163" s="3110"/>
      <c r="C163" s="3111"/>
      <c r="E163" s="3110"/>
    </row>
    <row r="164" spans="1:5" s="1949" customFormat="1">
      <c r="A164" s="3110"/>
      <c r="C164" s="3111"/>
      <c r="E164" s="3110"/>
    </row>
    <row r="165" spans="1:5" s="1949" customFormat="1">
      <c r="A165" s="3110"/>
      <c r="C165" s="3111"/>
      <c r="E165" s="3110"/>
    </row>
    <row r="166" spans="1:5" s="1949" customFormat="1">
      <c r="A166" s="3110"/>
      <c r="C166" s="3111"/>
      <c r="E166" s="3110"/>
    </row>
    <row r="167" spans="1:5" s="1949" customFormat="1">
      <c r="A167" s="3110"/>
      <c r="C167" s="3111"/>
      <c r="E167" s="3110"/>
    </row>
    <row r="168" spans="1:5" s="1949" customFormat="1">
      <c r="A168" s="3110"/>
      <c r="C168" s="3111"/>
      <c r="E168" s="3110"/>
    </row>
    <row r="169" spans="1:5" s="1949" customFormat="1">
      <c r="A169" s="3110"/>
      <c r="C169" s="3111"/>
      <c r="E169" s="3110"/>
    </row>
    <row r="170" spans="1:5" s="1949" customFormat="1">
      <c r="A170" s="3110"/>
      <c r="C170" s="3111"/>
      <c r="E170" s="3110"/>
    </row>
    <row r="171" spans="1:5" s="1949" customFormat="1">
      <c r="A171" s="3110"/>
      <c r="C171" s="3111"/>
      <c r="E171" s="3110"/>
    </row>
    <row r="172" spans="1:5" s="1949" customFormat="1">
      <c r="A172" s="3110"/>
      <c r="C172" s="3111"/>
      <c r="E172" s="3110"/>
    </row>
    <row r="173" spans="1:5" s="1949" customFormat="1">
      <c r="A173" s="3110"/>
      <c r="C173" s="3111"/>
      <c r="E173" s="3110"/>
    </row>
    <row r="174" spans="1:5" s="1949" customFormat="1">
      <c r="A174" s="3110"/>
      <c r="C174" s="3111"/>
      <c r="E174" s="3110"/>
    </row>
    <row r="175" spans="1:5" s="1949" customFormat="1">
      <c r="A175" s="3110"/>
      <c r="C175" s="3111"/>
      <c r="E175" s="3110"/>
    </row>
    <row r="176" spans="1:5" s="1949" customFormat="1">
      <c r="A176" s="3110"/>
      <c r="C176" s="3111"/>
      <c r="E176" s="3110"/>
    </row>
    <row r="177" spans="1:5" s="1949" customFormat="1">
      <c r="A177" s="3110"/>
      <c r="C177" s="3111"/>
      <c r="E177" s="3110"/>
    </row>
    <row r="178" spans="1:5" s="1949" customFormat="1">
      <c r="A178" s="3110"/>
      <c r="C178" s="3111"/>
      <c r="E178" s="3110"/>
    </row>
    <row r="179" spans="1:5" s="1949" customFormat="1">
      <c r="A179" s="3110"/>
      <c r="C179" s="3111"/>
      <c r="E179" s="3110"/>
    </row>
    <row r="180" spans="1:5" s="1949" customFormat="1">
      <c r="A180" s="3110"/>
      <c r="C180" s="3111"/>
      <c r="E180" s="3110"/>
    </row>
    <row r="181" spans="1:5" s="1949" customFormat="1">
      <c r="A181" s="3110"/>
      <c r="C181" s="3111"/>
      <c r="E181" s="3110"/>
    </row>
    <row r="182" spans="1:5" s="1949" customFormat="1">
      <c r="A182" s="3110"/>
      <c r="C182" s="3111"/>
      <c r="E182" s="3110"/>
    </row>
    <row r="183" spans="1:5" s="1949" customFormat="1">
      <c r="A183" s="3110"/>
      <c r="C183" s="3111"/>
      <c r="E183" s="3110"/>
    </row>
    <row r="184" spans="1:5" s="1949" customFormat="1">
      <c r="A184" s="3110"/>
      <c r="C184" s="3111"/>
      <c r="E184" s="3110"/>
    </row>
    <row r="185" spans="1:5" s="1949" customFormat="1">
      <c r="A185" s="3110"/>
      <c r="C185" s="3111"/>
      <c r="E185" s="3110"/>
    </row>
    <row r="186" spans="1:5" s="1949" customFormat="1">
      <c r="A186" s="3110"/>
      <c r="C186" s="3111"/>
      <c r="E186" s="3110"/>
    </row>
    <row r="187" spans="1:5" s="1949" customFormat="1">
      <c r="A187" s="3110"/>
      <c r="C187" s="3111"/>
      <c r="E187" s="3110"/>
    </row>
    <row r="188" spans="1:5" s="1949" customFormat="1">
      <c r="A188" s="3110"/>
      <c r="C188" s="3111"/>
      <c r="E188" s="3110"/>
    </row>
    <row r="189" spans="1:5" s="1949" customFormat="1">
      <c r="A189" s="3110"/>
      <c r="C189" s="3111"/>
      <c r="E189" s="3110"/>
    </row>
    <row r="190" spans="1:5" s="1949" customFormat="1">
      <c r="A190" s="3110"/>
      <c r="C190" s="3111"/>
      <c r="E190" s="3110"/>
    </row>
    <row r="191" spans="1:5" s="1949" customFormat="1">
      <c r="A191" s="3110"/>
      <c r="C191" s="3111"/>
      <c r="E191" s="3110"/>
    </row>
    <row r="192" spans="1:5" s="1949" customFormat="1">
      <c r="A192" s="3110"/>
      <c r="C192" s="3111"/>
      <c r="E192" s="3110"/>
    </row>
    <row r="193" spans="1:5" s="1949" customFormat="1">
      <c r="A193" s="3110"/>
      <c r="C193" s="3111"/>
      <c r="E193" s="3110"/>
    </row>
    <row r="194" spans="1:5" s="1949" customFormat="1">
      <c r="A194" s="3110"/>
      <c r="C194" s="3111"/>
      <c r="E194" s="3110"/>
    </row>
    <row r="195" spans="1:5" s="1949" customFormat="1">
      <c r="A195" s="3110"/>
      <c r="C195" s="3111"/>
      <c r="E195" s="3110"/>
    </row>
    <row r="196" spans="1:5" s="1949" customFormat="1">
      <c r="A196" s="3110"/>
      <c r="C196" s="3111"/>
      <c r="E196" s="3110"/>
    </row>
    <row r="197" spans="1:5" s="1949" customFormat="1">
      <c r="A197" s="3110"/>
      <c r="C197" s="3111"/>
      <c r="E197" s="3110"/>
    </row>
    <row r="198" spans="1:5" s="1949" customFormat="1">
      <c r="A198" s="3110"/>
      <c r="C198" s="3111"/>
      <c r="E198" s="3110"/>
    </row>
    <row r="199" spans="1:5" s="1949" customFormat="1">
      <c r="A199" s="3110"/>
      <c r="C199" s="3111"/>
      <c r="E199" s="3110"/>
    </row>
    <row r="200" spans="1:5" s="1949" customFormat="1">
      <c r="A200" s="3110"/>
      <c r="C200" s="3111"/>
      <c r="E200" s="3110"/>
    </row>
    <row r="201" spans="1:5" s="1949" customFormat="1">
      <c r="A201" s="3110"/>
      <c r="C201" s="3111"/>
      <c r="E201" s="3110"/>
    </row>
    <row r="202" spans="1:5" s="1949" customFormat="1">
      <c r="A202" s="3110"/>
      <c r="C202" s="3111"/>
      <c r="E202" s="3110"/>
    </row>
    <row r="203" spans="1:5" s="1949" customFormat="1">
      <c r="A203" s="3110"/>
      <c r="C203" s="3111"/>
      <c r="E203" s="3110"/>
    </row>
    <row r="204" spans="1:5" s="1949" customFormat="1">
      <c r="A204" s="3110"/>
      <c r="C204" s="3111"/>
      <c r="E204" s="3110"/>
    </row>
    <row r="205" spans="1:5" s="1949" customFormat="1">
      <c r="A205" s="3110"/>
      <c r="C205" s="3111"/>
      <c r="E205" s="3110"/>
    </row>
    <row r="206" spans="1:5" s="1949" customFormat="1">
      <c r="A206" s="3110"/>
      <c r="C206" s="3111"/>
      <c r="E206" s="3110"/>
    </row>
    <row r="207" spans="1:5" s="1949" customFormat="1">
      <c r="A207" s="3110"/>
      <c r="C207" s="3111"/>
      <c r="E207" s="3110"/>
    </row>
    <row r="208" spans="1:5" s="1949" customFormat="1">
      <c r="A208" s="3110"/>
      <c r="C208" s="3111"/>
      <c r="E208" s="3110"/>
    </row>
    <row r="209" spans="1:5" s="1949" customFormat="1">
      <c r="A209" s="3110"/>
      <c r="C209" s="3111"/>
      <c r="E209" s="3110"/>
    </row>
    <row r="210" spans="1:5" s="1949" customFormat="1">
      <c r="A210" s="3110"/>
      <c r="C210" s="3111"/>
      <c r="E210" s="3110"/>
    </row>
    <row r="211" spans="1:5" s="1949" customFormat="1">
      <c r="A211" s="3110"/>
      <c r="C211" s="3111"/>
      <c r="E211" s="3110"/>
    </row>
    <row r="212" spans="1:5" s="1949" customFormat="1">
      <c r="A212" s="3110"/>
      <c r="C212" s="3111"/>
      <c r="E212" s="3110"/>
    </row>
    <row r="213" spans="1:5" s="1949" customFormat="1">
      <c r="A213" s="3110"/>
      <c r="C213" s="3111"/>
      <c r="E213" s="3110"/>
    </row>
    <row r="214" spans="1:5" s="1949" customFormat="1">
      <c r="A214" s="3110"/>
      <c r="C214" s="3111"/>
      <c r="E214" s="3110"/>
    </row>
    <row r="215" spans="1:5" s="1949" customFormat="1">
      <c r="A215" s="3110"/>
      <c r="C215" s="3111"/>
      <c r="E215" s="3110"/>
    </row>
    <row r="216" spans="1:5" s="1949" customFormat="1">
      <c r="A216" s="3110"/>
      <c r="C216" s="3111"/>
      <c r="E216" s="3110"/>
    </row>
    <row r="217" spans="1:5" s="1949" customFormat="1">
      <c r="A217" s="3110"/>
      <c r="C217" s="3111"/>
      <c r="E217" s="3110"/>
    </row>
    <row r="218" spans="1:5" s="1949" customFormat="1">
      <c r="A218" s="3110"/>
      <c r="C218" s="3111"/>
      <c r="E218" s="3110"/>
    </row>
    <row r="219" spans="1:5" s="1949" customFormat="1">
      <c r="A219" s="3110"/>
      <c r="C219" s="3111"/>
      <c r="E219" s="3110"/>
    </row>
    <row r="220" spans="1:5" s="1949" customFormat="1">
      <c r="A220" s="3110"/>
      <c r="C220" s="3111"/>
      <c r="E220" s="3110"/>
    </row>
    <row r="221" spans="1:5" s="1949" customFormat="1">
      <c r="A221" s="3110"/>
      <c r="C221" s="3111"/>
      <c r="E221" s="3110"/>
    </row>
    <row r="222" spans="1:5" s="1949" customFormat="1">
      <c r="A222" s="3110"/>
      <c r="C222" s="3111"/>
      <c r="E222" s="3110"/>
    </row>
    <row r="223" spans="1:5" s="1949" customFormat="1">
      <c r="A223" s="3110"/>
      <c r="C223" s="3111"/>
      <c r="E223" s="3110"/>
    </row>
    <row r="224" spans="1:5" s="1949" customFormat="1">
      <c r="A224" s="3110"/>
      <c r="C224" s="3111"/>
      <c r="E224" s="3110"/>
    </row>
    <row r="225" spans="1:5" s="1949" customFormat="1">
      <c r="A225" s="3110"/>
      <c r="C225" s="3111"/>
      <c r="E225" s="3110"/>
    </row>
    <row r="226" spans="1:5" s="1949" customFormat="1">
      <c r="A226" s="3110"/>
      <c r="C226" s="3111"/>
      <c r="E226" s="3110"/>
    </row>
    <row r="227" spans="1:5" s="1949" customFormat="1">
      <c r="A227" s="3110"/>
      <c r="C227" s="3111"/>
      <c r="E227" s="3110"/>
    </row>
    <row r="228" spans="1:5" s="1949" customFormat="1">
      <c r="A228" s="3110"/>
      <c r="C228" s="3111"/>
      <c r="E228" s="3110"/>
    </row>
    <row r="229" spans="1:5" s="1949" customFormat="1">
      <c r="A229" s="3110"/>
      <c r="C229" s="3111"/>
      <c r="E229" s="3110"/>
    </row>
    <row r="230" spans="1:5" s="1949" customFormat="1">
      <c r="A230" s="3110"/>
      <c r="C230" s="3111"/>
      <c r="E230" s="3110"/>
    </row>
    <row r="231" spans="1:5" s="1949" customFormat="1">
      <c r="A231" s="3110"/>
      <c r="C231" s="3111"/>
      <c r="E231" s="3110"/>
    </row>
    <row r="232" spans="1:5" s="1949" customFormat="1">
      <c r="A232" s="3110"/>
      <c r="C232" s="3111"/>
      <c r="E232" s="3110"/>
    </row>
    <row r="233" spans="1:5" s="1949" customFormat="1">
      <c r="A233" s="3110"/>
      <c r="C233" s="3111"/>
      <c r="E233" s="3110"/>
    </row>
    <row r="234" spans="1:5" s="1949" customFormat="1">
      <c r="A234" s="3110"/>
      <c r="C234" s="3111"/>
      <c r="E234" s="3110"/>
    </row>
    <row r="235" spans="1:5" s="1949" customFormat="1">
      <c r="A235" s="3110"/>
      <c r="C235" s="3111"/>
      <c r="E235" s="3110"/>
    </row>
    <row r="236" spans="1:5" s="1949" customFormat="1">
      <c r="A236" s="3110"/>
      <c r="C236" s="3111"/>
      <c r="E236" s="3110"/>
    </row>
    <row r="237" spans="1:5" s="1949" customFormat="1">
      <c r="A237" s="3110"/>
      <c r="C237" s="3111"/>
      <c r="E237" s="3110"/>
    </row>
    <row r="238" spans="1:5" s="1949" customFormat="1">
      <c r="A238" s="3110"/>
      <c r="C238" s="3111"/>
      <c r="E238" s="3110"/>
    </row>
    <row r="239" spans="1:5" s="1949" customFormat="1">
      <c r="A239" s="3110"/>
      <c r="C239" s="3111"/>
      <c r="E239" s="3110"/>
    </row>
    <row r="240" spans="1:5" s="1949" customFormat="1">
      <c r="A240" s="3110"/>
      <c r="C240" s="3111"/>
      <c r="E240" s="3110"/>
    </row>
    <row r="241" spans="1:5" s="1949" customFormat="1">
      <c r="A241" s="3110"/>
      <c r="C241" s="3111"/>
      <c r="E241" s="3110"/>
    </row>
    <row r="242" spans="1:5" s="1949" customFormat="1">
      <c r="A242" s="3110"/>
      <c r="C242" s="3111"/>
      <c r="E242" s="3110"/>
    </row>
    <row r="243" spans="1:5" s="1949" customFormat="1">
      <c r="A243" s="3110"/>
      <c r="C243" s="3111"/>
      <c r="E243" s="3110"/>
    </row>
    <row r="244" spans="1:5" s="1949" customFormat="1">
      <c r="A244" s="3110"/>
      <c r="C244" s="3111"/>
      <c r="E244" s="3110"/>
    </row>
    <row r="245" spans="1:5" s="1949" customFormat="1">
      <c r="A245" s="3110"/>
      <c r="C245" s="3111"/>
      <c r="E245" s="3110"/>
    </row>
    <row r="246" spans="1:5" s="1949" customFormat="1">
      <c r="A246" s="3110"/>
      <c r="C246" s="3111"/>
      <c r="E246" s="3110"/>
    </row>
    <row r="247" spans="1:5" s="1949" customFormat="1">
      <c r="A247" s="3110"/>
      <c r="C247" s="3111"/>
      <c r="E247" s="3110"/>
    </row>
    <row r="248" spans="1:5" s="1949" customFormat="1">
      <c r="A248" s="3110"/>
      <c r="C248" s="3111"/>
      <c r="E248" s="3110"/>
    </row>
    <row r="249" spans="1:5" s="1949" customFormat="1">
      <c r="A249" s="3110"/>
      <c r="C249" s="3111"/>
      <c r="E249" s="3110"/>
    </row>
    <row r="250" spans="1:5" s="1949" customFormat="1">
      <c r="A250" s="3110"/>
      <c r="C250" s="3111"/>
      <c r="E250" s="3110"/>
    </row>
    <row r="251" spans="1:5" s="1949" customFormat="1">
      <c r="A251" s="3110"/>
      <c r="C251" s="3111"/>
      <c r="E251" s="3110"/>
    </row>
    <row r="252" spans="1:5" s="1949" customFormat="1">
      <c r="A252" s="3110"/>
      <c r="C252" s="3111"/>
      <c r="E252" s="3110"/>
    </row>
    <row r="253" spans="1:5" s="1949" customFormat="1">
      <c r="A253" s="3110"/>
      <c r="C253" s="3111"/>
      <c r="E253" s="3110"/>
    </row>
    <row r="254" spans="1:5" s="1949" customFormat="1">
      <c r="A254" s="3110"/>
      <c r="C254" s="3111"/>
      <c r="E254" s="3110"/>
    </row>
    <row r="255" spans="1:5" s="1949" customFormat="1">
      <c r="A255" s="3110"/>
      <c r="C255" s="3111"/>
      <c r="E255" s="3110"/>
    </row>
    <row r="256" spans="1:5" s="1949" customFormat="1">
      <c r="A256" s="3110"/>
      <c r="C256" s="3111"/>
      <c r="E256" s="3110"/>
    </row>
    <row r="257" spans="1:5" s="1949" customFormat="1">
      <c r="A257" s="3110"/>
      <c r="C257" s="3111"/>
      <c r="E257" s="3110"/>
    </row>
    <row r="258" spans="1:5" s="1949" customFormat="1">
      <c r="A258" s="3110"/>
      <c r="C258" s="3111"/>
      <c r="E258" s="3110"/>
    </row>
    <row r="259" spans="1:5" s="1949" customFormat="1">
      <c r="A259" s="3110"/>
      <c r="C259" s="3111"/>
      <c r="E259" s="3110"/>
    </row>
    <row r="260" spans="1:5" s="1949" customFormat="1">
      <c r="A260" s="3110"/>
      <c r="C260" s="3111"/>
      <c r="E260" s="3110"/>
    </row>
    <row r="261" spans="1:5" s="1949" customFormat="1">
      <c r="A261" s="3110"/>
      <c r="C261" s="3111"/>
      <c r="E261" s="3110"/>
    </row>
    <row r="262" spans="1:5" s="1949" customFormat="1">
      <c r="A262" s="3110"/>
      <c r="C262" s="3111"/>
      <c r="E262" s="3110"/>
    </row>
    <row r="263" spans="1:5" s="1949" customFormat="1">
      <c r="A263" s="3110"/>
      <c r="C263" s="3111"/>
      <c r="E263" s="3110"/>
    </row>
    <row r="264" spans="1:5" s="1949" customFormat="1">
      <c r="A264" s="3110"/>
      <c r="C264" s="3111"/>
      <c r="E264" s="3110"/>
    </row>
    <row r="265" spans="1:5" s="1949" customFormat="1">
      <c r="A265" s="3110"/>
      <c r="C265" s="3111"/>
      <c r="E265" s="3110"/>
    </row>
    <row r="266" spans="1:5" s="1949" customFormat="1">
      <c r="A266" s="3110"/>
      <c r="C266" s="3111"/>
      <c r="E266" s="3110"/>
    </row>
    <row r="267" spans="1:5" s="1949" customFormat="1">
      <c r="A267" s="3110"/>
      <c r="C267" s="3111"/>
      <c r="E267" s="3110"/>
    </row>
    <row r="268" spans="1:5" s="1949" customFormat="1">
      <c r="A268" s="3110"/>
      <c r="C268" s="3111"/>
      <c r="E268" s="3110"/>
    </row>
    <row r="269" spans="1:5" s="1949" customFormat="1">
      <c r="A269" s="3110"/>
      <c r="C269" s="3111"/>
      <c r="E269" s="3110"/>
    </row>
    <row r="270" spans="1:5" s="1949" customFormat="1">
      <c r="A270" s="3110"/>
      <c r="C270" s="3111"/>
      <c r="E270" s="3110"/>
    </row>
    <row r="271" spans="1:5" s="1949" customFormat="1">
      <c r="A271" s="3110"/>
      <c r="C271" s="3111"/>
      <c r="E271" s="3110"/>
    </row>
    <row r="272" spans="1:5" s="1949" customFormat="1">
      <c r="A272" s="3110"/>
      <c r="C272" s="3111"/>
      <c r="E272" s="3110"/>
    </row>
    <row r="273" spans="1:5" s="1949" customFormat="1">
      <c r="A273" s="3110"/>
      <c r="C273" s="3111"/>
      <c r="E273" s="3110"/>
    </row>
    <row r="274" spans="1:5" s="1949" customFormat="1">
      <c r="A274" s="3110"/>
      <c r="C274" s="3111"/>
      <c r="E274" s="3110"/>
    </row>
    <row r="275" spans="1:5" s="1949" customFormat="1">
      <c r="A275" s="3110"/>
      <c r="C275" s="3111"/>
      <c r="E275" s="3110"/>
    </row>
    <row r="276" spans="1:5" s="1949" customFormat="1">
      <c r="A276" s="3110"/>
      <c r="C276" s="3111"/>
      <c r="E276" s="3110"/>
    </row>
    <row r="277" spans="1:5" s="1949" customFormat="1">
      <c r="A277" s="3110"/>
      <c r="C277" s="3111"/>
      <c r="E277" s="3110"/>
    </row>
    <row r="278" spans="1:5" s="1949" customFormat="1">
      <c r="A278" s="3110"/>
      <c r="C278" s="3111"/>
      <c r="E278" s="3110"/>
    </row>
    <row r="279" spans="1:5" s="1949" customFormat="1">
      <c r="A279" s="3110"/>
      <c r="C279" s="3111"/>
      <c r="E279" s="3110"/>
    </row>
    <row r="280" spans="1:5" s="1949" customFormat="1">
      <c r="A280" s="3110"/>
      <c r="C280" s="3111"/>
      <c r="E280" s="3110"/>
    </row>
    <row r="281" spans="1:5" s="1949" customFormat="1">
      <c r="A281" s="3110"/>
      <c r="C281" s="3111"/>
      <c r="E281" s="3110"/>
    </row>
    <row r="282" spans="1:5" s="1949" customFormat="1">
      <c r="A282" s="3110"/>
      <c r="C282" s="3111"/>
      <c r="E282" s="3110"/>
    </row>
    <row r="283" spans="1:5" s="1949" customFormat="1">
      <c r="A283" s="3110"/>
      <c r="C283" s="3111"/>
      <c r="E283" s="3110"/>
    </row>
    <row r="284" spans="1:5" s="1949" customFormat="1">
      <c r="A284" s="3110"/>
      <c r="C284" s="3111"/>
      <c r="E284" s="3110"/>
    </row>
    <row r="285" spans="1:5" s="1949" customFormat="1">
      <c r="A285" s="3110"/>
      <c r="C285" s="3111"/>
      <c r="E285" s="3110"/>
    </row>
    <row r="286" spans="1:5" s="1949" customFormat="1">
      <c r="A286" s="3110"/>
      <c r="C286" s="3111"/>
      <c r="E286" s="3110"/>
    </row>
    <row r="287" spans="1:5" s="1949" customFormat="1">
      <c r="A287" s="3110"/>
      <c r="C287" s="3111"/>
      <c r="E287" s="3110"/>
    </row>
    <row r="288" spans="1:5" s="1949" customFormat="1">
      <c r="A288" s="3110"/>
      <c r="C288" s="3111"/>
      <c r="E288" s="3110"/>
    </row>
    <row r="289" spans="1:5" s="1949" customFormat="1">
      <c r="A289" s="3110"/>
      <c r="C289" s="3111"/>
      <c r="E289" s="3110"/>
    </row>
    <row r="290" spans="1:5" s="1949" customFormat="1">
      <c r="A290" s="3110"/>
      <c r="C290" s="3111"/>
      <c r="E290" s="3110"/>
    </row>
    <row r="291" spans="1:5" s="1949" customFormat="1">
      <c r="A291" s="3110"/>
      <c r="C291" s="3111"/>
      <c r="E291" s="3110"/>
    </row>
    <row r="292" spans="1:5" s="1949" customFormat="1">
      <c r="A292" s="3110"/>
      <c r="C292" s="3111"/>
      <c r="E292" s="3110"/>
    </row>
    <row r="293" spans="1:5" s="1949" customFormat="1">
      <c r="A293" s="3110"/>
      <c r="C293" s="3111"/>
      <c r="E293" s="3110"/>
    </row>
    <row r="294" spans="1:5" s="1949" customFormat="1">
      <c r="A294" s="3110"/>
      <c r="C294" s="3111"/>
      <c r="E294" s="3110"/>
    </row>
    <row r="295" spans="1:5" s="1949" customFormat="1">
      <c r="A295" s="3110"/>
      <c r="C295" s="3111"/>
      <c r="E295" s="3110"/>
    </row>
    <row r="296" spans="1:5" s="1949" customFormat="1">
      <c r="A296" s="3110"/>
      <c r="C296" s="3111"/>
      <c r="E296" s="3110"/>
    </row>
    <row r="297" spans="1:5" s="1949" customFormat="1">
      <c r="A297" s="3110"/>
      <c r="C297" s="3111"/>
      <c r="E297" s="3110"/>
    </row>
    <row r="298" spans="1:5" s="1949" customFormat="1">
      <c r="A298" s="3110"/>
      <c r="C298" s="3111"/>
      <c r="E298" s="3110"/>
    </row>
    <row r="299" spans="1:5" s="1949" customFormat="1">
      <c r="A299" s="3110"/>
      <c r="C299" s="3111"/>
      <c r="E299" s="3110"/>
    </row>
    <row r="300" spans="1:5" s="1949" customFormat="1">
      <c r="A300" s="3110"/>
      <c r="C300" s="3111"/>
      <c r="E300" s="3110"/>
    </row>
    <row r="301" spans="1:5" s="1949" customFormat="1">
      <c r="A301" s="3110"/>
      <c r="C301" s="3111"/>
      <c r="E301" s="3110"/>
    </row>
    <row r="302" spans="1:5" s="1949" customFormat="1">
      <c r="A302" s="3110"/>
      <c r="C302" s="3111"/>
      <c r="E302" s="3110"/>
    </row>
    <row r="303" spans="1:5" s="1949" customFormat="1">
      <c r="A303" s="3110"/>
      <c r="C303" s="3111"/>
      <c r="E303" s="3110"/>
    </row>
    <row r="304" spans="1:5" s="1949" customFormat="1">
      <c r="A304" s="3110"/>
      <c r="C304" s="3111"/>
      <c r="E304" s="3110"/>
    </row>
    <row r="305" spans="1:5" s="1949" customFormat="1">
      <c r="A305" s="3110"/>
      <c r="C305" s="3111"/>
      <c r="E305" s="3110"/>
    </row>
    <row r="306" spans="1:5" s="1949" customFormat="1">
      <c r="A306" s="3110"/>
      <c r="C306" s="3111"/>
      <c r="E306" s="3110"/>
    </row>
    <row r="307" spans="1:5" s="1949" customFormat="1">
      <c r="A307" s="3110"/>
      <c r="C307" s="3111"/>
      <c r="E307" s="3110"/>
    </row>
    <row r="308" spans="1:5" s="1949" customFormat="1">
      <c r="A308" s="3110"/>
      <c r="C308" s="3111"/>
      <c r="E308" s="3110"/>
    </row>
    <row r="309" spans="1:5" s="1949" customFormat="1">
      <c r="A309" s="3110"/>
      <c r="C309" s="3111"/>
      <c r="E309" s="3110"/>
    </row>
    <row r="310" spans="1:5" s="1949" customFormat="1">
      <c r="A310" s="3110"/>
      <c r="C310" s="3111"/>
      <c r="E310" s="3110"/>
    </row>
    <row r="311" spans="1:5" s="1949" customFormat="1">
      <c r="A311" s="3110"/>
      <c r="C311" s="3111"/>
      <c r="E311" s="3110"/>
    </row>
    <row r="312" spans="1:5" s="1949" customFormat="1">
      <c r="A312" s="3110"/>
      <c r="C312" s="3111"/>
      <c r="E312" s="3110"/>
    </row>
    <row r="313" spans="1:5" s="1949" customFormat="1">
      <c r="A313" s="3110"/>
      <c r="C313" s="3111"/>
      <c r="E313" s="3110"/>
    </row>
    <row r="314" spans="1:5" s="1949" customFormat="1">
      <c r="A314" s="3110"/>
      <c r="C314" s="3111"/>
      <c r="E314" s="3110"/>
    </row>
    <row r="315" spans="1:5" s="1949" customFormat="1">
      <c r="A315" s="3110"/>
      <c r="C315" s="3111"/>
      <c r="E315" s="3110"/>
    </row>
    <row r="316" spans="1:5" s="1949" customFormat="1">
      <c r="A316" s="3110"/>
      <c r="C316" s="3111"/>
      <c r="E316" s="3110"/>
    </row>
    <row r="317" spans="1:5" s="1949" customFormat="1">
      <c r="A317" s="3110"/>
      <c r="C317" s="3111"/>
      <c r="E317" s="3110"/>
    </row>
    <row r="318" spans="1:5" s="1949" customFormat="1">
      <c r="A318" s="3110"/>
      <c r="C318" s="3111"/>
      <c r="E318" s="3110"/>
    </row>
    <row r="319" spans="1:5" s="1949" customFormat="1">
      <c r="A319" s="3110"/>
      <c r="C319" s="3111"/>
      <c r="E319" s="3110"/>
    </row>
    <row r="320" spans="1:5" s="1949" customFormat="1">
      <c r="A320" s="3110"/>
      <c r="C320" s="3111"/>
      <c r="E320" s="3110"/>
    </row>
    <row r="321" spans="1:5" s="1949" customFormat="1">
      <c r="A321" s="3110"/>
      <c r="C321" s="3111"/>
      <c r="E321" s="3110"/>
    </row>
    <row r="322" spans="1:5" s="1949" customFormat="1">
      <c r="A322" s="3110"/>
      <c r="C322" s="3111"/>
      <c r="E322" s="3110"/>
    </row>
    <row r="323" spans="1:5" s="1949" customFormat="1">
      <c r="A323" s="3110"/>
      <c r="C323" s="3111"/>
      <c r="E323" s="3110"/>
    </row>
    <row r="324" spans="1:5" s="1949" customFormat="1">
      <c r="A324" s="3110"/>
      <c r="C324" s="3111"/>
      <c r="E324" s="3110"/>
    </row>
    <row r="325" spans="1:5" s="1949" customFormat="1">
      <c r="A325" s="3110"/>
      <c r="C325" s="3111"/>
      <c r="E325" s="3110"/>
    </row>
    <row r="326" spans="1:5" s="1949" customFormat="1">
      <c r="A326" s="3110"/>
      <c r="C326" s="3111"/>
      <c r="E326" s="3110"/>
    </row>
    <row r="327" spans="1:5" s="1949" customFormat="1">
      <c r="A327" s="3110"/>
      <c r="C327" s="3111"/>
      <c r="E327" s="3110"/>
    </row>
    <row r="328" spans="1:5" s="1949" customFormat="1">
      <c r="A328" s="3110"/>
      <c r="C328" s="3111"/>
      <c r="E328" s="3110"/>
    </row>
    <row r="329" spans="1:5" s="1949" customFormat="1">
      <c r="A329" s="3110"/>
      <c r="C329" s="3111"/>
      <c r="E329" s="3110"/>
    </row>
    <row r="330" spans="1:5" s="1949" customFormat="1">
      <c r="A330" s="3110"/>
      <c r="C330" s="3111"/>
      <c r="E330" s="3110"/>
    </row>
    <row r="331" spans="1:5" s="1949" customFormat="1">
      <c r="A331" s="3110"/>
      <c r="C331" s="3111"/>
      <c r="E331" s="3110"/>
    </row>
    <row r="332" spans="1:5" s="1949" customFormat="1">
      <c r="A332" s="3110"/>
      <c r="C332" s="3111"/>
      <c r="E332" s="3110"/>
    </row>
    <row r="333" spans="1:5" s="1949" customFormat="1">
      <c r="A333" s="3110"/>
      <c r="C333" s="3111"/>
      <c r="E333" s="3110"/>
    </row>
    <row r="334" spans="1:5" s="1949" customFormat="1">
      <c r="A334" s="3110"/>
      <c r="C334" s="3111"/>
      <c r="E334" s="3110"/>
    </row>
    <row r="335" spans="1:5" s="1949" customFormat="1">
      <c r="A335" s="3110"/>
      <c r="C335" s="3111"/>
      <c r="E335" s="3110"/>
    </row>
    <row r="336" spans="1:5" s="1949" customFormat="1">
      <c r="A336" s="3110"/>
      <c r="C336" s="3111"/>
      <c r="E336" s="3110"/>
    </row>
    <row r="337" spans="1:5" s="1949" customFormat="1">
      <c r="A337" s="3110"/>
      <c r="C337" s="3111"/>
      <c r="E337" s="3110"/>
    </row>
    <row r="338" spans="1:5" s="1949" customFormat="1">
      <c r="A338" s="3110"/>
      <c r="C338" s="3111"/>
      <c r="E338" s="3110"/>
    </row>
    <row r="339" spans="1:5" s="1949" customFormat="1">
      <c r="A339" s="3110"/>
      <c r="C339" s="3111"/>
      <c r="E339" s="3110"/>
    </row>
    <row r="340" spans="1:5" s="1949" customFormat="1">
      <c r="A340" s="3110"/>
      <c r="C340" s="3111"/>
      <c r="E340" s="3110"/>
    </row>
    <row r="341" spans="1:5" s="1949" customFormat="1">
      <c r="A341" s="3110"/>
      <c r="C341" s="3111"/>
      <c r="E341" s="3110"/>
    </row>
    <row r="342" spans="1:5" s="1949" customFormat="1">
      <c r="A342" s="3110"/>
      <c r="C342" s="3111"/>
      <c r="E342" s="3110"/>
    </row>
    <row r="343" spans="1:5" s="1949" customFormat="1">
      <c r="A343" s="3110"/>
      <c r="C343" s="3111"/>
      <c r="E343" s="3110"/>
    </row>
    <row r="344" spans="1:5" s="1949" customFormat="1">
      <c r="A344" s="3110"/>
      <c r="C344" s="3111"/>
      <c r="E344" s="3110"/>
    </row>
    <row r="345" spans="1:5" s="1949" customFormat="1">
      <c r="A345" s="3110"/>
      <c r="C345" s="3111"/>
      <c r="E345" s="3110"/>
    </row>
    <row r="346" spans="1:5" s="1949" customFormat="1">
      <c r="A346" s="3110"/>
      <c r="C346" s="3111"/>
      <c r="E346" s="3110"/>
    </row>
    <row r="347" spans="1:5" s="1949" customFormat="1">
      <c r="A347" s="3110"/>
      <c r="C347" s="3111"/>
      <c r="E347" s="3110"/>
    </row>
    <row r="348" spans="1:5" s="1949" customFormat="1">
      <c r="A348" s="3110"/>
      <c r="C348" s="3111"/>
      <c r="E348" s="3110"/>
    </row>
    <row r="349" spans="1:5" s="1949" customFormat="1">
      <c r="A349" s="3110"/>
      <c r="C349" s="3111"/>
      <c r="E349" s="3110"/>
    </row>
    <row r="350" spans="1:5" s="1949" customFormat="1">
      <c r="A350" s="3110"/>
      <c r="C350" s="3111"/>
      <c r="E350" s="3110"/>
    </row>
    <row r="351" spans="1:5" s="1949" customFormat="1">
      <c r="A351" s="3110"/>
      <c r="C351" s="3111"/>
      <c r="E351" s="3110"/>
    </row>
    <row r="352" spans="1:5" s="1949" customFormat="1">
      <c r="A352" s="3110"/>
      <c r="C352" s="3111"/>
      <c r="E352" s="3110"/>
    </row>
    <row r="353" spans="1:5" s="1949" customFormat="1">
      <c r="A353" s="3110"/>
      <c r="C353" s="3111"/>
      <c r="E353" s="3110"/>
    </row>
    <row r="354" spans="1:5" s="1949" customFormat="1">
      <c r="A354" s="3110"/>
      <c r="C354" s="3111"/>
      <c r="E354" s="3110"/>
    </row>
    <row r="355" spans="1:5" s="1949" customFormat="1">
      <c r="A355" s="3110"/>
      <c r="C355" s="3111"/>
      <c r="E355" s="3110"/>
    </row>
    <row r="356" spans="1:5" s="1949" customFormat="1">
      <c r="A356" s="3110"/>
      <c r="C356" s="3111"/>
      <c r="E356" s="3110"/>
    </row>
    <row r="357" spans="1:5" s="1949" customFormat="1">
      <c r="A357" s="3110"/>
      <c r="C357" s="3111"/>
      <c r="E357" s="3110"/>
    </row>
    <row r="358" spans="1:5" s="1949" customFormat="1">
      <c r="A358" s="3110"/>
      <c r="C358" s="3111"/>
      <c r="E358" s="3110"/>
    </row>
    <row r="359" spans="1:5" s="1949" customFormat="1">
      <c r="A359" s="3110"/>
      <c r="C359" s="3111"/>
      <c r="E359" s="3110"/>
    </row>
    <row r="360" spans="1:5" s="1949" customFormat="1">
      <c r="A360" s="3110"/>
      <c r="C360" s="3111"/>
      <c r="E360" s="3110"/>
    </row>
    <row r="361" spans="1:5" s="1949" customFormat="1">
      <c r="A361" s="3110"/>
      <c r="C361" s="3111"/>
      <c r="E361" s="3110"/>
    </row>
    <row r="362" spans="1:5" s="1949" customFormat="1">
      <c r="A362" s="3110"/>
      <c r="C362" s="3111"/>
      <c r="E362" s="3110"/>
    </row>
    <row r="363" spans="1:5" s="1949" customFormat="1">
      <c r="A363" s="3110"/>
      <c r="C363" s="3111"/>
      <c r="E363" s="3110"/>
    </row>
    <row r="364" spans="1:5" s="1949" customFormat="1">
      <c r="A364" s="3110"/>
      <c r="C364" s="3111"/>
      <c r="E364" s="3110"/>
    </row>
    <row r="365" spans="1:5" s="1949" customFormat="1">
      <c r="A365" s="3110"/>
      <c r="C365" s="3111"/>
      <c r="E365" s="3110"/>
    </row>
    <row r="366" spans="1:5" s="1949" customFormat="1">
      <c r="A366" s="3110"/>
      <c r="C366" s="3111"/>
      <c r="E366" s="3110"/>
    </row>
    <row r="367" spans="1:5" s="1949" customFormat="1">
      <c r="A367" s="3110"/>
      <c r="C367" s="3111"/>
      <c r="E367" s="3110"/>
    </row>
    <row r="368" spans="1:5" s="1949" customFormat="1">
      <c r="A368" s="3110"/>
      <c r="C368" s="3111"/>
      <c r="E368" s="3110"/>
    </row>
    <row r="369" spans="1:5" s="1949" customFormat="1">
      <c r="A369" s="3110"/>
      <c r="C369" s="3111"/>
      <c r="E369" s="3110"/>
    </row>
    <row r="370" spans="1:5" s="1949" customFormat="1">
      <c r="A370" s="3110"/>
      <c r="C370" s="3111"/>
      <c r="E370" s="3110"/>
    </row>
    <row r="371" spans="1:5" s="1949" customFormat="1">
      <c r="A371" s="3110"/>
      <c r="C371" s="3111"/>
      <c r="E371" s="3110"/>
    </row>
    <row r="372" spans="1:5" s="1949" customFormat="1">
      <c r="A372" s="3110"/>
      <c r="C372" s="3111"/>
      <c r="E372" s="3110"/>
    </row>
    <row r="373" spans="1:5" s="1949" customFormat="1">
      <c r="A373" s="3110"/>
      <c r="C373" s="3111"/>
      <c r="E373" s="3110"/>
    </row>
    <row r="374" spans="1:5" s="1949" customFormat="1">
      <c r="A374" s="3110"/>
      <c r="C374" s="3111"/>
      <c r="E374" s="3110"/>
    </row>
    <row r="375" spans="1:5" s="1949" customFormat="1">
      <c r="A375" s="3110"/>
      <c r="C375" s="3111"/>
      <c r="E375" s="3110"/>
    </row>
    <row r="376" spans="1:5" s="1949" customFormat="1">
      <c r="A376" s="3110"/>
      <c r="C376" s="3111"/>
      <c r="E376" s="3110"/>
    </row>
    <row r="377" spans="1:5" s="1949" customFormat="1">
      <c r="A377" s="3110"/>
      <c r="C377" s="3111"/>
      <c r="E377" s="3110"/>
    </row>
    <row r="378" spans="1:5" s="1949" customFormat="1">
      <c r="A378" s="3110"/>
      <c r="C378" s="3111"/>
      <c r="E378" s="3110"/>
    </row>
    <row r="379" spans="1:5" s="1949" customFormat="1">
      <c r="A379" s="3110"/>
      <c r="C379" s="3111"/>
      <c r="E379" s="3110"/>
    </row>
    <row r="380" spans="1:5" s="1949" customFormat="1">
      <c r="A380" s="3110"/>
      <c r="C380" s="3111"/>
      <c r="E380" s="3110"/>
    </row>
    <row r="381" spans="1:5" s="1949" customFormat="1">
      <c r="A381" s="3110"/>
      <c r="C381" s="3111"/>
      <c r="E381" s="3110"/>
    </row>
    <row r="382" spans="1:5" s="1949" customFormat="1">
      <c r="A382" s="3110"/>
      <c r="C382" s="3111"/>
      <c r="E382" s="3110"/>
    </row>
    <row r="383" spans="1:5" s="1949" customFormat="1">
      <c r="A383" s="3110"/>
      <c r="C383" s="3111"/>
      <c r="E383" s="3110"/>
    </row>
    <row r="384" spans="1:5" s="1949" customFormat="1">
      <c r="A384" s="3110"/>
      <c r="C384" s="3111"/>
      <c r="E384" s="3110"/>
    </row>
    <row r="385" spans="1:5" s="1949" customFormat="1">
      <c r="A385" s="3110"/>
      <c r="C385" s="3111"/>
      <c r="E385" s="3110"/>
    </row>
    <row r="386" spans="1:5" s="1949" customFormat="1">
      <c r="A386" s="3110"/>
      <c r="C386" s="3111"/>
      <c r="E386" s="3110"/>
    </row>
    <row r="387" spans="1:5" s="1949" customFormat="1">
      <c r="A387" s="3110"/>
      <c r="C387" s="3111"/>
      <c r="E387" s="3110"/>
    </row>
    <row r="388" spans="1:5" s="1949" customFormat="1">
      <c r="A388" s="3110"/>
      <c r="C388" s="3111"/>
      <c r="E388" s="3110"/>
    </row>
    <row r="389" spans="1:5" s="1949" customFormat="1">
      <c r="A389" s="3110"/>
      <c r="C389" s="3111"/>
      <c r="E389" s="3110"/>
    </row>
    <row r="390" spans="1:5" s="1949" customFormat="1">
      <c r="A390" s="3110"/>
      <c r="C390" s="3111"/>
      <c r="E390" s="3110"/>
    </row>
    <row r="391" spans="1:5" s="1949" customFormat="1">
      <c r="A391" s="3110"/>
      <c r="C391" s="3111"/>
      <c r="E391" s="3110"/>
    </row>
    <row r="392" spans="1:5" s="1949" customFormat="1">
      <c r="A392" s="3110"/>
      <c r="C392" s="3111"/>
      <c r="E392" s="3110"/>
    </row>
    <row r="393" spans="1:5" s="1949" customFormat="1">
      <c r="A393" s="3110"/>
      <c r="C393" s="3111"/>
      <c r="E393" s="3110"/>
    </row>
    <row r="394" spans="1:5" s="1949" customFormat="1">
      <c r="A394" s="3110"/>
      <c r="C394" s="3111"/>
      <c r="E394" s="3110"/>
    </row>
    <row r="395" spans="1:5" s="1949" customFormat="1">
      <c r="A395" s="3110"/>
      <c r="C395" s="3111"/>
      <c r="E395" s="3110"/>
    </row>
    <row r="396" spans="1:5" s="1949" customFormat="1">
      <c r="A396" s="3110"/>
      <c r="C396" s="3111"/>
      <c r="E396" s="3110"/>
    </row>
    <row r="397" spans="1:5" s="1949" customFormat="1">
      <c r="A397" s="3110"/>
      <c r="C397" s="3111"/>
      <c r="E397" s="3110"/>
    </row>
    <row r="398" spans="1:5" s="1949" customFormat="1">
      <c r="A398" s="3110"/>
      <c r="C398" s="3111"/>
      <c r="E398" s="3110"/>
    </row>
    <row r="399" spans="1:5" s="1949" customFormat="1">
      <c r="A399" s="3110"/>
      <c r="C399" s="3111"/>
      <c r="E399" s="3110"/>
    </row>
    <row r="400" spans="1:5" s="1949" customFormat="1">
      <c r="A400" s="3110"/>
      <c r="C400" s="3111"/>
      <c r="E400" s="3110"/>
    </row>
    <row r="401" spans="1:5" s="1949" customFormat="1">
      <c r="A401" s="3110"/>
      <c r="C401" s="3111"/>
      <c r="E401" s="3110"/>
    </row>
    <row r="402" spans="1:5" s="1949" customFormat="1">
      <c r="A402" s="3110"/>
      <c r="C402" s="3111"/>
      <c r="E402" s="3110"/>
    </row>
    <row r="403" spans="1:5" s="1949" customFormat="1">
      <c r="A403" s="3110"/>
      <c r="C403" s="3111"/>
      <c r="E403" s="3110"/>
    </row>
    <row r="404" spans="1:5" s="1949" customFormat="1">
      <c r="A404" s="3110"/>
      <c r="C404" s="3111"/>
      <c r="E404" s="3110"/>
    </row>
    <row r="405" spans="1:5" s="1949" customFormat="1">
      <c r="A405" s="3110"/>
      <c r="C405" s="3111"/>
      <c r="E405" s="3110"/>
    </row>
    <row r="406" spans="1:5" s="1949" customFormat="1">
      <c r="A406" s="3110"/>
      <c r="C406" s="3111"/>
      <c r="E406" s="3110"/>
    </row>
    <row r="407" spans="1:5" s="1949" customFormat="1">
      <c r="A407" s="3110"/>
      <c r="C407" s="3111"/>
      <c r="E407" s="3110"/>
    </row>
    <row r="408" spans="1:5" s="1949" customFormat="1">
      <c r="A408" s="3110"/>
      <c r="C408" s="3111"/>
      <c r="E408" s="3110"/>
    </row>
    <row r="409" spans="1:5" s="1949" customFormat="1">
      <c r="A409" s="3110"/>
      <c r="C409" s="3111"/>
      <c r="E409" s="3110"/>
    </row>
    <row r="410" spans="1:5" s="1949" customFormat="1">
      <c r="A410" s="3110"/>
      <c r="C410" s="3111"/>
      <c r="E410" s="3110"/>
    </row>
    <row r="411" spans="1:5" s="1949" customFormat="1">
      <c r="A411" s="3110"/>
      <c r="C411" s="3111"/>
      <c r="E411" s="3110"/>
    </row>
    <row r="412" spans="1:5" s="1949" customFormat="1">
      <c r="A412" s="3110"/>
      <c r="C412" s="3111"/>
      <c r="E412" s="3110"/>
    </row>
    <row r="413" spans="1:5" s="1949" customFormat="1">
      <c r="A413" s="3110"/>
      <c r="C413" s="3111"/>
      <c r="E413" s="3110"/>
    </row>
    <row r="414" spans="1:5" s="1949" customFormat="1">
      <c r="A414" s="3110"/>
      <c r="C414" s="3111"/>
      <c r="E414" s="3110"/>
    </row>
    <row r="415" spans="1:5" s="1949" customFormat="1">
      <c r="A415" s="3110"/>
      <c r="C415" s="3111"/>
      <c r="E415" s="3110"/>
    </row>
    <row r="416" spans="1:5" s="1949" customFormat="1">
      <c r="A416" s="3110"/>
      <c r="C416" s="3111"/>
      <c r="E416" s="3110"/>
    </row>
    <row r="417" spans="1:5" s="1949" customFormat="1">
      <c r="A417" s="3110"/>
      <c r="C417" s="3111"/>
      <c r="E417" s="3110"/>
    </row>
    <row r="418" spans="1:5" s="1949" customFormat="1">
      <c r="A418" s="3110"/>
      <c r="C418" s="3111"/>
      <c r="E418" s="3110"/>
    </row>
    <row r="419" spans="1:5" s="1949" customFormat="1">
      <c r="A419" s="3110"/>
      <c r="C419" s="3111"/>
      <c r="E419" s="3110"/>
    </row>
    <row r="420" spans="1:5" s="1949" customFormat="1">
      <c r="A420" s="3110"/>
      <c r="C420" s="3111"/>
      <c r="E420" s="3110"/>
    </row>
    <row r="421" spans="1:5" s="1949" customFormat="1">
      <c r="A421" s="3110"/>
      <c r="C421" s="3111"/>
      <c r="E421" s="3110"/>
    </row>
    <row r="422" spans="1:5" s="1949" customFormat="1">
      <c r="A422" s="3110"/>
      <c r="C422" s="3111"/>
      <c r="E422" s="3110"/>
    </row>
    <row r="423" spans="1:5" s="1949" customFormat="1">
      <c r="A423" s="3110"/>
      <c r="C423" s="3111"/>
      <c r="E423" s="3110"/>
    </row>
    <row r="424" spans="1:5" s="1949" customFormat="1">
      <c r="A424" s="3110"/>
      <c r="C424" s="3111"/>
      <c r="E424" s="3110"/>
    </row>
    <row r="425" spans="1:5" s="1949" customFormat="1">
      <c r="A425" s="3110"/>
      <c r="C425" s="3111"/>
      <c r="E425" s="3110"/>
    </row>
    <row r="426" spans="1:5" s="1949" customFormat="1">
      <c r="A426" s="3110"/>
      <c r="C426" s="3111"/>
      <c r="E426" s="3110"/>
    </row>
    <row r="427" spans="1:5" s="1949" customFormat="1">
      <c r="A427" s="3110"/>
      <c r="C427" s="3111"/>
      <c r="E427" s="3110"/>
    </row>
    <row r="428" spans="1:5" s="1949" customFormat="1">
      <c r="A428" s="3110"/>
      <c r="C428" s="3111"/>
      <c r="E428" s="3110"/>
    </row>
    <row r="429" spans="1:5" s="1949" customFormat="1">
      <c r="A429" s="3110"/>
      <c r="C429" s="3111"/>
      <c r="E429" s="3110"/>
    </row>
    <row r="430" spans="1:5" s="1949" customFormat="1">
      <c r="A430" s="3110"/>
      <c r="C430" s="3111"/>
      <c r="E430" s="3110"/>
    </row>
    <row r="431" spans="1:5" s="1949" customFormat="1">
      <c r="A431" s="3110"/>
      <c r="C431" s="3111"/>
      <c r="E431" s="3110"/>
    </row>
    <row r="432" spans="1:5" s="1949" customFormat="1">
      <c r="A432" s="3110"/>
      <c r="C432" s="3111"/>
      <c r="E432" s="3110"/>
    </row>
    <row r="433" spans="1:5" s="1949" customFormat="1">
      <c r="A433" s="3110"/>
      <c r="C433" s="3111"/>
      <c r="E433" s="3110"/>
    </row>
    <row r="434" spans="1:5" s="1949" customFormat="1">
      <c r="A434" s="3110"/>
      <c r="C434" s="3111"/>
      <c r="E434" s="3110"/>
    </row>
    <row r="435" spans="1:5" s="1949" customFormat="1">
      <c r="A435" s="3110"/>
      <c r="C435" s="3111"/>
      <c r="E435" s="3110"/>
    </row>
    <row r="436" spans="1:5" s="1949" customFormat="1">
      <c r="A436" s="3110"/>
      <c r="C436" s="3111"/>
      <c r="E436" s="3110"/>
    </row>
    <row r="437" spans="1:5" s="1949" customFormat="1">
      <c r="A437" s="3110"/>
      <c r="C437" s="3111"/>
      <c r="E437" s="3110"/>
    </row>
    <row r="438" spans="1:5" s="1949" customFormat="1">
      <c r="A438" s="3110"/>
      <c r="C438" s="3111"/>
      <c r="E438" s="3110"/>
    </row>
    <row r="439" spans="1:5" s="1949" customFormat="1">
      <c r="A439" s="3110"/>
      <c r="C439" s="3111"/>
      <c r="E439" s="3110"/>
    </row>
    <row r="440" spans="1:5" s="1949" customFormat="1">
      <c r="A440" s="3110"/>
      <c r="C440" s="3111"/>
      <c r="E440" s="3110"/>
    </row>
    <row r="441" spans="1:5" s="1949" customFormat="1">
      <c r="A441" s="3110"/>
      <c r="C441" s="3111"/>
      <c r="E441" s="3110"/>
    </row>
    <row r="442" spans="1:5" s="1949" customFormat="1">
      <c r="A442" s="3110"/>
      <c r="C442" s="3111"/>
      <c r="E442" s="3110"/>
    </row>
    <row r="443" spans="1:5" s="1949" customFormat="1">
      <c r="A443" s="3110"/>
      <c r="C443" s="3111"/>
      <c r="E443" s="3110"/>
    </row>
    <row r="444" spans="1:5" s="1949" customFormat="1">
      <c r="A444" s="3110"/>
      <c r="C444" s="3111"/>
      <c r="E444" s="3110"/>
    </row>
    <row r="445" spans="1:5" s="1949" customFormat="1">
      <c r="A445" s="3110"/>
      <c r="C445" s="3111"/>
      <c r="E445" s="3110"/>
    </row>
    <row r="446" spans="1:5" s="1949" customFormat="1">
      <c r="A446" s="3110"/>
      <c r="C446" s="3111"/>
      <c r="E446" s="3110"/>
    </row>
    <row r="447" spans="1:5" s="1949" customFormat="1">
      <c r="A447" s="3110"/>
      <c r="C447" s="3111"/>
      <c r="E447" s="3110"/>
    </row>
    <row r="448" spans="1:5" s="1949" customFormat="1">
      <c r="A448" s="3110"/>
      <c r="C448" s="3111"/>
      <c r="E448" s="3110"/>
    </row>
    <row r="449" spans="1:5" s="1949" customFormat="1">
      <c r="A449" s="3110"/>
      <c r="C449" s="3111"/>
      <c r="E449" s="3110"/>
    </row>
    <row r="450" spans="1:5" s="1949" customFormat="1">
      <c r="A450" s="3110"/>
      <c r="C450" s="3111"/>
      <c r="E450" s="3110"/>
    </row>
    <row r="451" spans="1:5" s="1949" customFormat="1">
      <c r="A451" s="3110"/>
      <c r="C451" s="3111"/>
      <c r="E451" s="3110"/>
    </row>
    <row r="452" spans="1:5" s="1949" customFormat="1">
      <c r="A452" s="3110"/>
      <c r="C452" s="3111"/>
      <c r="E452" s="3110"/>
    </row>
    <row r="453" spans="1:5" s="1949" customFormat="1">
      <c r="A453" s="3110"/>
      <c r="C453" s="3111"/>
      <c r="E453" s="3110"/>
    </row>
    <row r="454" spans="1:5" s="1949" customFormat="1">
      <c r="A454" s="3110"/>
      <c r="C454" s="3111"/>
      <c r="E454" s="3110"/>
    </row>
    <row r="455" spans="1:5" s="1949" customFormat="1">
      <c r="A455" s="3110"/>
      <c r="C455" s="3111"/>
      <c r="E455" s="3110"/>
    </row>
    <row r="456" spans="1:5" s="1949" customFormat="1">
      <c r="A456" s="3110"/>
      <c r="C456" s="3111"/>
      <c r="E456" s="3110"/>
    </row>
    <row r="457" spans="1:5" s="1949" customFormat="1">
      <c r="A457" s="3110"/>
      <c r="C457" s="3111"/>
      <c r="E457" s="3110"/>
    </row>
    <row r="458" spans="1:5" s="1949" customFormat="1">
      <c r="A458" s="3110"/>
      <c r="C458" s="3111"/>
      <c r="E458" s="3110"/>
    </row>
    <row r="459" spans="1:5" s="1949" customFormat="1">
      <c r="A459" s="3110"/>
      <c r="C459" s="3111"/>
      <c r="E459" s="3110"/>
    </row>
    <row r="460" spans="1:5" s="1949" customFormat="1">
      <c r="A460" s="3110"/>
      <c r="C460" s="3111"/>
      <c r="E460" s="3110"/>
    </row>
    <row r="461" spans="1:5" s="1949" customFormat="1">
      <c r="A461" s="3110"/>
      <c r="C461" s="3111"/>
      <c r="E461" s="3110"/>
    </row>
    <row r="462" spans="1:5" s="1949" customFormat="1">
      <c r="A462" s="3110"/>
      <c r="C462" s="3111"/>
      <c r="E462" s="3110"/>
    </row>
    <row r="463" spans="1:5" s="1949" customFormat="1">
      <c r="A463" s="3110"/>
      <c r="C463" s="3111"/>
      <c r="E463" s="3110"/>
    </row>
    <row r="464" spans="1:5" s="1949" customFormat="1">
      <c r="A464" s="3110"/>
      <c r="C464" s="3111"/>
      <c r="E464" s="3110"/>
    </row>
    <row r="465" spans="1:5" s="1949" customFormat="1">
      <c r="A465" s="3110"/>
      <c r="C465" s="3111"/>
      <c r="E465" s="3110"/>
    </row>
    <row r="466" spans="1:5" s="1949" customFormat="1">
      <c r="A466" s="3110"/>
      <c r="C466" s="3111"/>
      <c r="E466" s="3110"/>
    </row>
    <row r="467" spans="1:5" s="1949" customFormat="1">
      <c r="A467" s="3110"/>
      <c r="C467" s="3111"/>
      <c r="E467" s="3110"/>
    </row>
    <row r="468" spans="1:5" s="1949" customFormat="1">
      <c r="A468" s="3110"/>
      <c r="C468" s="3111"/>
      <c r="E468" s="3110"/>
    </row>
    <row r="469" spans="1:5" s="1949" customFormat="1">
      <c r="A469" s="3110"/>
      <c r="C469" s="3111"/>
      <c r="E469" s="3110"/>
    </row>
    <row r="470" spans="1:5" s="1949" customFormat="1">
      <c r="A470" s="3110"/>
      <c r="C470" s="3111"/>
      <c r="E470" s="3110"/>
    </row>
    <row r="471" spans="1:5" s="1949" customFormat="1">
      <c r="A471" s="3110"/>
      <c r="C471" s="3111"/>
      <c r="E471" s="3110"/>
    </row>
    <row r="472" spans="1:5" s="1949" customFormat="1">
      <c r="A472" s="3110"/>
      <c r="C472" s="3111"/>
      <c r="E472" s="3110"/>
    </row>
    <row r="473" spans="1:5" s="1949" customFormat="1">
      <c r="A473" s="3110"/>
      <c r="C473" s="3111"/>
      <c r="E473" s="3110"/>
    </row>
    <row r="474" spans="1:5" s="1949" customFormat="1">
      <c r="A474" s="3110"/>
      <c r="C474" s="3111"/>
      <c r="E474" s="3110"/>
    </row>
    <row r="475" spans="1:5" s="1949" customFormat="1">
      <c r="A475" s="3110"/>
      <c r="C475" s="3111"/>
      <c r="E475" s="3110"/>
    </row>
    <row r="476" spans="1:5" s="1949" customFormat="1">
      <c r="A476" s="3110"/>
      <c r="C476" s="3111"/>
      <c r="E476" s="3110"/>
    </row>
    <row r="477" spans="1:5" s="1949" customFormat="1">
      <c r="A477" s="3110"/>
      <c r="C477" s="3111"/>
      <c r="E477" s="3110"/>
    </row>
    <row r="478" spans="1:5" s="1949" customFormat="1">
      <c r="A478" s="3110"/>
      <c r="C478" s="3111"/>
      <c r="E478" s="3110"/>
    </row>
    <row r="479" spans="1:5" s="1949" customFormat="1">
      <c r="A479" s="3110"/>
      <c r="C479" s="3111"/>
      <c r="E479" s="3110"/>
    </row>
    <row r="480" spans="1:5" s="1949" customFormat="1">
      <c r="A480" s="3110"/>
      <c r="C480" s="3111"/>
      <c r="E480" s="3110"/>
    </row>
    <row r="481" spans="1:5" s="1949" customFormat="1">
      <c r="A481" s="3110"/>
      <c r="C481" s="3111"/>
      <c r="E481" s="3110"/>
    </row>
    <row r="482" spans="1:5" s="1949" customFormat="1">
      <c r="A482" s="3110"/>
      <c r="C482" s="3111"/>
      <c r="E482" s="3110"/>
    </row>
    <row r="483" spans="1:5" s="1949" customFormat="1">
      <c r="A483" s="3110"/>
      <c r="C483" s="3111"/>
      <c r="E483" s="3110"/>
    </row>
    <row r="484" spans="1:5" s="1949" customFormat="1">
      <c r="A484" s="3110"/>
      <c r="C484" s="3111"/>
      <c r="E484" s="3110"/>
    </row>
    <row r="485" spans="1:5" s="1949" customFormat="1">
      <c r="A485" s="3110"/>
      <c r="C485" s="3111"/>
      <c r="E485" s="3110"/>
    </row>
    <row r="486" spans="1:5" s="1949" customFormat="1">
      <c r="A486" s="3110"/>
      <c r="C486" s="3111"/>
      <c r="E486" s="3110"/>
    </row>
    <row r="487" spans="1:5" s="1949" customFormat="1">
      <c r="A487" s="3110"/>
      <c r="C487" s="3111"/>
      <c r="E487" s="3110"/>
    </row>
    <row r="488" spans="1:5" s="1949" customFormat="1">
      <c r="A488" s="3110"/>
      <c r="C488" s="3111"/>
      <c r="E488" s="3110"/>
    </row>
    <row r="489" spans="1:5" s="1949" customFormat="1">
      <c r="A489" s="3110"/>
      <c r="C489" s="3111"/>
      <c r="E489" s="3110"/>
    </row>
    <row r="490" spans="1:5" s="1949" customFormat="1">
      <c r="A490" s="3110"/>
      <c r="C490" s="3111"/>
      <c r="E490" s="311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8" customWidth="1"/>
    <col min="2" max="2" width="25.75" style="1948" customWidth="1"/>
    <col min="3" max="3" width="11.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5"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41" s="1876" customFormat="1" ht="18" customHeight="1">
      <c r="A2" s="417" t="s">
        <v>461</v>
      </c>
      <c r="B2" s="418">
        <f ca="1">C27</f>
        <v>0</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41" s="1876" customFormat="1" ht="18" customHeight="1">
      <c r="A3" s="1284" t="s">
        <v>1483</v>
      </c>
      <c r="B3" s="419">
        <f ca="1">ROUND(B2*10000/IF(B1="",'数据-汇总表'!E3,INDIRECT("'数据-取费表'!K"&amp;$K$1)),0)</f>
        <v>0</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41" s="1876" customFormat="1" ht="18" customHeight="1">
      <c r="A4" s="420" t="s">
        <v>462</v>
      </c>
      <c r="B4" s="421">
        <f ca="1">ROUND(B2*10000/IF(B1="",'数据-汇总表'!D3,INDIRECT("'数据-取费表'!R"&amp;$K$1)),0)</f>
        <v>0</v>
      </c>
      <c r="C4" s="1896"/>
      <c r="D4" s="1938"/>
      <c r="E4" s="1938"/>
      <c r="F4" s="1938"/>
      <c r="G4" s="1938"/>
      <c r="H4" s="1938"/>
      <c r="I4" s="1938"/>
      <c r="J4" s="1938"/>
      <c r="K4" s="1938"/>
      <c r="L4" s="290"/>
      <c r="M4" s="290"/>
      <c r="N4" s="290"/>
      <c r="O4" s="290"/>
      <c r="P4" s="290"/>
      <c r="Q4" s="290"/>
      <c r="R4" s="290"/>
      <c r="S4" s="290"/>
      <c r="T4" s="290"/>
      <c r="U4" s="290"/>
      <c r="V4" s="290"/>
      <c r="W4" s="290"/>
      <c r="X4" s="290"/>
      <c r="Y4" s="290"/>
      <c r="Z4" s="290"/>
    </row>
    <row r="5" spans="1:41" s="1876" customFormat="1" ht="18" customHeight="1" thickBot="1">
      <c r="A5" s="423"/>
      <c r="B5" s="424">
        <f ca="1">ROUND(B2/(IF(B1="",'数据-汇总表'!D3,INDIRECT("'数据-取费表'!R"&amp;$K$1))/666.67),0)</f>
        <v>0</v>
      </c>
      <c r="C5" s="425" t="s">
        <v>463</v>
      </c>
      <c r="D5" s="1938"/>
      <c r="E5" s="1938"/>
      <c r="F5" s="1938"/>
      <c r="G5" s="1938"/>
      <c r="H5" s="1938"/>
      <c r="I5" s="1938"/>
      <c r="J5" s="1938"/>
      <c r="K5" s="1938"/>
      <c r="L5" s="290"/>
      <c r="M5" s="290"/>
      <c r="N5" s="290"/>
      <c r="O5" s="290"/>
      <c r="P5" s="290"/>
      <c r="Q5" s="290"/>
      <c r="R5" s="290"/>
      <c r="S5" s="290"/>
      <c r="T5" s="290"/>
      <c r="U5" s="290"/>
      <c r="V5" s="290"/>
      <c r="W5" s="290"/>
      <c r="X5" s="290"/>
      <c r="Y5" s="290"/>
      <c r="Z5" s="290"/>
    </row>
    <row r="6" spans="1:41" s="1945" customFormat="1" ht="16.5" customHeight="1">
      <c r="A6" s="426" t="s">
        <v>2368</v>
      </c>
      <c r="B6" s="427"/>
      <c r="C6" s="1505">
        <f>SUM(C10:K10)</f>
        <v>0</v>
      </c>
      <c r="D6" s="1943"/>
      <c r="E6" s="1943"/>
      <c r="F6" s="1943"/>
      <c r="G6" s="1943"/>
      <c r="H6" s="1943"/>
      <c r="I6" s="1943"/>
      <c r="J6" s="1943"/>
      <c r="K6" s="1944"/>
      <c r="L6" s="3102"/>
      <c r="M6" s="3102"/>
      <c r="N6" s="3102"/>
      <c r="O6" s="3102"/>
      <c r="P6" s="3102"/>
      <c r="Q6" s="3102"/>
      <c r="R6" s="3102"/>
      <c r="S6" s="3102"/>
      <c r="T6" s="3102"/>
      <c r="U6" s="3102"/>
      <c r="V6" s="3102"/>
      <c r="W6" s="3102"/>
      <c r="X6" s="3102"/>
      <c r="Y6" s="3102"/>
      <c r="Z6" s="3102"/>
    </row>
    <row r="7" spans="1:41" s="1947" customFormat="1" ht="15">
      <c r="A7" s="428" t="s">
        <v>464</v>
      </c>
      <c r="B7" s="429" t="s">
        <v>465</v>
      </c>
      <c r="C7" s="3220"/>
      <c r="D7" s="430"/>
      <c r="E7" s="430"/>
      <c r="F7" s="430"/>
      <c r="G7" s="430"/>
      <c r="H7" s="430"/>
      <c r="I7" s="430"/>
      <c r="J7" s="430"/>
      <c r="K7" s="431"/>
      <c r="AA7" s="1946"/>
      <c r="AB7" s="1946"/>
      <c r="AC7" s="1946"/>
      <c r="AD7" s="1946"/>
      <c r="AE7" s="1946"/>
      <c r="AF7" s="1946"/>
      <c r="AG7" s="1946"/>
      <c r="AH7" s="1946"/>
      <c r="AI7" s="1946"/>
      <c r="AJ7" s="1946"/>
      <c r="AK7" s="1946"/>
      <c r="AL7" s="1946"/>
      <c r="AM7" s="1946"/>
      <c r="AN7" s="1946"/>
      <c r="AO7" s="1946"/>
    </row>
    <row r="8" spans="1:41" s="1949" customFormat="1" ht="13.5" customHeight="1">
      <c r="A8" s="1513" t="s">
        <v>1644</v>
      </c>
      <c r="B8" s="432" t="s">
        <v>466</v>
      </c>
      <c r="C8" s="433"/>
      <c r="D8" s="433"/>
      <c r="E8" s="433"/>
      <c r="F8" s="433"/>
      <c r="G8" s="433"/>
      <c r="H8" s="433"/>
      <c r="I8" s="433"/>
      <c r="J8" s="433"/>
      <c r="K8" s="434"/>
      <c r="AA8" s="1948"/>
      <c r="AB8" s="1948"/>
      <c r="AC8" s="1948"/>
      <c r="AD8" s="1948"/>
      <c r="AE8" s="1948"/>
      <c r="AF8" s="1948"/>
      <c r="AG8" s="1948"/>
      <c r="AH8" s="1948"/>
      <c r="AI8" s="1948"/>
      <c r="AJ8" s="1948"/>
      <c r="AK8" s="1948"/>
      <c r="AL8" s="1948"/>
      <c r="AM8" s="1948"/>
      <c r="AN8" s="1948"/>
      <c r="AO8" s="1948"/>
    </row>
    <row r="9" spans="1:41" s="1949" customFormat="1" ht="13.5" customHeight="1">
      <c r="A9" s="1513" t="s">
        <v>1645</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4" t="s">
        <v>1646</v>
      </c>
      <c r="B10" s="1506" t="s">
        <v>468</v>
      </c>
      <c r="C10" s="1507"/>
      <c r="D10" s="1507"/>
      <c r="E10" s="1507"/>
      <c r="F10" s="1508"/>
      <c r="G10" s="1508"/>
      <c r="H10" s="1508"/>
      <c r="I10" s="1508"/>
      <c r="J10" s="1508"/>
      <c r="K10" s="1509"/>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2" t="s">
        <v>1663</v>
      </c>
      <c r="B11" s="1503"/>
      <c r="C11" s="1503"/>
      <c r="D11" s="1503"/>
      <c r="E11" s="1503"/>
      <c r="F11" s="1503"/>
      <c r="G11" s="1503"/>
      <c r="H11" s="1503"/>
      <c r="I11" s="1503"/>
      <c r="J11" s="1503"/>
      <c r="K11" s="1504"/>
      <c r="L11" s="3102"/>
      <c r="M11" s="3102"/>
      <c r="N11" s="3102"/>
      <c r="O11" s="3102"/>
      <c r="P11" s="3102"/>
      <c r="Q11" s="3102"/>
      <c r="R11" s="3102"/>
      <c r="S11" s="3102"/>
      <c r="T11" s="3102"/>
      <c r="U11" s="3102"/>
      <c r="V11" s="3102"/>
      <c r="W11" s="3102"/>
      <c r="X11" s="3102"/>
      <c r="Y11" s="3102"/>
      <c r="Z11" s="3102"/>
    </row>
    <row r="12" spans="1:41" s="1919" customFormat="1" ht="13.5" customHeight="1">
      <c r="A12" s="428" t="s">
        <v>464</v>
      </c>
      <c r="B12" s="437" t="s">
        <v>465</v>
      </c>
      <c r="C12" s="438" t="s">
        <v>469</v>
      </c>
      <c r="D12" s="439" t="s">
        <v>470</v>
      </c>
      <c r="E12" s="439" t="s">
        <v>471</v>
      </c>
      <c r="F12" s="439" t="s">
        <v>472</v>
      </c>
      <c r="G12" s="437"/>
      <c r="H12" s="440"/>
      <c r="I12" s="440"/>
      <c r="J12" s="440"/>
      <c r="K12" s="441"/>
      <c r="L12" s="3103"/>
      <c r="M12" s="3103"/>
      <c r="N12" s="3103"/>
      <c r="O12" s="3103"/>
      <c r="P12" s="3103"/>
      <c r="Q12" s="3103"/>
      <c r="R12" s="3103"/>
      <c r="S12" s="3103"/>
      <c r="T12" s="3103"/>
      <c r="U12" s="3103"/>
      <c r="V12" s="3103"/>
      <c r="W12" s="3103"/>
      <c r="X12" s="3103"/>
      <c r="Y12" s="3103"/>
      <c r="Z12" s="3103"/>
    </row>
    <row r="13" spans="1:41" s="1950" customFormat="1" ht="13.5" customHeight="1">
      <c r="A13" s="1515" t="s">
        <v>1647</v>
      </c>
      <c r="B13" s="442" t="s">
        <v>473</v>
      </c>
      <c r="C13" s="443">
        <f ca="1">IF(B1="",'数据-取费表'!M16,INDIRECT("'数据-取费表'!M"&amp;$K$1)+INDIRECT("'数据-取费表'!t"&amp;$K$1))</f>
        <v>42212</v>
      </c>
      <c r="D13" s="444"/>
      <c r="E13" s="363"/>
      <c r="F13" s="445"/>
      <c r="G13" s="437"/>
      <c r="H13" s="440"/>
      <c r="I13" s="440"/>
      <c r="J13" s="440"/>
      <c r="K13" s="441"/>
      <c r="L13" s="1951"/>
      <c r="M13" s="1951"/>
      <c r="N13" s="1951"/>
      <c r="O13" s="1951"/>
      <c r="P13" s="1951"/>
      <c r="Q13" s="1951"/>
      <c r="R13" s="1951"/>
      <c r="S13" s="1951"/>
      <c r="T13" s="1951"/>
      <c r="U13" s="1951"/>
      <c r="V13" s="1951"/>
      <c r="W13" s="1951"/>
      <c r="X13" s="1951"/>
      <c r="Y13" s="1951"/>
      <c r="Z13" s="1951"/>
    </row>
    <row r="14" spans="1:41" s="1950" customFormat="1" ht="13.5" customHeight="1">
      <c r="A14" s="1515" t="s">
        <v>1648</v>
      </c>
      <c r="B14" s="442" t="s">
        <v>474</v>
      </c>
      <c r="C14" s="53">
        <f ca="1">ROUND(C13*F14,0)</f>
        <v>1266</v>
      </c>
      <c r="D14" s="444"/>
      <c r="E14" s="363"/>
      <c r="F14" s="446">
        <f>'数据-取费表'!B33</f>
        <v>0.03</v>
      </c>
      <c r="G14" s="437" t="s">
        <v>496</v>
      </c>
      <c r="H14" s="440"/>
      <c r="I14" s="440"/>
      <c r="J14" s="440"/>
      <c r="K14" s="441"/>
      <c r="L14" s="1951"/>
      <c r="M14" s="1951"/>
      <c r="N14" s="1951"/>
      <c r="O14" s="1951"/>
      <c r="P14" s="1951"/>
      <c r="Q14" s="1951"/>
      <c r="R14" s="1951"/>
      <c r="S14" s="1951"/>
      <c r="T14" s="1951"/>
      <c r="U14" s="1951"/>
      <c r="V14" s="1951"/>
      <c r="W14" s="1951"/>
      <c r="X14" s="1951"/>
      <c r="Y14" s="1951"/>
      <c r="Z14" s="1951"/>
    </row>
    <row r="15" spans="1:41" s="1950" customFormat="1" ht="13.5" customHeight="1">
      <c r="A15" s="1515" t="s">
        <v>1649</v>
      </c>
      <c r="B15" s="442" t="s">
        <v>476</v>
      </c>
      <c r="C15" s="53">
        <f ca="1">ROUND(IF(B1="",SUMIF('数据-取费表'!C:C,"住宅",'数据-取费表'!M:M)*F15,IF(INDIRECT("'数据-取费表'!c"&amp;$K$1)="住宅",INDIRECT("'数据-取费表'!M"&amp;$K$1)*F15,0)),0)</f>
        <v>1250</v>
      </c>
      <c r="D15" s="444"/>
      <c r="E15" s="363"/>
      <c r="F15" s="446">
        <f>'数据-取费表'!B34</f>
        <v>0.05</v>
      </c>
      <c r="G15" s="437" t="s">
        <v>496</v>
      </c>
      <c r="H15" s="440"/>
      <c r="I15" s="440"/>
      <c r="J15" s="440"/>
      <c r="K15" s="441"/>
      <c r="L15" s="1951"/>
      <c r="M15" s="1951"/>
      <c r="N15" s="1951"/>
      <c r="O15" s="1951"/>
      <c r="P15" s="1951"/>
      <c r="Q15" s="1951"/>
      <c r="R15" s="1951"/>
      <c r="S15" s="1951"/>
      <c r="T15" s="1951"/>
      <c r="U15" s="1951"/>
      <c r="V15" s="1951"/>
      <c r="W15" s="1951"/>
      <c r="X15" s="1951"/>
      <c r="Y15" s="1951"/>
      <c r="Z15" s="1951"/>
    </row>
    <row r="16" spans="1:41" s="1951" customFormat="1" ht="13.5" customHeight="1">
      <c r="A16" s="1515" t="s">
        <v>1650</v>
      </c>
      <c r="B16" s="442" t="s">
        <v>478</v>
      </c>
      <c r="C16" s="53">
        <f ca="1">ROUND(D16*E16/10000,0)</f>
        <v>3694</v>
      </c>
      <c r="D16" s="444">
        <f ca="1">IF(B1="",'数据-汇总表'!E3,INDIRECT("'数据-取费表'!K"&amp;$K$1)+INDIRECT("'数据-取费表'!S"&amp;$K$1))</f>
        <v>184715.46</v>
      </c>
      <c r="E16" s="53">
        <f>'数据-取费表'!B35</f>
        <v>200</v>
      </c>
      <c r="F16" s="446"/>
      <c r="G16" s="437"/>
      <c r="H16" s="440"/>
      <c r="I16" s="440"/>
      <c r="J16" s="440"/>
      <c r="K16" s="441"/>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5" t="s">
        <v>1651</v>
      </c>
      <c r="B17" s="442" t="s">
        <v>479</v>
      </c>
      <c r="C17" s="447">
        <f ca="1">ROUND(C13*F17,0)</f>
        <v>633</v>
      </c>
      <c r="D17" s="448"/>
      <c r="E17" s="447"/>
      <c r="F17" s="449">
        <f>'数据-取费表'!B36</f>
        <v>1.4999999999999999E-2</v>
      </c>
      <c r="G17" s="437" t="s">
        <v>496</v>
      </c>
      <c r="H17" s="450"/>
      <c r="I17" s="450"/>
      <c r="J17" s="450"/>
      <c r="K17" s="451"/>
      <c r="L17" s="1951"/>
      <c r="M17" s="1951"/>
      <c r="N17" s="1951"/>
      <c r="O17" s="1951"/>
      <c r="P17" s="1951"/>
      <c r="Q17" s="1951"/>
      <c r="R17" s="1951"/>
      <c r="S17" s="1951"/>
      <c r="T17" s="1951"/>
      <c r="U17" s="1951"/>
      <c r="V17" s="1951"/>
      <c r="W17" s="1951"/>
      <c r="X17" s="1951"/>
      <c r="Y17" s="1951"/>
      <c r="Z17" s="1951"/>
    </row>
    <row r="18" spans="1:26" s="1953" customFormat="1" ht="13.5" customHeight="1">
      <c r="A18" s="1516" t="s">
        <v>1652</v>
      </c>
      <c r="B18" s="452" t="s">
        <v>481</v>
      </c>
      <c r="C18" s="453">
        <f ca="1">SUM(C13:C17)</f>
        <v>49055</v>
      </c>
      <c r="D18" s="454"/>
      <c r="E18" s="455"/>
      <c r="F18" s="455"/>
      <c r="G18" s="1242" t="s">
        <v>2217</v>
      </c>
      <c r="H18" s="440"/>
      <c r="I18" s="440"/>
      <c r="J18" s="440"/>
      <c r="K18" s="441"/>
      <c r="L18" s="3105"/>
      <c r="M18" s="3105"/>
      <c r="N18" s="3105"/>
      <c r="O18" s="3105"/>
      <c r="P18" s="3105"/>
      <c r="Q18" s="3105"/>
      <c r="R18" s="3105"/>
      <c r="S18" s="3105"/>
      <c r="T18" s="3105"/>
      <c r="U18" s="3105"/>
      <c r="V18" s="3105"/>
      <c r="W18" s="3105"/>
      <c r="X18" s="3105"/>
      <c r="Y18" s="3105"/>
      <c r="Z18" s="3105"/>
    </row>
    <row r="19" spans="1:26" s="1953" customFormat="1" ht="13.5" customHeight="1">
      <c r="A19" s="1516" t="s">
        <v>1653</v>
      </c>
      <c r="B19" s="452" t="s">
        <v>487</v>
      </c>
      <c r="C19" s="453">
        <f ca="1">ROUND(C18*F19,0)</f>
        <v>981</v>
      </c>
      <c r="D19" s="454"/>
      <c r="E19" s="455"/>
      <c r="F19" s="459">
        <f>'数据-取费表'!B37</f>
        <v>0.02</v>
      </c>
      <c r="G19" s="437" t="s">
        <v>497</v>
      </c>
      <c r="H19" s="440"/>
      <c r="I19" s="440"/>
      <c r="J19" s="440"/>
      <c r="K19" s="441"/>
      <c r="L19" s="3107"/>
      <c r="M19" s="3107"/>
      <c r="N19" s="3107"/>
      <c r="O19" s="3105"/>
      <c r="P19" s="3105"/>
      <c r="Q19" s="3105"/>
      <c r="R19" s="3105"/>
      <c r="S19" s="3105"/>
      <c r="T19" s="3105"/>
      <c r="U19" s="3105"/>
      <c r="V19" s="3105"/>
      <c r="W19" s="3105"/>
      <c r="X19" s="3105"/>
      <c r="Y19" s="3105"/>
      <c r="Z19" s="3105"/>
    </row>
    <row r="20" spans="1:26" s="1955" customFormat="1" ht="13.5" customHeight="1">
      <c r="A20" s="1516" t="s">
        <v>1654</v>
      </c>
      <c r="B20" s="454" t="s">
        <v>488</v>
      </c>
      <c r="C20" s="463">
        <f ca="1">ROUND(IF('数据-取费表'!B22&lt;=1,(C18+C19)*F20*'数据-取费表'!B20/2,(C18+C19)*(POWER((1+F20),'数据-取费表'!B20/2)-1)),0)</f>
        <v>2609</v>
      </c>
      <c r="D20" s="455">
        <f ca="1">ROUND(((1+F20)^'数据-取费表'!B20)-1,4)</f>
        <v>0.107</v>
      </c>
      <c r="E20" s="455"/>
      <c r="F20" s="464">
        <f ca="1">'数据-取费表'!B40</f>
        <v>4.1499999999999995E-2</v>
      </c>
      <c r="G20" s="1242" t="str">
        <f>IF('数据-取费表'!B22&lt;=1,"单利计息。","复利计息。")&amp;"建造成本、管理费用产生的利息 / 地价及税费产生的利息。"</f>
        <v>复利计息。建造成本、管理费用产生的利息 / 地价及税费产生的利息。</v>
      </c>
      <c r="H20" s="440"/>
      <c r="I20" s="440"/>
      <c r="J20" s="440"/>
      <c r="K20" s="441"/>
      <c r="L20" s="3113" t="s">
        <v>2234</v>
      </c>
      <c r="M20" s="3114"/>
      <c r="N20" s="3114"/>
      <c r="O20" s="3114"/>
      <c r="P20" s="3114"/>
      <c r="Q20" s="3107"/>
      <c r="R20" s="3107"/>
      <c r="S20" s="3107"/>
      <c r="T20" s="3107"/>
      <c r="U20" s="3107"/>
      <c r="V20" s="3107"/>
      <c r="W20" s="3107"/>
      <c r="X20" s="3107"/>
      <c r="Y20" s="3107"/>
      <c r="Z20" s="3107"/>
    </row>
    <row r="21" spans="1:26" s="1954" customFormat="1" ht="13.5" customHeight="1">
      <c r="A21" s="1516" t="s">
        <v>2739</v>
      </c>
      <c r="B21" s="2661" t="s">
        <v>2545</v>
      </c>
      <c r="C21" s="471">
        <f ca="1">ROUND((C18+C19)*F21,0)</f>
        <v>8506</v>
      </c>
      <c r="D21" s="3192"/>
      <c r="E21" s="455"/>
      <c r="F21" s="472">
        <f ca="1">IF(B1="",'数据-取费表'!Q16,INDIRECT("'数据-取费表'!q"&amp;$K$1))</f>
        <v>0.17</v>
      </c>
      <c r="G21" s="437"/>
      <c r="H21" s="440"/>
      <c r="I21" s="440"/>
      <c r="J21" s="440"/>
      <c r="K21" s="441"/>
      <c r="L21" s="3106"/>
      <c r="M21" s="3106"/>
      <c r="N21" s="3106"/>
      <c r="O21" s="3106"/>
      <c r="P21" s="3106"/>
      <c r="Q21" s="3106"/>
      <c r="R21" s="3106"/>
      <c r="S21" s="3106"/>
      <c r="T21" s="3106"/>
      <c r="U21" s="3106"/>
      <c r="V21" s="3106"/>
      <c r="W21" s="3106"/>
      <c r="X21" s="3106"/>
      <c r="Y21" s="3106"/>
      <c r="Z21" s="3106"/>
    </row>
    <row r="22" spans="1:26" s="1955" customFormat="1" ht="13.5" customHeight="1">
      <c r="A22" s="1516" t="s">
        <v>1658</v>
      </c>
      <c r="B22" s="469" t="s">
        <v>498</v>
      </c>
      <c r="C22" s="476"/>
      <c r="D22" s="476"/>
      <c r="E22" s="477"/>
      <c r="F22" s="3194">
        <f ca="1">IF(B1="",'数据-取费表'!N16,INDIRECT("'数据-取费表'!N"&amp;$K$1))</f>
        <v>0</v>
      </c>
      <c r="G22" s="437"/>
      <c r="H22" s="440"/>
      <c r="I22" s="440"/>
      <c r="J22" s="440"/>
      <c r="K22" s="441"/>
      <c r="L22" s="3107"/>
      <c r="M22" s="3107"/>
      <c r="N22" s="3107"/>
      <c r="O22" s="3107"/>
      <c r="P22" s="3107"/>
      <c r="Q22" s="3107"/>
      <c r="R22" s="3107"/>
      <c r="S22" s="3107"/>
      <c r="T22" s="3107"/>
      <c r="U22" s="3107"/>
      <c r="V22" s="3107"/>
      <c r="W22" s="3107"/>
      <c r="X22" s="3107"/>
      <c r="Y22" s="3107"/>
      <c r="Z22" s="3107"/>
    </row>
    <row r="23" spans="1:26" s="1955" customFormat="1" ht="13.5" customHeight="1" thickBot="1">
      <c r="A23" s="3195" t="s">
        <v>1659</v>
      </c>
      <c r="B23" s="3196" t="s">
        <v>2740</v>
      </c>
      <c r="C23" s="3197">
        <f ca="1">ROUND((C18+C19+C20+C21)*F22,0)</f>
        <v>0</v>
      </c>
      <c r="D23" s="3198"/>
      <c r="E23" s="3199"/>
      <c r="F23" s="478"/>
      <c r="G23" s="429"/>
      <c r="H23" s="3200"/>
      <c r="I23" s="3200"/>
      <c r="J23" s="3200"/>
      <c r="K23" s="3201"/>
      <c r="L23" s="3107"/>
      <c r="M23" s="3107"/>
      <c r="N23" s="3107"/>
      <c r="O23" s="3107"/>
      <c r="P23" s="3107"/>
      <c r="Q23" s="3107"/>
      <c r="R23" s="3107"/>
      <c r="S23" s="3107"/>
      <c r="T23" s="3107"/>
      <c r="U23" s="3107"/>
      <c r="V23" s="3107"/>
      <c r="W23" s="3107"/>
      <c r="X23" s="3107"/>
      <c r="Y23" s="3107"/>
      <c r="Z23" s="3107"/>
    </row>
    <row r="24" spans="1:26" s="1955" customFormat="1" ht="13.5" customHeight="1" thickBot="1">
      <c r="A24" s="3710" t="s">
        <v>1664</v>
      </c>
      <c r="B24" s="3711"/>
      <c r="C24" s="3202">
        <f>ROUND(C6*F24/(1+'数据-取费表'!B42),0)</f>
        <v>0</v>
      </c>
      <c r="D24" s="3203"/>
      <c r="E24" s="3204"/>
      <c r="F24" s="3205">
        <f>'数据-取费表'!B41</f>
        <v>5.6000000000000001E-2</v>
      </c>
      <c r="G24" s="3206"/>
      <c r="H24" s="3206"/>
      <c r="I24" s="3206"/>
      <c r="J24" s="3206"/>
      <c r="K24" s="3207"/>
      <c r="L24" s="3107"/>
      <c r="M24" s="3107"/>
      <c r="N24" s="3107"/>
      <c r="O24" s="3107"/>
      <c r="P24" s="3107"/>
      <c r="Q24" s="3107"/>
      <c r="R24" s="3107"/>
      <c r="S24" s="3107"/>
      <c r="T24" s="3107"/>
      <c r="U24" s="3107"/>
      <c r="V24" s="3107"/>
      <c r="W24" s="3107"/>
      <c r="X24" s="3107"/>
      <c r="Y24" s="3107"/>
      <c r="Z24" s="3107"/>
    </row>
    <row r="25" spans="1:26" s="1955" customFormat="1" ht="13.5" customHeight="1" thickBot="1">
      <c r="A25" s="3710" t="s">
        <v>2737</v>
      </c>
      <c r="B25" s="3711"/>
      <c r="C25" s="3202">
        <f>ROUND(C6*F25,0)</f>
        <v>0</v>
      </c>
      <c r="D25" s="3203"/>
      <c r="E25" s="3204"/>
      <c r="F25" s="3208">
        <f>'数据-取费表'!B38</f>
        <v>0.02</v>
      </c>
      <c r="G25" s="3209"/>
      <c r="H25" s="3206"/>
      <c r="I25" s="3206"/>
      <c r="J25" s="3206"/>
      <c r="K25" s="3207"/>
      <c r="L25" s="3107"/>
      <c r="M25" s="3107"/>
      <c r="N25" s="3107"/>
      <c r="O25" s="3107"/>
      <c r="P25" s="3107"/>
      <c r="Q25" s="3107"/>
      <c r="R25" s="3107"/>
      <c r="S25" s="3107"/>
      <c r="T25" s="3107"/>
      <c r="U25" s="3107"/>
      <c r="V25" s="3107"/>
      <c r="W25" s="3107"/>
      <c r="X25" s="3107"/>
      <c r="Y25" s="3107"/>
      <c r="Z25" s="3107"/>
    </row>
    <row r="26" spans="1:26" s="1960" customFormat="1" ht="13.5" customHeight="1" thickBot="1">
      <c r="A26" s="3710" t="s">
        <v>2738</v>
      </c>
      <c r="B26" s="3711"/>
      <c r="C26" s="3214"/>
      <c r="D26" s="3215"/>
      <c r="E26" s="3215"/>
      <c r="F26" s="3216">
        <f>'数据-取费表'!B48+'数据-取费表'!B49</f>
        <v>4.0500000000000001E-2</v>
      </c>
      <c r="G26" s="3217"/>
      <c r="H26" s="3217"/>
      <c r="I26" s="3217"/>
      <c r="J26" s="3218"/>
      <c r="K26" s="3219"/>
      <c r="L26" s="3112"/>
      <c r="M26" s="3112"/>
      <c r="N26" s="3112"/>
      <c r="O26" s="3112"/>
      <c r="P26" s="3112"/>
      <c r="Q26" s="3112"/>
      <c r="R26" s="3112"/>
      <c r="S26" s="3112"/>
      <c r="T26" s="3112"/>
      <c r="U26" s="3112"/>
      <c r="V26" s="3112"/>
      <c r="W26" s="3112"/>
      <c r="X26" s="3112"/>
      <c r="Y26" s="3112"/>
      <c r="Z26" s="3112"/>
    </row>
    <row r="27" spans="1:26" s="3193" customFormat="1" ht="13.5" customHeight="1" thickBot="1">
      <c r="A27" s="3712" t="s">
        <v>2736</v>
      </c>
      <c r="B27" s="3713"/>
      <c r="C27" s="3210">
        <f ca="1">(C6-C23-C24-C25)/((1+F26)*(1+D20+F21))</f>
        <v>0</v>
      </c>
      <c r="D27" s="3211"/>
      <c r="E27" s="3211"/>
      <c r="F27" s="3211"/>
      <c r="G27" s="3212" t="s">
        <v>2669</v>
      </c>
      <c r="H27" s="3211"/>
      <c r="I27" s="3211"/>
      <c r="J27" s="3211"/>
      <c r="K27" s="3213"/>
    </row>
    <row r="28" spans="1:26" s="1949" customFormat="1">
      <c r="A28" s="3110"/>
      <c r="C28" s="3111"/>
      <c r="E28" s="3110"/>
    </row>
    <row r="29" spans="1:26" s="1949" customFormat="1" ht="12.75" customHeight="1">
      <c r="A29" s="3110"/>
      <c r="C29" s="3111"/>
      <c r="E29" s="3110"/>
    </row>
    <row r="30" spans="1:26" s="1949" customFormat="1">
      <c r="A30" s="3110"/>
      <c r="C30" s="3111"/>
      <c r="E30" s="3110"/>
    </row>
    <row r="31" spans="1:26" s="1949" customFormat="1">
      <c r="A31" s="3110"/>
      <c r="C31" s="3111"/>
      <c r="E31" s="3110"/>
    </row>
    <row r="32" spans="1:26" s="1949" customFormat="1">
      <c r="A32" s="3110"/>
      <c r="C32" s="3111"/>
      <c r="E32" s="3110"/>
    </row>
    <row r="33" spans="1:5" s="1949" customFormat="1">
      <c r="A33" s="3110"/>
      <c r="C33" s="3111"/>
      <c r="E33" s="3110"/>
    </row>
    <row r="34" spans="1:5" s="1949" customFormat="1">
      <c r="A34" s="3110"/>
      <c r="C34" s="3111"/>
      <c r="E34" s="3110"/>
    </row>
    <row r="35" spans="1:5" s="1949" customFormat="1">
      <c r="A35" s="3110"/>
      <c r="C35" s="3111"/>
      <c r="E35" s="3110"/>
    </row>
    <row r="36" spans="1:5" s="1949" customFormat="1">
      <c r="A36" s="3110"/>
      <c r="C36" s="3111"/>
      <c r="E36" s="3110"/>
    </row>
    <row r="37" spans="1:5" s="1949" customFormat="1">
      <c r="A37" s="3110"/>
      <c r="C37" s="3111"/>
      <c r="E37" s="3110"/>
    </row>
    <row r="38" spans="1:5" s="1949" customFormat="1">
      <c r="A38" s="3110"/>
      <c r="C38" s="3111"/>
      <c r="E38" s="3110"/>
    </row>
    <row r="39" spans="1:5" s="1949" customFormat="1">
      <c r="A39" s="3110"/>
      <c r="C39" s="3111"/>
      <c r="E39" s="3110"/>
    </row>
    <row r="40" spans="1:5" s="1949" customFormat="1">
      <c r="A40" s="3110"/>
      <c r="C40" s="3111"/>
      <c r="E40" s="3110"/>
    </row>
    <row r="41" spans="1:5" s="1949" customFormat="1">
      <c r="A41" s="3110"/>
      <c r="C41" s="3111"/>
      <c r="E41" s="3110"/>
    </row>
    <row r="42" spans="1:5" s="1949" customFormat="1">
      <c r="A42" s="3110"/>
      <c r="C42" s="3111"/>
      <c r="E42" s="3110"/>
    </row>
    <row r="43" spans="1:5" s="1949" customFormat="1">
      <c r="A43" s="3110"/>
      <c r="C43" s="3111"/>
      <c r="E43" s="3110"/>
    </row>
    <row r="44" spans="1:5" s="1949" customFormat="1">
      <c r="A44" s="3110"/>
      <c r="C44" s="3111"/>
      <c r="E44" s="3110"/>
    </row>
    <row r="45" spans="1:5" s="1949" customFormat="1">
      <c r="A45" s="3110"/>
      <c r="C45" s="3111"/>
      <c r="E45" s="3110"/>
    </row>
    <row r="46" spans="1:5" s="1949" customFormat="1">
      <c r="A46" s="3110"/>
      <c r="C46" s="3111"/>
      <c r="E46" s="3110"/>
    </row>
    <row r="47" spans="1:5" s="1949" customFormat="1">
      <c r="A47" s="3110"/>
      <c r="C47" s="3111"/>
      <c r="E47" s="3110"/>
    </row>
    <row r="48" spans="1:5" s="1949" customFormat="1">
      <c r="A48" s="3110"/>
      <c r="C48" s="3111"/>
      <c r="E48" s="3110"/>
    </row>
    <row r="49" spans="1:5" s="1949" customFormat="1">
      <c r="A49" s="3110"/>
      <c r="C49" s="3111"/>
      <c r="E49" s="3110"/>
    </row>
    <row r="50" spans="1:5" s="1949" customFormat="1">
      <c r="A50" s="3110"/>
      <c r="C50" s="3111"/>
      <c r="E50" s="3110"/>
    </row>
    <row r="51" spans="1:5" s="1949" customFormat="1">
      <c r="A51" s="3110"/>
      <c r="C51" s="3111"/>
      <c r="E51" s="3110"/>
    </row>
    <row r="52" spans="1:5" s="1949" customFormat="1">
      <c r="A52" s="3110"/>
      <c r="C52" s="3111"/>
      <c r="E52" s="3110"/>
    </row>
    <row r="53" spans="1:5" s="1949" customFormat="1">
      <c r="A53" s="3110"/>
      <c r="C53" s="3111"/>
      <c r="E53" s="3110"/>
    </row>
    <row r="54" spans="1:5" s="1949" customFormat="1">
      <c r="A54" s="3110"/>
      <c r="C54" s="3111"/>
      <c r="E54" s="3110"/>
    </row>
    <row r="55" spans="1:5" s="1949" customFormat="1">
      <c r="A55" s="3110"/>
      <c r="C55" s="3111"/>
      <c r="E55" s="3110"/>
    </row>
    <row r="56" spans="1:5" s="1949" customFormat="1">
      <c r="A56" s="3110"/>
      <c r="C56" s="3111"/>
      <c r="E56" s="3110"/>
    </row>
    <row r="57" spans="1:5" s="1949" customFormat="1">
      <c r="A57" s="3110"/>
      <c r="C57" s="3111"/>
      <c r="E57" s="3110"/>
    </row>
    <row r="58" spans="1:5" s="1949" customFormat="1">
      <c r="A58" s="3110"/>
      <c r="C58" s="3111"/>
      <c r="E58" s="3110"/>
    </row>
    <row r="59" spans="1:5" s="1949" customFormat="1">
      <c r="A59" s="3110"/>
      <c r="C59" s="3111"/>
      <c r="E59" s="3110"/>
    </row>
    <row r="60" spans="1:5" s="1949" customFormat="1">
      <c r="A60" s="3110"/>
      <c r="C60" s="3111"/>
      <c r="E60" s="3110"/>
    </row>
    <row r="61" spans="1:5" s="1949" customFormat="1">
      <c r="A61" s="3110"/>
      <c r="C61" s="3111"/>
      <c r="E61" s="3110"/>
    </row>
    <row r="62" spans="1:5" s="1949" customFormat="1">
      <c r="A62" s="3110"/>
      <c r="C62" s="3111"/>
      <c r="E62" s="3110"/>
    </row>
    <row r="63" spans="1:5" s="1949" customFormat="1">
      <c r="A63" s="3110"/>
      <c r="C63" s="3111"/>
      <c r="E63" s="3110"/>
    </row>
    <row r="64" spans="1:5" s="1949" customFormat="1">
      <c r="A64" s="3110"/>
      <c r="C64" s="3111"/>
      <c r="E64" s="3110"/>
    </row>
    <row r="65" spans="1:5" s="1949" customFormat="1">
      <c r="A65" s="3110"/>
      <c r="C65" s="3111"/>
      <c r="E65" s="3110"/>
    </row>
    <row r="66" spans="1:5" s="1949" customFormat="1">
      <c r="A66" s="3110"/>
      <c r="C66" s="3111"/>
      <c r="E66" s="3110"/>
    </row>
    <row r="67" spans="1:5" s="1949" customFormat="1">
      <c r="A67" s="3110"/>
      <c r="C67" s="3111"/>
      <c r="E67" s="3110"/>
    </row>
    <row r="68" spans="1:5" s="1949" customFormat="1">
      <c r="A68" s="3110"/>
      <c r="C68" s="3111"/>
      <c r="E68" s="3110"/>
    </row>
    <row r="69" spans="1:5" s="1949" customFormat="1">
      <c r="A69" s="3110"/>
      <c r="C69" s="3111"/>
      <c r="E69" s="3110"/>
    </row>
    <row r="70" spans="1:5" s="1949" customFormat="1">
      <c r="A70" s="3110"/>
      <c r="C70" s="3111"/>
      <c r="E70" s="3110"/>
    </row>
    <row r="71" spans="1:5" s="1949" customFormat="1">
      <c r="A71" s="3110"/>
      <c r="C71" s="3111"/>
      <c r="E71" s="3110"/>
    </row>
    <row r="72" spans="1:5" s="1949" customFormat="1">
      <c r="A72" s="3110"/>
      <c r="C72" s="3111"/>
      <c r="E72" s="3110"/>
    </row>
    <row r="73" spans="1:5" s="1949" customFormat="1">
      <c r="A73" s="3110"/>
      <c r="C73" s="3111"/>
      <c r="E73" s="3110"/>
    </row>
    <row r="74" spans="1:5" s="1949" customFormat="1">
      <c r="A74" s="3110"/>
      <c r="C74" s="3111"/>
      <c r="E74" s="3110"/>
    </row>
    <row r="75" spans="1:5" s="1949" customFormat="1">
      <c r="A75" s="3110"/>
      <c r="C75" s="3111"/>
      <c r="E75" s="3110"/>
    </row>
    <row r="76" spans="1:5" s="1949" customFormat="1">
      <c r="A76" s="3110"/>
      <c r="C76" s="3111"/>
      <c r="E76" s="3110"/>
    </row>
    <row r="77" spans="1:5" s="1949" customFormat="1">
      <c r="A77" s="3110"/>
      <c r="C77" s="3111"/>
      <c r="E77" s="3110"/>
    </row>
    <row r="78" spans="1:5" s="1949" customFormat="1">
      <c r="A78" s="3110"/>
      <c r="C78" s="3111"/>
      <c r="E78" s="3110"/>
    </row>
    <row r="79" spans="1:5" s="1949" customFormat="1">
      <c r="A79" s="3110"/>
      <c r="C79" s="3111"/>
      <c r="E79" s="3110"/>
    </row>
    <row r="80" spans="1:5" s="1949" customFormat="1">
      <c r="A80" s="3110"/>
      <c r="C80" s="3111"/>
      <c r="E80" s="3110"/>
    </row>
    <row r="81" spans="1:5" s="1949" customFormat="1">
      <c r="A81" s="3110"/>
      <c r="C81" s="3111"/>
      <c r="E81" s="3110"/>
    </row>
    <row r="82" spans="1:5" s="1949" customFormat="1">
      <c r="A82" s="3110"/>
      <c r="C82" s="3111"/>
      <c r="E82" s="3110"/>
    </row>
    <row r="83" spans="1:5" s="1949" customFormat="1">
      <c r="A83" s="3110"/>
      <c r="C83" s="3111"/>
      <c r="E83" s="3110"/>
    </row>
    <row r="84" spans="1:5" s="1949" customFormat="1">
      <c r="A84" s="3110"/>
      <c r="C84" s="3111"/>
      <c r="E84" s="3110"/>
    </row>
    <row r="85" spans="1:5" s="1949" customFormat="1">
      <c r="A85" s="3110"/>
      <c r="C85" s="3111"/>
      <c r="E85" s="3110"/>
    </row>
    <row r="86" spans="1:5" s="1949" customFormat="1">
      <c r="A86" s="3110"/>
      <c r="C86" s="3111"/>
      <c r="E86" s="3110"/>
    </row>
    <row r="87" spans="1:5" s="1949" customFormat="1">
      <c r="A87" s="3110"/>
      <c r="C87" s="3111"/>
      <c r="E87" s="3110"/>
    </row>
    <row r="88" spans="1:5" s="1949" customFormat="1">
      <c r="A88" s="3110"/>
      <c r="C88" s="3111"/>
      <c r="E88" s="3110"/>
    </row>
    <row r="89" spans="1:5" s="1949" customFormat="1">
      <c r="A89" s="3110"/>
      <c r="C89" s="3111"/>
      <c r="E89" s="3110"/>
    </row>
    <row r="90" spans="1:5" s="1949" customFormat="1">
      <c r="A90" s="3110"/>
      <c r="C90" s="3111"/>
      <c r="E90" s="3110"/>
    </row>
    <row r="91" spans="1:5" s="1949" customFormat="1">
      <c r="A91" s="3110"/>
      <c r="C91" s="3111"/>
      <c r="E91" s="3110"/>
    </row>
    <row r="92" spans="1:5" s="1949" customFormat="1">
      <c r="A92" s="3110"/>
      <c r="C92" s="3111"/>
      <c r="E92" s="3110"/>
    </row>
    <row r="93" spans="1:5" s="1949" customFormat="1">
      <c r="A93" s="3110"/>
      <c r="C93" s="3111"/>
      <c r="E93" s="3110"/>
    </row>
    <row r="94" spans="1:5" s="1949" customFormat="1">
      <c r="A94" s="3110"/>
      <c r="C94" s="3111"/>
      <c r="E94" s="3110"/>
    </row>
    <row r="95" spans="1:5" s="1949" customFormat="1">
      <c r="A95" s="3110"/>
      <c r="C95" s="3111"/>
      <c r="E95" s="3110"/>
    </row>
    <row r="96" spans="1:5" s="1949" customFormat="1">
      <c r="A96" s="3110"/>
      <c r="C96" s="3111"/>
      <c r="E96" s="3110"/>
    </row>
    <row r="97" spans="1:5" s="1949" customFormat="1">
      <c r="A97" s="3110"/>
      <c r="C97" s="3111"/>
      <c r="E97" s="3110"/>
    </row>
    <row r="98" spans="1:5" s="1949" customFormat="1">
      <c r="A98" s="3110"/>
      <c r="C98" s="3111"/>
      <c r="E98" s="3110"/>
    </row>
    <row r="99" spans="1:5" s="1949" customFormat="1">
      <c r="A99" s="3110"/>
      <c r="C99" s="3111"/>
      <c r="E99" s="3110"/>
    </row>
    <row r="100" spans="1:5" s="1949" customFormat="1">
      <c r="A100" s="3110"/>
      <c r="C100" s="3111"/>
      <c r="E100" s="3110"/>
    </row>
    <row r="101" spans="1:5" s="1949" customFormat="1">
      <c r="A101" s="3110"/>
      <c r="C101" s="3111"/>
      <c r="E101" s="3110"/>
    </row>
    <row r="102" spans="1:5" s="1949" customFormat="1">
      <c r="A102" s="3110"/>
      <c r="C102" s="3111"/>
      <c r="E102" s="3110"/>
    </row>
    <row r="103" spans="1:5" s="1949" customFormat="1">
      <c r="A103" s="3110"/>
      <c r="C103" s="3111"/>
      <c r="E103" s="3110"/>
    </row>
    <row r="104" spans="1:5" s="1949" customFormat="1">
      <c r="A104" s="3110"/>
      <c r="C104" s="3111"/>
      <c r="E104" s="3110"/>
    </row>
    <row r="105" spans="1:5" s="1949" customFormat="1">
      <c r="A105" s="3110"/>
      <c r="C105" s="3111"/>
      <c r="E105" s="3110"/>
    </row>
    <row r="106" spans="1:5" s="1949" customFormat="1">
      <c r="A106" s="3110"/>
      <c r="C106" s="3111"/>
      <c r="E106" s="3110"/>
    </row>
    <row r="107" spans="1:5" s="1949" customFormat="1">
      <c r="A107" s="3110"/>
      <c r="C107" s="3111"/>
      <c r="E107" s="3110"/>
    </row>
    <row r="108" spans="1:5" s="1949" customFormat="1">
      <c r="A108" s="3110"/>
      <c r="C108" s="3111"/>
      <c r="E108" s="3110"/>
    </row>
    <row r="109" spans="1:5" s="1949" customFormat="1">
      <c r="A109" s="3110"/>
      <c r="C109" s="3111"/>
      <c r="E109" s="3110"/>
    </row>
    <row r="110" spans="1:5" s="1949" customFormat="1">
      <c r="A110" s="3110"/>
      <c r="C110" s="3111"/>
      <c r="E110" s="3110"/>
    </row>
    <row r="111" spans="1:5" s="1949" customFormat="1">
      <c r="A111" s="3110"/>
      <c r="C111" s="3111"/>
      <c r="E111" s="3110"/>
    </row>
    <row r="112" spans="1:5" s="1949" customFormat="1">
      <c r="A112" s="3110"/>
      <c r="C112" s="3111"/>
      <c r="E112" s="3110"/>
    </row>
    <row r="113" spans="1:5" s="1949" customFormat="1">
      <c r="A113" s="3110"/>
      <c r="C113" s="3111"/>
      <c r="E113" s="3110"/>
    </row>
    <row r="114" spans="1:5" s="1949" customFormat="1">
      <c r="A114" s="3110"/>
      <c r="C114" s="3111"/>
      <c r="E114" s="3110"/>
    </row>
    <row r="115" spans="1:5" s="1949" customFormat="1">
      <c r="A115" s="3110"/>
      <c r="C115" s="3111"/>
      <c r="E115" s="3110"/>
    </row>
    <row r="116" spans="1:5" s="1949" customFormat="1">
      <c r="A116" s="3110"/>
      <c r="C116" s="3111"/>
      <c r="E116" s="3110"/>
    </row>
    <row r="117" spans="1:5" s="1949" customFormat="1">
      <c r="A117" s="3110"/>
      <c r="C117" s="3111"/>
      <c r="E117" s="3110"/>
    </row>
    <row r="118" spans="1:5" s="1949" customFormat="1">
      <c r="A118" s="3110"/>
      <c r="C118" s="3111"/>
      <c r="E118" s="3110"/>
    </row>
    <row r="119" spans="1:5" s="1949" customFormat="1">
      <c r="A119" s="3110"/>
      <c r="C119" s="3111"/>
      <c r="E119" s="3110"/>
    </row>
    <row r="120" spans="1:5" s="1949" customFormat="1">
      <c r="A120" s="3110"/>
      <c r="C120" s="3111"/>
      <c r="E120" s="3110"/>
    </row>
    <row r="121" spans="1:5" s="1949" customFormat="1">
      <c r="A121" s="3110"/>
      <c r="C121" s="3111"/>
      <c r="E121" s="3110"/>
    </row>
    <row r="122" spans="1:5" s="1949" customFormat="1">
      <c r="A122" s="3110"/>
      <c r="C122" s="3111"/>
      <c r="E122" s="3110"/>
    </row>
    <row r="123" spans="1:5" s="1949" customFormat="1">
      <c r="A123" s="3110"/>
      <c r="C123" s="3111"/>
      <c r="E123" s="3110"/>
    </row>
    <row r="124" spans="1:5" s="1949" customFormat="1">
      <c r="A124" s="3110"/>
      <c r="C124" s="3111"/>
      <c r="E124" s="3110"/>
    </row>
    <row r="125" spans="1:5" s="1949" customFormat="1">
      <c r="A125" s="3110"/>
      <c r="C125" s="3111"/>
      <c r="E125" s="3110"/>
    </row>
    <row r="126" spans="1:5" s="1949" customFormat="1">
      <c r="A126" s="3110"/>
      <c r="C126" s="3111"/>
      <c r="E126" s="3110"/>
    </row>
    <row r="127" spans="1:5" s="1949" customFormat="1">
      <c r="A127" s="3110"/>
      <c r="C127" s="3111"/>
      <c r="E127" s="3110"/>
    </row>
    <row r="128" spans="1:5" s="1949" customFormat="1">
      <c r="A128" s="3110"/>
      <c r="C128" s="3111"/>
      <c r="E128" s="3110"/>
    </row>
    <row r="129" spans="1:5" s="1949" customFormat="1">
      <c r="A129" s="3110"/>
      <c r="C129" s="3111"/>
      <c r="E129" s="3110"/>
    </row>
    <row r="130" spans="1:5" s="1949" customFormat="1">
      <c r="A130" s="3110"/>
      <c r="C130" s="3111"/>
      <c r="E130" s="3110"/>
    </row>
    <row r="131" spans="1:5" s="1949" customFormat="1">
      <c r="A131" s="3110"/>
      <c r="C131" s="3111"/>
      <c r="E131" s="3110"/>
    </row>
    <row r="132" spans="1:5" s="1949" customFormat="1">
      <c r="A132" s="3110"/>
      <c r="C132" s="3111"/>
      <c r="E132" s="3110"/>
    </row>
    <row r="133" spans="1:5" s="1949" customFormat="1">
      <c r="A133" s="3110"/>
      <c r="C133" s="3111"/>
      <c r="E133" s="3110"/>
    </row>
    <row r="134" spans="1:5" s="1949" customFormat="1">
      <c r="A134" s="3110"/>
      <c r="C134" s="3111"/>
      <c r="E134" s="3110"/>
    </row>
    <row r="135" spans="1:5" s="1949" customFormat="1">
      <c r="A135" s="3110"/>
      <c r="C135" s="3111"/>
      <c r="E135" s="3110"/>
    </row>
    <row r="136" spans="1:5" s="1949" customFormat="1">
      <c r="A136" s="3110"/>
      <c r="C136" s="3111"/>
      <c r="E136" s="3110"/>
    </row>
    <row r="137" spans="1:5" s="1949" customFormat="1">
      <c r="A137" s="3110"/>
      <c r="C137" s="3111"/>
      <c r="E137" s="3110"/>
    </row>
    <row r="138" spans="1:5" s="1949" customFormat="1">
      <c r="A138" s="3110"/>
      <c r="C138" s="3111"/>
      <c r="E138" s="3110"/>
    </row>
    <row r="139" spans="1:5" s="1949" customFormat="1">
      <c r="A139" s="3110"/>
      <c r="C139" s="3111"/>
      <c r="E139" s="3110"/>
    </row>
    <row r="140" spans="1:5" s="1949" customFormat="1">
      <c r="A140" s="3110"/>
      <c r="C140" s="3111"/>
      <c r="E140" s="3110"/>
    </row>
    <row r="141" spans="1:5" s="1949" customFormat="1">
      <c r="A141" s="3110"/>
      <c r="C141" s="3111"/>
      <c r="E141" s="3110"/>
    </row>
    <row r="142" spans="1:5" s="1949" customFormat="1">
      <c r="A142" s="3110"/>
      <c r="C142" s="3111"/>
      <c r="E142" s="3110"/>
    </row>
    <row r="143" spans="1:5" s="1949" customFormat="1">
      <c r="A143" s="3110"/>
      <c r="C143" s="3111"/>
      <c r="E143" s="3110"/>
    </row>
    <row r="144" spans="1:5" s="1949" customFormat="1">
      <c r="A144" s="3110"/>
      <c r="C144" s="3111"/>
      <c r="E144" s="3110"/>
    </row>
    <row r="145" spans="1:5" s="1949" customFormat="1">
      <c r="A145" s="3110"/>
      <c r="C145" s="3111"/>
      <c r="E145" s="3110"/>
    </row>
    <row r="146" spans="1:5" s="1949" customFormat="1">
      <c r="A146" s="3110"/>
      <c r="C146" s="3111"/>
      <c r="E146" s="3110"/>
    </row>
    <row r="147" spans="1:5" s="1949" customFormat="1">
      <c r="A147" s="3110"/>
      <c r="C147" s="3111"/>
      <c r="E147" s="3110"/>
    </row>
    <row r="148" spans="1:5" s="1949" customFormat="1">
      <c r="A148" s="3110"/>
      <c r="C148" s="3111"/>
      <c r="E148" s="3110"/>
    </row>
    <row r="149" spans="1:5" s="1949" customFormat="1">
      <c r="A149" s="3110"/>
      <c r="C149" s="3111"/>
      <c r="E149" s="3110"/>
    </row>
    <row r="150" spans="1:5" s="1949" customFormat="1">
      <c r="A150" s="3110"/>
      <c r="C150" s="3111"/>
      <c r="E150" s="3110"/>
    </row>
    <row r="151" spans="1:5" s="1949" customFormat="1">
      <c r="A151" s="3110"/>
      <c r="C151" s="3111"/>
      <c r="E151" s="3110"/>
    </row>
    <row r="152" spans="1:5" s="1949" customFormat="1">
      <c r="A152" s="3110"/>
      <c r="C152" s="3111"/>
      <c r="E152" s="3110"/>
    </row>
    <row r="153" spans="1:5" s="1949" customFormat="1">
      <c r="A153" s="3110"/>
      <c r="C153" s="3111"/>
      <c r="E153" s="3110"/>
    </row>
    <row r="154" spans="1:5" s="1949" customFormat="1">
      <c r="A154" s="3110"/>
      <c r="C154" s="3111"/>
      <c r="E154" s="3110"/>
    </row>
    <row r="155" spans="1:5" s="1949" customFormat="1">
      <c r="A155" s="3110"/>
      <c r="C155" s="3111"/>
      <c r="E155" s="3110"/>
    </row>
    <row r="156" spans="1:5" s="1949" customFormat="1">
      <c r="A156" s="3110"/>
      <c r="C156" s="3111"/>
      <c r="E156" s="3110"/>
    </row>
    <row r="157" spans="1:5" s="1949" customFormat="1">
      <c r="A157" s="3110"/>
      <c r="C157" s="3111"/>
      <c r="E157" s="3110"/>
    </row>
    <row r="158" spans="1:5" s="1949" customFormat="1">
      <c r="A158" s="3110"/>
      <c r="C158" s="3111"/>
      <c r="E158" s="3110"/>
    </row>
    <row r="159" spans="1:5" s="1949" customFormat="1">
      <c r="A159" s="3110"/>
      <c r="C159" s="3111"/>
      <c r="E159" s="3110"/>
    </row>
    <row r="160" spans="1:5" s="1949" customFormat="1">
      <c r="A160" s="3110"/>
      <c r="C160" s="3111"/>
      <c r="E160" s="3110"/>
    </row>
    <row r="161" spans="1:5" s="1949" customFormat="1">
      <c r="A161" s="3110"/>
      <c r="C161" s="3111"/>
      <c r="E161" s="3110"/>
    </row>
    <row r="162" spans="1:5" s="1949" customFormat="1">
      <c r="A162" s="3110"/>
      <c r="C162" s="3111"/>
      <c r="E162" s="3110"/>
    </row>
    <row r="163" spans="1:5" s="1949" customFormat="1">
      <c r="A163" s="3110"/>
      <c r="C163" s="3111"/>
      <c r="E163" s="3110"/>
    </row>
    <row r="164" spans="1:5" s="1949" customFormat="1">
      <c r="A164" s="3110"/>
      <c r="C164" s="3111"/>
      <c r="E164" s="3110"/>
    </row>
    <row r="165" spans="1:5" s="1949" customFormat="1">
      <c r="A165" s="3110"/>
      <c r="C165" s="3111"/>
      <c r="E165" s="3110"/>
    </row>
    <row r="166" spans="1:5" s="1949" customFormat="1">
      <c r="A166" s="3110"/>
      <c r="C166" s="3111"/>
      <c r="E166" s="3110"/>
    </row>
    <row r="167" spans="1:5" s="1949" customFormat="1">
      <c r="A167" s="3110"/>
      <c r="C167" s="3111"/>
      <c r="E167" s="3110"/>
    </row>
    <row r="168" spans="1:5" s="1949" customFormat="1">
      <c r="A168" s="3110"/>
      <c r="C168" s="3111"/>
      <c r="E168" s="3110"/>
    </row>
    <row r="169" spans="1:5" s="1949" customFormat="1">
      <c r="A169" s="3110"/>
      <c r="C169" s="3111"/>
      <c r="E169" s="3110"/>
    </row>
    <row r="170" spans="1:5" s="1949" customFormat="1">
      <c r="A170" s="3110"/>
      <c r="C170" s="3111"/>
      <c r="E170" s="3110"/>
    </row>
    <row r="171" spans="1:5" s="1949" customFormat="1">
      <c r="A171" s="3110"/>
      <c r="C171" s="3111"/>
      <c r="E171" s="3110"/>
    </row>
    <row r="172" spans="1:5" s="1949" customFormat="1">
      <c r="A172" s="3110"/>
      <c r="C172" s="3111"/>
      <c r="E172" s="3110"/>
    </row>
    <row r="173" spans="1:5" s="1949" customFormat="1">
      <c r="A173" s="3110"/>
      <c r="C173" s="3111"/>
      <c r="E173" s="3110"/>
    </row>
    <row r="174" spans="1:5" s="1949" customFormat="1">
      <c r="A174" s="3110"/>
      <c r="C174" s="3111"/>
      <c r="E174" s="3110"/>
    </row>
    <row r="175" spans="1:5" s="1949" customFormat="1">
      <c r="A175" s="3110"/>
      <c r="C175" s="3111"/>
      <c r="E175" s="3110"/>
    </row>
    <row r="176" spans="1:5" s="1949" customFormat="1">
      <c r="A176" s="3110"/>
      <c r="C176" s="3111"/>
      <c r="E176" s="3110"/>
    </row>
    <row r="177" spans="1:5" s="1949" customFormat="1">
      <c r="A177" s="3110"/>
      <c r="C177" s="3111"/>
      <c r="E177" s="3110"/>
    </row>
    <row r="178" spans="1:5" s="1949" customFormat="1">
      <c r="A178" s="3110"/>
      <c r="C178" s="3111"/>
      <c r="E178" s="3110"/>
    </row>
    <row r="179" spans="1:5" s="1949" customFormat="1">
      <c r="A179" s="3110"/>
      <c r="C179" s="3111"/>
      <c r="E179" s="3110"/>
    </row>
    <row r="180" spans="1:5" s="1949" customFormat="1">
      <c r="A180" s="3110"/>
      <c r="C180" s="3111"/>
      <c r="E180" s="3110"/>
    </row>
    <row r="181" spans="1:5" s="1949" customFormat="1">
      <c r="A181" s="3110"/>
      <c r="C181" s="3111"/>
      <c r="E181" s="3110"/>
    </row>
    <row r="182" spans="1:5" s="1949" customFormat="1">
      <c r="A182" s="3110"/>
      <c r="C182" s="3111"/>
      <c r="E182" s="3110"/>
    </row>
    <row r="183" spans="1:5" s="1949" customFormat="1">
      <c r="A183" s="3110"/>
      <c r="C183" s="3111"/>
      <c r="E183" s="3110"/>
    </row>
    <row r="184" spans="1:5" s="1949" customFormat="1">
      <c r="A184" s="3110"/>
      <c r="C184" s="3111"/>
      <c r="E184" s="3110"/>
    </row>
    <row r="185" spans="1:5" s="1949" customFormat="1">
      <c r="A185" s="3110"/>
      <c r="C185" s="3111"/>
      <c r="E185" s="3110"/>
    </row>
    <row r="186" spans="1:5" s="1949" customFormat="1">
      <c r="A186" s="3110"/>
      <c r="C186" s="3111"/>
      <c r="E186" s="3110"/>
    </row>
    <row r="187" spans="1:5" s="1949" customFormat="1">
      <c r="A187" s="3110"/>
      <c r="C187" s="3111"/>
      <c r="E187" s="3110"/>
    </row>
    <row r="188" spans="1:5" s="1949" customFormat="1">
      <c r="A188" s="3110"/>
      <c r="C188" s="3111"/>
      <c r="E188" s="3110"/>
    </row>
    <row r="189" spans="1:5" s="1949" customFormat="1">
      <c r="A189" s="3110"/>
      <c r="C189" s="3111"/>
      <c r="E189" s="3110"/>
    </row>
    <row r="190" spans="1:5" s="1949" customFormat="1">
      <c r="A190" s="3110"/>
      <c r="C190" s="3111"/>
      <c r="E190" s="3110"/>
    </row>
    <row r="191" spans="1:5" s="1949" customFormat="1">
      <c r="A191" s="3110"/>
      <c r="C191" s="3111"/>
      <c r="E191" s="3110"/>
    </row>
    <row r="192" spans="1:5" s="1949" customFormat="1">
      <c r="A192" s="3110"/>
      <c r="C192" s="3111"/>
      <c r="E192" s="3110"/>
    </row>
    <row r="193" spans="1:5" s="1949" customFormat="1">
      <c r="A193" s="3110"/>
      <c r="C193" s="3111"/>
      <c r="E193" s="3110"/>
    </row>
    <row r="194" spans="1:5" s="1949" customFormat="1">
      <c r="A194" s="3110"/>
      <c r="C194" s="3111"/>
      <c r="E194" s="3110"/>
    </row>
    <row r="195" spans="1:5" s="1949" customFormat="1">
      <c r="A195" s="3110"/>
      <c r="C195" s="3111"/>
      <c r="E195" s="3110"/>
    </row>
    <row r="196" spans="1:5" s="1949" customFormat="1">
      <c r="A196" s="3110"/>
      <c r="C196" s="3111"/>
      <c r="E196" s="3110"/>
    </row>
    <row r="197" spans="1:5" s="1949" customFormat="1">
      <c r="A197" s="3110"/>
      <c r="C197" s="3111"/>
      <c r="E197" s="3110"/>
    </row>
    <row r="198" spans="1:5" s="1949" customFormat="1">
      <c r="A198" s="3110"/>
      <c r="C198" s="3111"/>
      <c r="E198" s="3110"/>
    </row>
    <row r="199" spans="1:5" s="1949" customFormat="1">
      <c r="A199" s="3110"/>
      <c r="C199" s="3111"/>
      <c r="E199" s="3110"/>
    </row>
    <row r="200" spans="1:5" s="1949" customFormat="1">
      <c r="A200" s="3110"/>
      <c r="C200" s="3111"/>
      <c r="E200" s="3110"/>
    </row>
    <row r="201" spans="1:5" s="1949" customFormat="1">
      <c r="A201" s="3110"/>
      <c r="C201" s="3111"/>
      <c r="E201" s="3110"/>
    </row>
    <row r="202" spans="1:5" s="1949" customFormat="1">
      <c r="A202" s="3110"/>
      <c r="C202" s="3111"/>
      <c r="E202" s="3110"/>
    </row>
    <row r="203" spans="1:5" s="1949" customFormat="1">
      <c r="A203" s="3110"/>
      <c r="C203" s="3111"/>
      <c r="E203" s="3110"/>
    </row>
    <row r="204" spans="1:5" s="1949" customFormat="1">
      <c r="A204" s="3110"/>
      <c r="C204" s="3111"/>
      <c r="E204" s="3110"/>
    </row>
    <row r="205" spans="1:5" s="1949" customFormat="1">
      <c r="A205" s="3110"/>
      <c r="C205" s="3111"/>
      <c r="E205" s="3110"/>
    </row>
    <row r="206" spans="1:5" s="1949" customFormat="1">
      <c r="A206" s="3110"/>
      <c r="C206" s="3111"/>
      <c r="E206" s="3110"/>
    </row>
    <row r="207" spans="1:5" s="1949" customFormat="1">
      <c r="A207" s="3110"/>
      <c r="C207" s="3111"/>
      <c r="E207" s="3110"/>
    </row>
    <row r="208" spans="1:5" s="1949" customFormat="1">
      <c r="A208" s="3110"/>
      <c r="C208" s="3111"/>
      <c r="E208" s="3110"/>
    </row>
    <row r="209" spans="1:5" s="1949" customFormat="1">
      <c r="A209" s="3110"/>
      <c r="C209" s="3111"/>
      <c r="E209" s="3110"/>
    </row>
    <row r="210" spans="1:5" s="1949" customFormat="1">
      <c r="A210" s="3110"/>
      <c r="C210" s="3111"/>
      <c r="E210" s="3110"/>
    </row>
    <row r="211" spans="1:5" s="1949" customFormat="1">
      <c r="A211" s="3110"/>
      <c r="C211" s="3111"/>
      <c r="E211" s="311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499</v>
      </c>
      <c r="B1" s="480"/>
      <c r="C1" s="481" t="s">
        <v>579</v>
      </c>
      <c r="D1" s="482" t="s">
        <v>501</v>
      </c>
      <c r="E1" s="712"/>
      <c r="F1" s="713"/>
      <c r="G1" s="712"/>
      <c r="H1" s="712"/>
      <c r="I1" s="712"/>
      <c r="J1" s="712"/>
      <c r="K1" s="71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461</v>
      </c>
      <c r="B2" s="485" t="e">
        <f>F62</f>
        <v>#DIV/0!</v>
      </c>
      <c r="C2" s="3127"/>
      <c r="D2" s="3127"/>
      <c r="E2" s="3127"/>
      <c r="F2" s="3128"/>
      <c r="G2" s="3127"/>
      <c r="H2" s="3127"/>
      <c r="I2" s="3127"/>
      <c r="J2" s="3127"/>
      <c r="K2" s="3129"/>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c r="A3" s="1285" t="s">
        <v>1484</v>
      </c>
      <c r="B3" s="487" t="e">
        <f>ROUND(B2*10000/'数据-汇总表'!E3,0)</f>
        <v>#DIV/0!</v>
      </c>
      <c r="C3" s="3126"/>
      <c r="D3" s="3126"/>
      <c r="E3" s="3126"/>
      <c r="F3" s="3126"/>
      <c r="G3" s="3127"/>
      <c r="H3" s="3127"/>
      <c r="I3" s="3127"/>
      <c r="J3" s="3127"/>
      <c r="K3" s="3129"/>
      <c r="L3" s="1965"/>
      <c r="M3" s="1966"/>
      <c r="N3" s="1966"/>
      <c r="O3" s="1966"/>
      <c r="P3" s="1966"/>
      <c r="Q3" s="1966"/>
      <c r="R3" s="1966"/>
      <c r="S3" s="1966"/>
      <c r="T3" s="1966"/>
      <c r="U3" s="1966"/>
      <c r="V3" s="1966"/>
      <c r="W3" s="1966"/>
      <c r="X3" s="1966"/>
      <c r="Y3" s="1966"/>
      <c r="Z3" s="1966"/>
      <c r="AA3" s="1966"/>
      <c r="AB3" s="1896"/>
      <c r="AC3" s="1896"/>
    </row>
    <row r="4" spans="1:29" s="1244" customFormat="1" ht="28.5" customHeight="1">
      <c r="A4" s="488" t="s">
        <v>503</v>
      </c>
      <c r="B4" s="421" t="e">
        <f>IF(B43="单位面积地价",C45,ROUND(B2*10000/'数据-汇总表'!D3,0))</f>
        <v>#DIV/0!</v>
      </c>
      <c r="C4" s="3126"/>
      <c r="D4" s="3126"/>
      <c r="E4" s="3126"/>
      <c r="F4" s="3126"/>
      <c r="G4" s="3127"/>
      <c r="H4" s="3127"/>
      <c r="I4" s="3127"/>
      <c r="J4" s="3127"/>
      <c r="K4" s="3129"/>
      <c r="L4" s="1965"/>
      <c r="M4" s="1966"/>
      <c r="N4" s="1966"/>
      <c r="O4" s="1966"/>
      <c r="P4" s="1966"/>
      <c r="Q4" s="1966"/>
      <c r="R4" s="1966"/>
      <c r="S4" s="1966"/>
      <c r="T4" s="1966"/>
      <c r="U4" s="1966"/>
      <c r="V4" s="1966"/>
      <c r="W4" s="1966"/>
      <c r="X4" s="1966"/>
      <c r="Y4" s="1966"/>
      <c r="Z4" s="1966"/>
      <c r="AA4" s="1966"/>
      <c r="AB4" s="1966"/>
      <c r="AC4" s="1896"/>
    </row>
    <row r="5" spans="1:29" s="1244" customFormat="1" ht="28.5" customHeight="1" thickBot="1">
      <c r="A5" s="423"/>
      <c r="B5" s="424" t="e">
        <f>ROUND(B2/('数据-汇总表'!D3/666.67),0)</f>
        <v>#DIV/0!</v>
      </c>
      <c r="C5" s="425" t="s">
        <v>463</v>
      </c>
      <c r="D5" s="3126"/>
      <c r="E5" s="3126"/>
      <c r="F5" s="3126"/>
      <c r="G5" s="3127"/>
      <c r="H5" s="3127"/>
      <c r="I5" s="3127"/>
      <c r="J5" s="3127"/>
      <c r="K5" s="3129"/>
      <c r="L5" s="1965"/>
      <c r="M5" s="1966"/>
      <c r="N5" s="1966"/>
      <c r="O5" s="1966"/>
      <c r="P5" s="1966"/>
      <c r="Q5" s="1966"/>
      <c r="R5" s="1966"/>
      <c r="S5" s="1966"/>
      <c r="T5" s="1966"/>
      <c r="U5" s="1966"/>
      <c r="V5" s="1966"/>
      <c r="W5" s="1966"/>
      <c r="X5" s="1966"/>
      <c r="Y5" s="1966"/>
      <c r="Z5" s="1966"/>
      <c r="AA5" s="1966"/>
      <c r="AB5" s="3118"/>
      <c r="AC5" s="1896"/>
    </row>
    <row r="6" spans="1:29" ht="15">
      <c r="A6" s="489" t="s">
        <v>504</v>
      </c>
      <c r="B6" s="490"/>
      <c r="C6" s="3677" t="s">
        <v>505</v>
      </c>
      <c r="D6" s="3678"/>
      <c r="E6" s="3716" t="s">
        <v>506</v>
      </c>
      <c r="F6" s="3717"/>
      <c r="G6" s="3677" t="s">
        <v>507</v>
      </c>
      <c r="H6" s="3678"/>
      <c r="I6" s="3677" t="s">
        <v>508</v>
      </c>
      <c r="J6" s="3678"/>
      <c r="K6" s="491" t="s">
        <v>509</v>
      </c>
      <c r="L6" s="1967"/>
      <c r="M6" s="1968"/>
      <c r="N6" s="1968"/>
      <c r="O6" s="1968"/>
      <c r="P6" s="3679" t="s">
        <v>510</v>
      </c>
      <c r="Q6" s="3680"/>
      <c r="R6" s="3685" t="s">
        <v>506</v>
      </c>
      <c r="S6" s="3686"/>
      <c r="T6" s="3685" t="s">
        <v>507</v>
      </c>
      <c r="U6" s="3686"/>
      <c r="V6" s="3672" t="s">
        <v>508</v>
      </c>
      <c r="W6" s="3672"/>
      <c r="X6" s="1455"/>
      <c r="Y6" s="3685" t="s">
        <v>510</v>
      </c>
      <c r="Z6" s="3686"/>
      <c r="AA6" s="3674" t="s">
        <v>506</v>
      </c>
      <c r="AB6" s="3675" t="s">
        <v>507</v>
      </c>
      <c r="AC6" s="3674" t="s">
        <v>508</v>
      </c>
    </row>
    <row r="7" spans="1:29" ht="15">
      <c r="A7" s="492"/>
      <c r="B7" s="493"/>
      <c r="C7" s="3693" t="s">
        <v>2630</v>
      </c>
      <c r="D7" s="3694"/>
      <c r="E7" s="3718" t="s">
        <v>2631</v>
      </c>
      <c r="F7" s="3719"/>
      <c r="G7" s="3693" t="s">
        <v>2632</v>
      </c>
      <c r="H7" s="3694"/>
      <c r="I7" s="3693" t="s">
        <v>2633</v>
      </c>
      <c r="J7" s="3694"/>
      <c r="K7" s="491"/>
      <c r="L7" s="1967"/>
      <c r="M7" s="1968"/>
      <c r="N7" s="1968"/>
      <c r="O7" s="1968"/>
      <c r="P7" s="3681"/>
      <c r="Q7" s="3682"/>
      <c r="R7" s="3687"/>
      <c r="S7" s="3688"/>
      <c r="T7" s="3687"/>
      <c r="U7" s="3688"/>
      <c r="V7" s="3672"/>
      <c r="W7" s="3672"/>
      <c r="X7" s="1455"/>
      <c r="Y7" s="3687"/>
      <c r="Z7" s="3688"/>
      <c r="AA7" s="3675"/>
      <c r="AB7" s="3675"/>
      <c r="AC7" s="3675"/>
    </row>
    <row r="8" spans="1:29" ht="15.75" thickBot="1">
      <c r="A8" s="494"/>
      <c r="B8" s="495"/>
      <c r="C8" s="3691" t="s">
        <v>2634</v>
      </c>
      <c r="D8" s="3692"/>
      <c r="E8" s="3714" t="s">
        <v>2634</v>
      </c>
      <c r="F8" s="3715"/>
      <c r="G8" s="3691" t="s">
        <v>2634</v>
      </c>
      <c r="H8" s="3692"/>
      <c r="I8" s="3691" t="s">
        <v>2634</v>
      </c>
      <c r="J8" s="3692"/>
      <c r="K8" s="491" t="s">
        <v>511</v>
      </c>
      <c r="L8" s="1967"/>
      <c r="M8" s="1968"/>
      <c r="N8" s="1968"/>
      <c r="O8" s="1968"/>
      <c r="P8" s="3683"/>
      <c r="Q8" s="3684"/>
      <c r="R8" s="3687"/>
      <c r="S8" s="3688"/>
      <c r="T8" s="3689"/>
      <c r="U8" s="3690"/>
      <c r="V8" s="3672"/>
      <c r="W8" s="3672"/>
      <c r="X8" s="1455"/>
      <c r="Y8" s="3689"/>
      <c r="Z8" s="3690"/>
      <c r="AA8" s="3676"/>
      <c r="AB8" s="3676"/>
      <c r="AC8" s="3676"/>
    </row>
    <row r="9" spans="1:29" s="1165" customFormat="1" ht="15.75" thickBot="1">
      <c r="A9" s="2548"/>
      <c r="B9" s="2555" t="s">
        <v>512</v>
      </c>
      <c r="C9" s="496">
        <f>'数据-取费表'!B2</f>
        <v>44895</v>
      </c>
      <c r="D9" s="497">
        <v>100</v>
      </c>
      <c r="E9" s="498"/>
      <c r="F9" s="499">
        <f>SUMIF(66:66,YEAR(E9)&amp;"-"&amp;INT((MONTH(E9)+2)/3),67:67)</f>
        <v>0</v>
      </c>
      <c r="G9" s="500"/>
      <c r="H9" s="497">
        <f>SUMIF(66:66,YEAR(G9)&amp;"-"&amp;INT((MONTH(G9)+2)/3),67:67)</f>
        <v>0</v>
      </c>
      <c r="I9" s="500"/>
      <c r="J9" s="497">
        <f>SUMIF(66:66,YEAR(I9)&amp;"-"&amp;INT((MONTH(I9)+2)/3),67:67)</f>
        <v>0</v>
      </c>
      <c r="K9" s="501"/>
      <c r="L9" s="1969"/>
      <c r="M9" s="1970"/>
      <c r="N9" s="1970"/>
      <c r="O9" s="1970"/>
      <c r="P9" s="3701" t="s">
        <v>513</v>
      </c>
      <c r="Q9" s="3703"/>
      <c r="R9" s="1456" t="s">
        <v>8</v>
      </c>
      <c r="S9" s="1457">
        <f t="shared" ref="S9:S17" si="0">F9</f>
        <v>0</v>
      </c>
      <c r="T9" s="1456" t="s">
        <v>8</v>
      </c>
      <c r="U9" s="1457">
        <f t="shared" ref="U9:U17" si="1">H9</f>
        <v>0</v>
      </c>
      <c r="V9" s="1456" t="s">
        <v>8</v>
      </c>
      <c r="W9" s="1457">
        <f t="shared" ref="W9:W17" si="2">J9</f>
        <v>0</v>
      </c>
      <c r="X9" s="1458"/>
      <c r="Y9" s="3701" t="s">
        <v>513</v>
      </c>
      <c r="Z9" s="3702"/>
      <c r="AA9" s="1459" t="e">
        <f>D9/F9</f>
        <v>#DIV/0!</v>
      </c>
      <c r="AB9" s="1459" t="e">
        <f>D9/H9</f>
        <v>#DIV/0!</v>
      </c>
      <c r="AC9" s="1459" t="e">
        <f>D9/J9</f>
        <v>#DIV/0!</v>
      </c>
    </row>
    <row r="10" spans="1:29" s="1165" customFormat="1" ht="15.75" thickBot="1">
      <c r="A10" s="2549"/>
      <c r="B10" s="2556"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69"/>
      <c r="M10" s="1970"/>
      <c r="N10" s="1970"/>
      <c r="O10" s="1970"/>
      <c r="P10" s="3701" t="s">
        <v>516</v>
      </c>
      <c r="Q10" s="3702"/>
      <c r="R10" s="1456" t="s">
        <v>8</v>
      </c>
      <c r="S10" s="1457">
        <f t="shared" si="0"/>
        <v>0</v>
      </c>
      <c r="T10" s="1456" t="s">
        <v>8</v>
      </c>
      <c r="U10" s="1457">
        <f t="shared" si="1"/>
        <v>0</v>
      </c>
      <c r="V10" s="1456" t="s">
        <v>8</v>
      </c>
      <c r="W10" s="1457">
        <f t="shared" si="2"/>
        <v>0</v>
      </c>
      <c r="X10" s="1458"/>
      <c r="Y10" s="3701" t="s">
        <v>516</v>
      </c>
      <c r="Z10" s="3702"/>
      <c r="AA10" s="1459" t="e">
        <f t="shared" ref="AA10:AA42" si="3">D10/F10</f>
        <v>#DIV/0!</v>
      </c>
      <c r="AB10" s="1459" t="e">
        <f t="shared" ref="AB10:AB42" si="4">D10/H10</f>
        <v>#DIV/0!</v>
      </c>
      <c r="AC10" s="1459" t="e">
        <f t="shared" ref="AC10:AC42" si="5">D10/J10</f>
        <v>#DIV/0!</v>
      </c>
    </row>
    <row r="11" spans="1:29" s="1165" customFormat="1" ht="15">
      <c r="A11" s="2550"/>
      <c r="B11" s="2557" t="s">
        <v>2472</v>
      </c>
      <c r="C11" s="503"/>
      <c r="D11" s="252">
        <v>100</v>
      </c>
      <c r="E11" s="503"/>
      <c r="F11" s="252">
        <f>SUMIF(71:71,E11,72:72)-SUMIF(71:71,C11,72:72)+100</f>
        <v>100</v>
      </c>
      <c r="G11" s="503"/>
      <c r="H11" s="252">
        <f>SUMIF(71:71,G11,72:72)-SUMIF(71:71,C11,72:72)+100</f>
        <v>100</v>
      </c>
      <c r="I11" s="503"/>
      <c r="J11" s="252">
        <f>SUMIF(71:71,I11,72:72)-SUMIF(71:71,C11,72:72)+100</f>
        <v>100</v>
      </c>
      <c r="K11" s="501"/>
      <c r="L11" s="1969"/>
      <c r="M11" s="1970"/>
      <c r="N11" s="1970"/>
      <c r="O11" s="1971"/>
      <c r="P11" s="3671" t="s">
        <v>518</v>
      </c>
      <c r="Q11" s="1096" t="str">
        <f t="shared" ref="Q11:Q17" si="6">B11</f>
        <v>用途</v>
      </c>
      <c r="R11" s="1456" t="s">
        <v>8</v>
      </c>
      <c r="S11" s="1457">
        <f t="shared" si="0"/>
        <v>100</v>
      </c>
      <c r="T11" s="1456" t="s">
        <v>8</v>
      </c>
      <c r="U11" s="1457">
        <f t="shared" si="1"/>
        <v>100</v>
      </c>
      <c r="V11" s="1456" t="s">
        <v>8</v>
      </c>
      <c r="W11" s="1457">
        <f t="shared" si="2"/>
        <v>100</v>
      </c>
      <c r="X11" s="1458"/>
      <c r="Y11" s="3619" t="s">
        <v>519</v>
      </c>
      <c r="Z11" s="1095" t="str">
        <f t="shared" ref="Z11:Z17" si="7">Q11</f>
        <v>用途</v>
      </c>
      <c r="AA11" s="1459">
        <f t="shared" si="3"/>
        <v>1</v>
      </c>
      <c r="AB11" s="1459">
        <f t="shared" si="4"/>
        <v>1</v>
      </c>
      <c r="AC11" s="1459">
        <f t="shared" si="5"/>
        <v>1</v>
      </c>
    </row>
    <row r="12" spans="1:29" s="1246" customFormat="1" ht="27">
      <c r="A12" s="2551"/>
      <c r="B12" s="2556" t="s">
        <v>2473</v>
      </c>
      <c r="C12" s="505"/>
      <c r="D12" s="253">
        <v>100</v>
      </c>
      <c r="E12" s="505"/>
      <c r="F12" s="253">
        <f>ROUND(100/'数据-取费表'!G16,0)</f>
        <v>102</v>
      </c>
      <c r="G12" s="505"/>
      <c r="H12" s="253">
        <f>ROUND(100/'数据-取费表'!G16,0)</f>
        <v>102</v>
      </c>
      <c r="I12" s="505"/>
      <c r="J12" s="253">
        <f>ROUND(100/'数据-取费表'!G16,0)</f>
        <v>102</v>
      </c>
      <c r="K12" s="508"/>
      <c r="L12" s="1972"/>
      <c r="M12" s="2011"/>
      <c r="N12" s="2011"/>
      <c r="O12" s="1973"/>
      <c r="P12" s="3671"/>
      <c r="Q12" s="1096" t="str">
        <f t="shared" si="6"/>
        <v>土地使用年限（年）</v>
      </c>
      <c r="R12" s="1456" t="s">
        <v>8</v>
      </c>
      <c r="S12" s="1457">
        <f t="shared" si="0"/>
        <v>102</v>
      </c>
      <c r="T12" s="1456" t="s">
        <v>8</v>
      </c>
      <c r="U12" s="1457">
        <f t="shared" si="1"/>
        <v>102</v>
      </c>
      <c r="V12" s="1456" t="s">
        <v>8</v>
      </c>
      <c r="W12" s="1457">
        <f t="shared" si="2"/>
        <v>102</v>
      </c>
      <c r="X12" s="1458"/>
      <c r="Y12" s="3619"/>
      <c r="Z12" s="1095" t="str">
        <f t="shared" si="7"/>
        <v>土地使用年限（年）</v>
      </c>
      <c r="AA12" s="1459">
        <f t="shared" si="3"/>
        <v>0.98039215686274506</v>
      </c>
      <c r="AB12" s="1459">
        <f t="shared" si="4"/>
        <v>0.98039215686274506</v>
      </c>
      <c r="AC12" s="1459">
        <f t="shared" si="5"/>
        <v>0.98039215686274506</v>
      </c>
    </row>
    <row r="13" spans="1:29" ht="15">
      <c r="A13" s="2552"/>
      <c r="B13" s="2556" t="s">
        <v>2474</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4"/>
      <c r="M13" s="1968"/>
      <c r="N13" s="1968"/>
      <c r="O13" s="1975"/>
      <c r="P13" s="3671"/>
      <c r="Q13" s="1096" t="str">
        <f t="shared" si="6"/>
        <v>容积率</v>
      </c>
      <c r="R13" s="1456" t="s">
        <v>8</v>
      </c>
      <c r="S13" s="1457" t="e">
        <f t="shared" si="0"/>
        <v>#N/A</v>
      </c>
      <c r="T13" s="1456" t="s">
        <v>8</v>
      </c>
      <c r="U13" s="1457" t="e">
        <f t="shared" si="1"/>
        <v>#N/A</v>
      </c>
      <c r="V13" s="1456" t="s">
        <v>8</v>
      </c>
      <c r="W13" s="1457" t="e">
        <f t="shared" si="2"/>
        <v>#N/A</v>
      </c>
      <c r="X13" s="1458"/>
      <c r="Y13" s="3619"/>
      <c r="Z13" s="1095" t="str">
        <f t="shared" si="7"/>
        <v>容积率</v>
      </c>
      <c r="AA13" s="1459" t="e">
        <f t="shared" si="3"/>
        <v>#N/A</v>
      </c>
      <c r="AB13" s="1459" t="e">
        <f t="shared" si="4"/>
        <v>#N/A</v>
      </c>
      <c r="AC13" s="1459" t="e">
        <f t="shared" si="5"/>
        <v>#N/A</v>
      </c>
    </row>
    <row r="14" spans="1:29" s="1165" customFormat="1" ht="15">
      <c r="A14" s="2553"/>
      <c r="B14" s="2559">
        <v>111</v>
      </c>
      <c r="C14" s="505"/>
      <c r="D14" s="515">
        <v>100</v>
      </c>
      <c r="E14" s="518"/>
      <c r="F14" s="253">
        <f>SUMIF(78:78,E14,79:79)-SUMIF(78:78,C14,79:79)+100</f>
        <v>100</v>
      </c>
      <c r="G14" s="519"/>
      <c r="H14" s="253">
        <f>SUMIF(78:78,G14,79:79)-SUMIF(78:78,C14,79:79)+100</f>
        <v>100</v>
      </c>
      <c r="I14" s="518"/>
      <c r="J14" s="253">
        <f>SUMIF(78:78,I14,79:79)-SUMIF(78:78,C14,79:79)+100</f>
        <v>100</v>
      </c>
      <c r="K14" s="508"/>
      <c r="L14" s="1969"/>
      <c r="M14" s="1970"/>
      <c r="N14" s="1970"/>
      <c r="O14" s="1971"/>
      <c r="P14" s="3671"/>
      <c r="Q14" s="1096">
        <f t="shared" si="6"/>
        <v>111</v>
      </c>
      <c r="R14" s="1456" t="s">
        <v>8</v>
      </c>
      <c r="S14" s="1457">
        <f t="shared" si="0"/>
        <v>100</v>
      </c>
      <c r="T14" s="1456" t="s">
        <v>8</v>
      </c>
      <c r="U14" s="1457">
        <f t="shared" si="1"/>
        <v>100</v>
      </c>
      <c r="V14" s="1456" t="s">
        <v>8</v>
      </c>
      <c r="W14" s="1457">
        <f t="shared" si="2"/>
        <v>100</v>
      </c>
      <c r="X14" s="1458"/>
      <c r="Y14" s="3619"/>
      <c r="Z14" s="1095">
        <f t="shared" si="7"/>
        <v>111</v>
      </c>
      <c r="AA14" s="1459">
        <f>D14/F14</f>
        <v>1</v>
      </c>
      <c r="AB14" s="1459">
        <f>D14/H14</f>
        <v>1</v>
      </c>
      <c r="AC14" s="1459">
        <f>D14/J14</f>
        <v>1</v>
      </c>
    </row>
    <row r="15" spans="1:29" ht="15">
      <c r="A15" s="2553"/>
      <c r="B15" s="2559">
        <v>111</v>
      </c>
      <c r="C15" s="516"/>
      <c r="D15" s="517">
        <v>100</v>
      </c>
      <c r="E15" s="518"/>
      <c r="F15" s="253">
        <f>SUMIF(80:80,E15,81:81)-SUMIF(80:80,C15,81:81)+100</f>
        <v>100</v>
      </c>
      <c r="G15" s="519"/>
      <c r="H15" s="517">
        <f>SUMIF(80:80,G15,81:81)-SUMIF(80:80,C15,81:81)+100</f>
        <v>100</v>
      </c>
      <c r="I15" s="518"/>
      <c r="J15" s="517">
        <f>SUMIF(80:80,I15,81:81)-SUMIF(80:80,C15,81:81)+100</f>
        <v>100</v>
      </c>
      <c r="K15" s="508"/>
      <c r="L15" s="1976"/>
      <c r="M15" s="1968"/>
      <c r="N15" s="1968"/>
      <c r="O15" s="1975"/>
      <c r="P15" s="3671"/>
      <c r="Q15" s="1096">
        <f t="shared" si="6"/>
        <v>111</v>
      </c>
      <c r="R15" s="1456" t="s">
        <v>8</v>
      </c>
      <c r="S15" s="1457">
        <f t="shared" si="0"/>
        <v>100</v>
      </c>
      <c r="T15" s="1456" t="s">
        <v>8</v>
      </c>
      <c r="U15" s="1457">
        <f t="shared" si="1"/>
        <v>100</v>
      </c>
      <c r="V15" s="1456" t="s">
        <v>8</v>
      </c>
      <c r="W15" s="1457">
        <f t="shared" si="2"/>
        <v>100</v>
      </c>
      <c r="X15" s="1458"/>
      <c r="Y15" s="3619"/>
      <c r="Z15" s="1095">
        <f t="shared" si="7"/>
        <v>111</v>
      </c>
      <c r="AA15" s="1459">
        <f t="shared" si="3"/>
        <v>1</v>
      </c>
      <c r="AB15" s="1459">
        <f t="shared" si="4"/>
        <v>1</v>
      </c>
      <c r="AC15" s="1459">
        <f t="shared" si="5"/>
        <v>1</v>
      </c>
    </row>
    <row r="16" spans="1:29" ht="15.75" thickBot="1">
      <c r="A16" s="2554"/>
      <c r="B16" s="2560">
        <v>111</v>
      </c>
      <c r="C16" s="522"/>
      <c r="D16" s="523">
        <v>100</v>
      </c>
      <c r="E16" s="518"/>
      <c r="F16" s="523">
        <f>SUMIF(82:82,E16,83:83)-SUMIF(82:82,C16,83:83)+100</f>
        <v>100</v>
      </c>
      <c r="G16" s="519"/>
      <c r="H16" s="523">
        <f>SUMIF(82:82,G16,83:83)-SUMIF(82:82,C16,83:83)+100</f>
        <v>100</v>
      </c>
      <c r="I16" s="518"/>
      <c r="J16" s="523">
        <f>SUMIF(82:82,I16,83:83)-SUMIF(82:82,C16,83:83)+100</f>
        <v>100</v>
      </c>
      <c r="K16" s="508"/>
      <c r="L16" s="1976"/>
      <c r="M16" s="1968"/>
      <c r="N16" s="1968"/>
      <c r="O16" s="1975"/>
      <c r="P16" s="3671"/>
      <c r="Q16" s="1096">
        <f t="shared" si="6"/>
        <v>111</v>
      </c>
      <c r="R16" s="1456" t="s">
        <v>8</v>
      </c>
      <c r="S16" s="1457">
        <f t="shared" si="0"/>
        <v>100</v>
      </c>
      <c r="T16" s="1456" t="s">
        <v>8</v>
      </c>
      <c r="U16" s="1457">
        <f t="shared" si="1"/>
        <v>100</v>
      </c>
      <c r="V16" s="1456" t="s">
        <v>8</v>
      </c>
      <c r="W16" s="1457">
        <f t="shared" si="2"/>
        <v>100</v>
      </c>
      <c r="X16" s="1458"/>
      <c r="Y16" s="3619"/>
      <c r="Z16" s="1095">
        <f t="shared" si="7"/>
        <v>111</v>
      </c>
      <c r="AA16" s="1459">
        <f t="shared" si="3"/>
        <v>1</v>
      </c>
      <c r="AB16" s="1459">
        <f t="shared" si="4"/>
        <v>1</v>
      </c>
      <c r="AC16" s="1459">
        <f t="shared" si="5"/>
        <v>1</v>
      </c>
    </row>
    <row r="17" spans="1:29" ht="57">
      <c r="A17" s="2546" t="s">
        <v>2470</v>
      </c>
      <c r="B17" s="164" t="s">
        <v>580</v>
      </c>
      <c r="C17" s="891"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6"/>
      <c r="M17" s="1968"/>
      <c r="N17" s="1968"/>
      <c r="O17" s="1975"/>
      <c r="P17" s="3704" t="s">
        <v>523</v>
      </c>
      <c r="Q17" s="1460" t="str">
        <f t="shared" si="6"/>
        <v>产业集聚程度</v>
      </c>
      <c r="R17" s="1461" t="s">
        <v>8</v>
      </c>
      <c r="S17" s="1462">
        <f t="shared" si="0"/>
        <v>100</v>
      </c>
      <c r="T17" s="1461" t="s">
        <v>8</v>
      </c>
      <c r="U17" s="1462">
        <f t="shared" si="1"/>
        <v>100</v>
      </c>
      <c r="V17" s="1461" t="s">
        <v>8</v>
      </c>
      <c r="W17" s="1462">
        <f t="shared" si="2"/>
        <v>100</v>
      </c>
      <c r="X17" s="1455"/>
      <c r="Y17" s="3704" t="s">
        <v>523</v>
      </c>
      <c r="Z17" s="1463" t="str">
        <f t="shared" si="7"/>
        <v>产业集聚程度</v>
      </c>
      <c r="AA17" s="1464">
        <f t="shared" si="3"/>
        <v>1</v>
      </c>
      <c r="AB17" s="1464">
        <f t="shared" si="4"/>
        <v>1</v>
      </c>
      <c r="AC17" s="1464">
        <f t="shared" si="5"/>
        <v>1</v>
      </c>
    </row>
    <row r="18" spans="1:29" ht="15">
      <c r="A18" s="509"/>
      <c r="B18" s="841"/>
      <c r="C18" s="553"/>
      <c r="D18" s="532"/>
      <c r="E18" s="531"/>
      <c r="F18" s="532"/>
      <c r="G18" s="531"/>
      <c r="H18" s="536"/>
      <c r="I18" s="531"/>
      <c r="J18" s="532"/>
      <c r="K18" s="508"/>
      <c r="L18" s="1976"/>
      <c r="M18" s="1968"/>
      <c r="N18" s="1968"/>
      <c r="O18" s="1975"/>
      <c r="P18" s="3705"/>
      <c r="Q18" s="1460"/>
      <c r="R18" s="1461"/>
      <c r="S18" s="1462"/>
      <c r="T18" s="1461"/>
      <c r="U18" s="1462"/>
      <c r="V18" s="1461"/>
      <c r="W18" s="1462"/>
      <c r="X18" s="1455"/>
      <c r="Y18" s="3705"/>
      <c r="Z18" s="1463"/>
      <c r="AA18" s="1464">
        <v>1</v>
      </c>
      <c r="AB18" s="1464">
        <v>1</v>
      </c>
      <c r="AC18" s="1464">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6"/>
      <c r="M19" s="1968"/>
      <c r="N19" s="1968"/>
      <c r="O19" s="1975"/>
      <c r="P19" s="3705"/>
      <c r="Q19" s="1460" t="str">
        <f>B19</f>
        <v>交通便捷度</v>
      </c>
      <c r="R19" s="1461" t="s">
        <v>8</v>
      </c>
      <c r="S19" s="1462">
        <f>F19</f>
        <v>100</v>
      </c>
      <c r="T19" s="1461" t="s">
        <v>8</v>
      </c>
      <c r="U19" s="1462">
        <f>H19</f>
        <v>100</v>
      </c>
      <c r="V19" s="1461" t="s">
        <v>8</v>
      </c>
      <c r="W19" s="1462">
        <f>J19</f>
        <v>100</v>
      </c>
      <c r="X19" s="1455"/>
      <c r="Y19" s="3705"/>
      <c r="Z19" s="1463" t="str">
        <f>Q19</f>
        <v>交通便捷度</v>
      </c>
      <c r="AA19" s="1464">
        <f t="shared" si="3"/>
        <v>1</v>
      </c>
      <c r="AB19" s="1464">
        <f t="shared" si="4"/>
        <v>1</v>
      </c>
      <c r="AC19" s="1464">
        <f t="shared" si="5"/>
        <v>1</v>
      </c>
    </row>
    <row r="20" spans="1:29" ht="15">
      <c r="A20" s="509"/>
      <c r="B20" s="892"/>
      <c r="C20" s="553"/>
      <c r="D20" s="532"/>
      <c r="E20" s="533"/>
      <c r="F20" s="532"/>
      <c r="G20" s="533"/>
      <c r="H20" s="532"/>
      <c r="I20" s="535"/>
      <c r="J20" s="532"/>
      <c r="K20" s="508"/>
      <c r="L20" s="1976"/>
      <c r="M20" s="1968"/>
      <c r="N20" s="1968"/>
      <c r="O20" s="1975"/>
      <c r="P20" s="3705"/>
      <c r="Q20" s="1460"/>
      <c r="R20" s="1461"/>
      <c r="S20" s="1462"/>
      <c r="T20" s="1461"/>
      <c r="U20" s="1462"/>
      <c r="V20" s="1461"/>
      <c r="W20" s="1462"/>
      <c r="X20" s="1455"/>
      <c r="Y20" s="3705"/>
      <c r="Z20" s="1463"/>
      <c r="AA20" s="1464">
        <v>1</v>
      </c>
      <c r="AB20" s="1464">
        <v>1</v>
      </c>
      <c r="AC20" s="1464">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6"/>
      <c r="L21" s="1976"/>
      <c r="M21" s="1968"/>
      <c r="N21" s="1968"/>
      <c r="O21" s="1975"/>
      <c r="P21" s="3705"/>
      <c r="Q21" s="1460" t="str">
        <f t="shared" ref="Q21:Q35" si="8">B21</f>
        <v>区域土地利用方向</v>
      </c>
      <c r="R21" s="1461" t="s">
        <v>8</v>
      </c>
      <c r="S21" s="1462">
        <f>F21</f>
        <v>100</v>
      </c>
      <c r="T21" s="1461" t="s">
        <v>8</v>
      </c>
      <c r="U21" s="1462">
        <f>H21</f>
        <v>100</v>
      </c>
      <c r="V21" s="1461" t="s">
        <v>8</v>
      </c>
      <c r="W21" s="1462">
        <f>J21</f>
        <v>100</v>
      </c>
      <c r="X21" s="1455"/>
      <c r="Y21" s="3705"/>
      <c r="Z21" s="1463" t="str">
        <f>Q21</f>
        <v>区域土地利用方向</v>
      </c>
      <c r="AA21" s="1464">
        <f t="shared" si="3"/>
        <v>1</v>
      </c>
      <c r="AB21" s="1464">
        <f t="shared" si="4"/>
        <v>1</v>
      </c>
      <c r="AC21" s="1464">
        <f t="shared" si="5"/>
        <v>1</v>
      </c>
    </row>
    <row r="22" spans="1:29" ht="15">
      <c r="A22" s="492"/>
      <c r="B22" s="572"/>
      <c r="C22" s="553"/>
      <c r="D22" s="532"/>
      <c r="E22" s="533"/>
      <c r="F22" s="534"/>
      <c r="G22" s="535"/>
      <c r="H22" s="534"/>
      <c r="I22" s="535"/>
      <c r="J22" s="534"/>
      <c r="K22" s="1255"/>
      <c r="L22" s="1976"/>
      <c r="M22" s="1968"/>
      <c r="N22" s="1968"/>
      <c r="O22" s="1975"/>
      <c r="P22" s="3705"/>
      <c r="Q22" s="1460"/>
      <c r="R22" s="1461"/>
      <c r="S22" s="1462"/>
      <c r="T22" s="1461"/>
      <c r="U22" s="1462"/>
      <c r="V22" s="1461"/>
      <c r="W22" s="1462"/>
      <c r="X22" s="1455"/>
      <c r="Y22" s="3705"/>
      <c r="Z22" s="1463"/>
      <c r="AA22" s="1464"/>
      <c r="AB22" s="1464"/>
      <c r="AC22" s="1464"/>
    </row>
    <row r="23" spans="1:29" ht="71.25">
      <c r="A23" s="492"/>
      <c r="B23" s="892"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6"/>
      <c r="M23" s="1968"/>
      <c r="N23" s="1968"/>
      <c r="O23" s="1975"/>
      <c r="P23" s="3705"/>
      <c r="Q23" s="1460" t="str">
        <f t="shared" si="8"/>
        <v>环境状况</v>
      </c>
      <c r="R23" s="1461" t="s">
        <v>8</v>
      </c>
      <c r="S23" s="1462">
        <f>F23</f>
        <v>100</v>
      </c>
      <c r="T23" s="1461" t="s">
        <v>8</v>
      </c>
      <c r="U23" s="1462">
        <f>H23</f>
        <v>100</v>
      </c>
      <c r="V23" s="1461" t="s">
        <v>8</v>
      </c>
      <c r="W23" s="1462">
        <f>J23</f>
        <v>100</v>
      </c>
      <c r="X23" s="1455"/>
      <c r="Y23" s="3705"/>
      <c r="Z23" s="1463" t="str">
        <f>Q23</f>
        <v>环境状况</v>
      </c>
      <c r="AA23" s="1464">
        <f t="shared" si="3"/>
        <v>1</v>
      </c>
      <c r="AB23" s="1464">
        <f t="shared" si="4"/>
        <v>1</v>
      </c>
      <c r="AC23" s="1464">
        <f t="shared" si="5"/>
        <v>1</v>
      </c>
    </row>
    <row r="24" spans="1:29" ht="15">
      <c r="A24" s="492"/>
      <c r="B24" s="572"/>
      <c r="C24" s="553"/>
      <c r="D24" s="532"/>
      <c r="E24" s="531"/>
      <c r="F24" s="532"/>
      <c r="G24" s="531"/>
      <c r="H24" s="532"/>
      <c r="I24" s="553"/>
      <c r="J24" s="532"/>
      <c r="K24" s="508"/>
      <c r="L24" s="1976"/>
      <c r="M24" s="1968"/>
      <c r="N24" s="1968"/>
      <c r="O24" s="1975"/>
      <c r="P24" s="3705"/>
      <c r="Q24" s="1460"/>
      <c r="R24" s="1461"/>
      <c r="S24" s="1462"/>
      <c r="T24" s="1461"/>
      <c r="U24" s="1462"/>
      <c r="V24" s="1461"/>
      <c r="W24" s="1462"/>
      <c r="X24" s="1455"/>
      <c r="Y24" s="3705"/>
      <c r="Z24" s="1463"/>
      <c r="AA24" s="1464">
        <v>1</v>
      </c>
      <c r="AB24" s="1464">
        <v>1</v>
      </c>
      <c r="AC24" s="1464">
        <v>1</v>
      </c>
    </row>
    <row r="25" spans="1:29" s="1165" customFormat="1" ht="42.75">
      <c r="A25" s="554"/>
      <c r="B25" s="2357" t="s">
        <v>2265</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69"/>
      <c r="M25" s="1970"/>
      <c r="N25" s="1970"/>
      <c r="O25" s="1971"/>
      <c r="P25" s="3705"/>
      <c r="Q25" s="1096" t="str">
        <f t="shared" si="8"/>
        <v>公共配套设施</v>
      </c>
      <c r="R25" s="1456" t="s">
        <v>8</v>
      </c>
      <c r="S25" s="1457">
        <f>F25</f>
        <v>100</v>
      </c>
      <c r="T25" s="1456" t="s">
        <v>8</v>
      </c>
      <c r="U25" s="1457">
        <f>H25</f>
        <v>100</v>
      </c>
      <c r="V25" s="1456" t="s">
        <v>8</v>
      </c>
      <c r="W25" s="1457">
        <f>J25</f>
        <v>100</v>
      </c>
      <c r="X25" s="1458"/>
      <c r="Y25" s="3705"/>
      <c r="Z25" s="1095" t="str">
        <f>Q25</f>
        <v>公共配套设施</v>
      </c>
      <c r="AA25" s="1464">
        <f>D25/F25</f>
        <v>1</v>
      </c>
      <c r="AB25" s="1464">
        <f>D25/H25</f>
        <v>1</v>
      </c>
      <c r="AC25" s="1464">
        <f>D25/J25</f>
        <v>1</v>
      </c>
    </row>
    <row r="26" spans="1:29" s="1165" customFormat="1" ht="15">
      <c r="A26" s="554"/>
      <c r="B26" s="572"/>
      <c r="C26" s="2356"/>
      <c r="D26" s="532"/>
      <c r="E26" s="531"/>
      <c r="F26" s="532"/>
      <c r="G26" s="531"/>
      <c r="H26" s="532"/>
      <c r="I26" s="553"/>
      <c r="J26" s="532"/>
      <c r="K26" s="508"/>
      <c r="L26" s="1969"/>
      <c r="M26" s="1970"/>
      <c r="N26" s="1970"/>
      <c r="O26" s="1971"/>
      <c r="P26" s="3705"/>
      <c r="Q26" s="1096"/>
      <c r="R26" s="1456"/>
      <c r="S26" s="1457"/>
      <c r="T26" s="1456"/>
      <c r="U26" s="1457"/>
      <c r="V26" s="1456"/>
      <c r="W26" s="1457"/>
      <c r="X26" s="1458"/>
      <c r="Y26" s="3705"/>
      <c r="Z26" s="1095"/>
      <c r="AA26" s="1459">
        <v>1</v>
      </c>
      <c r="AB26" s="1459">
        <v>1</v>
      </c>
      <c r="AC26" s="1459">
        <v>1</v>
      </c>
    </row>
    <row r="27" spans="1:29" s="1165" customFormat="1" ht="28.5">
      <c r="A27" s="554"/>
      <c r="B27" s="2357" t="s">
        <v>2266</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69"/>
      <c r="M27" s="1970"/>
      <c r="N27" s="1970"/>
      <c r="O27" s="1971"/>
      <c r="P27" s="3705"/>
      <c r="Q27" s="2348" t="str">
        <f t="shared" ref="Q27" si="9">B27</f>
        <v>基础设施水平</v>
      </c>
      <c r="R27" s="1456" t="s">
        <v>8</v>
      </c>
      <c r="S27" s="1457">
        <f>F27</f>
        <v>100</v>
      </c>
      <c r="T27" s="1456" t="s">
        <v>8</v>
      </c>
      <c r="U27" s="1457">
        <f>H27</f>
        <v>100</v>
      </c>
      <c r="V27" s="1456" t="s">
        <v>8</v>
      </c>
      <c r="W27" s="1457">
        <f>J27</f>
        <v>100</v>
      </c>
      <c r="X27" s="1458"/>
      <c r="Y27" s="3705"/>
      <c r="Z27" s="2347" t="str">
        <f>Q27</f>
        <v>基础设施水平</v>
      </c>
      <c r="AA27" s="1464">
        <f>D27/F27</f>
        <v>1</v>
      </c>
      <c r="AB27" s="1464">
        <f>D27/H27</f>
        <v>1</v>
      </c>
      <c r="AC27" s="1464">
        <f>D27/J27</f>
        <v>1</v>
      </c>
    </row>
    <row r="28" spans="1:29" s="1165" customFormat="1" ht="15">
      <c r="A28" s="554"/>
      <c r="B28" s="572"/>
      <c r="C28" s="2356"/>
      <c r="D28" s="532"/>
      <c r="E28" s="556"/>
      <c r="F28" s="532"/>
      <c r="G28" s="556"/>
      <c r="H28" s="532"/>
      <c r="I28" s="556"/>
      <c r="J28" s="532"/>
      <c r="K28" s="508"/>
      <c r="L28" s="1969"/>
      <c r="M28" s="1970"/>
      <c r="N28" s="1970"/>
      <c r="O28" s="1971"/>
      <c r="P28" s="3705"/>
      <c r="Q28" s="2348"/>
      <c r="R28" s="1456"/>
      <c r="S28" s="1457"/>
      <c r="T28" s="1456"/>
      <c r="U28" s="1457"/>
      <c r="V28" s="1456"/>
      <c r="W28" s="1457"/>
      <c r="X28" s="1458"/>
      <c r="Y28" s="3705"/>
      <c r="Z28" s="2347"/>
      <c r="AA28" s="1459">
        <v>1</v>
      </c>
      <c r="AB28" s="1459">
        <v>1</v>
      </c>
      <c r="AC28" s="1459">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6"/>
      <c r="M29" s="1968"/>
      <c r="N29" s="1968"/>
      <c r="O29" s="1975"/>
      <c r="P29" s="3705"/>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705"/>
      <c r="Z29" s="1463" t="str">
        <f t="shared" ref="Z29:Z42" si="13">Q29</f>
        <v>临街状况</v>
      </c>
      <c r="AA29" s="1464">
        <f t="shared" si="3"/>
        <v>1</v>
      </c>
      <c r="AB29" s="1464">
        <f t="shared" si="4"/>
        <v>1</v>
      </c>
      <c r="AC29" s="1464">
        <f t="shared" si="5"/>
        <v>1</v>
      </c>
    </row>
    <row r="30" spans="1:29" ht="27">
      <c r="A30" s="509"/>
      <c r="B30" s="892" t="s">
        <v>531</v>
      </c>
      <c r="C30" s="2359">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6"/>
      <c r="M30" s="1968"/>
      <c r="N30" s="1968"/>
      <c r="O30" s="1975"/>
      <c r="P30" s="3705"/>
      <c r="Q30" s="1460" t="str">
        <f t="shared" si="8"/>
        <v>毗邻道路的类型与等级</v>
      </c>
      <c r="R30" s="1461" t="s">
        <v>8</v>
      </c>
      <c r="S30" s="1462">
        <f t="shared" si="10"/>
        <v>100</v>
      </c>
      <c r="T30" s="1461" t="s">
        <v>8</v>
      </c>
      <c r="U30" s="1462">
        <f t="shared" si="11"/>
        <v>100</v>
      </c>
      <c r="V30" s="1461" t="s">
        <v>8</v>
      </c>
      <c r="W30" s="1462">
        <f t="shared" si="12"/>
        <v>100</v>
      </c>
      <c r="X30" s="1455"/>
      <c r="Y30" s="3705"/>
      <c r="Z30" s="1463" t="str">
        <f t="shared" si="13"/>
        <v>毗邻道路的类型与等级</v>
      </c>
      <c r="AA30" s="1464">
        <f t="shared" si="3"/>
        <v>1</v>
      </c>
      <c r="AB30" s="1464">
        <f t="shared" si="4"/>
        <v>1</v>
      </c>
      <c r="AC30" s="1464">
        <f t="shared" si="5"/>
        <v>1</v>
      </c>
    </row>
    <row r="31" spans="1:29" ht="15">
      <c r="A31" s="509"/>
      <c r="B31" s="572"/>
      <c r="C31" s="553"/>
      <c r="D31" s="532"/>
      <c r="E31" s="553"/>
      <c r="F31" s="532"/>
      <c r="G31" s="553"/>
      <c r="H31" s="532"/>
      <c r="I31" s="553"/>
      <c r="J31" s="532"/>
      <c r="K31" s="558"/>
      <c r="L31" s="1976"/>
      <c r="M31" s="1968"/>
      <c r="N31" s="1968"/>
      <c r="O31" s="1975"/>
      <c r="P31" s="3705"/>
      <c r="Q31" s="1460"/>
      <c r="R31" s="1461"/>
      <c r="S31" s="1462"/>
      <c r="T31" s="1461"/>
      <c r="U31" s="1462"/>
      <c r="V31" s="1461"/>
      <c r="W31" s="1462"/>
      <c r="X31" s="1455"/>
      <c r="Y31" s="3705"/>
      <c r="Z31" s="1463"/>
      <c r="AA31" s="1464">
        <v>1</v>
      </c>
      <c r="AB31" s="1464">
        <v>1</v>
      </c>
      <c r="AC31" s="1464">
        <v>1</v>
      </c>
    </row>
    <row r="32" spans="1:29" ht="15">
      <c r="A32" s="509"/>
      <c r="B32" s="504" t="s">
        <v>532</v>
      </c>
      <c r="C32" s="2360">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6"/>
      <c r="M32" s="1968"/>
      <c r="N32" s="1968"/>
      <c r="O32" s="1975"/>
      <c r="P32" s="3705"/>
      <c r="Q32" s="1460" t="str">
        <f t="shared" si="8"/>
        <v>土地级别</v>
      </c>
      <c r="R32" s="1461" t="s">
        <v>8</v>
      </c>
      <c r="S32" s="1462">
        <f t="shared" si="10"/>
        <v>100</v>
      </c>
      <c r="T32" s="1461" t="s">
        <v>8</v>
      </c>
      <c r="U32" s="1462">
        <f t="shared" si="11"/>
        <v>100</v>
      </c>
      <c r="V32" s="1461" t="s">
        <v>8</v>
      </c>
      <c r="W32" s="1462">
        <f t="shared" si="12"/>
        <v>100</v>
      </c>
      <c r="X32" s="1455"/>
      <c r="Y32" s="3705"/>
      <c r="Z32" s="1463" t="str">
        <f t="shared" si="13"/>
        <v>土地级别</v>
      </c>
      <c r="AA32" s="1464">
        <f t="shared" si="3"/>
        <v>1</v>
      </c>
      <c r="AB32" s="1464">
        <f t="shared" si="4"/>
        <v>1</v>
      </c>
      <c r="AC32" s="1464">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6"/>
      <c r="M33" s="1968"/>
      <c r="N33" s="1968"/>
      <c r="O33" s="1975"/>
      <c r="P33" s="3705"/>
      <c r="Q33" s="1460">
        <f t="shared" si="8"/>
        <v>111</v>
      </c>
      <c r="R33" s="1461" t="s">
        <v>8</v>
      </c>
      <c r="S33" s="1462">
        <f t="shared" si="10"/>
        <v>100</v>
      </c>
      <c r="T33" s="1461" t="s">
        <v>8</v>
      </c>
      <c r="U33" s="1462">
        <f t="shared" si="11"/>
        <v>100</v>
      </c>
      <c r="V33" s="1461" t="s">
        <v>8</v>
      </c>
      <c r="W33" s="1462">
        <f t="shared" si="12"/>
        <v>100</v>
      </c>
      <c r="X33" s="1455"/>
      <c r="Y33" s="3705"/>
      <c r="Z33" s="1463">
        <f t="shared" si="13"/>
        <v>111</v>
      </c>
      <c r="AA33" s="1464">
        <f t="shared" si="3"/>
        <v>1</v>
      </c>
      <c r="AB33" s="1464">
        <f t="shared" si="4"/>
        <v>1</v>
      </c>
      <c r="AC33" s="1464">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6"/>
      <c r="M34" s="1968"/>
      <c r="N34" s="1968"/>
      <c r="O34" s="1975"/>
      <c r="P34" s="3706" t="s">
        <v>533</v>
      </c>
      <c r="Q34" s="1460">
        <f t="shared" si="8"/>
        <v>111</v>
      </c>
      <c r="R34" s="1461" t="s">
        <v>8</v>
      </c>
      <c r="S34" s="1462">
        <f t="shared" si="10"/>
        <v>100</v>
      </c>
      <c r="T34" s="1461" t="s">
        <v>8</v>
      </c>
      <c r="U34" s="1462">
        <f t="shared" si="11"/>
        <v>100</v>
      </c>
      <c r="V34" s="1461" t="s">
        <v>8</v>
      </c>
      <c r="W34" s="1462">
        <f t="shared" si="12"/>
        <v>100</v>
      </c>
      <c r="X34" s="1455"/>
      <c r="Y34" s="3707" t="s">
        <v>533</v>
      </c>
      <c r="Z34" s="1463">
        <f t="shared" si="13"/>
        <v>111</v>
      </c>
      <c r="AA34" s="1464">
        <f t="shared" si="3"/>
        <v>1</v>
      </c>
      <c r="AB34" s="1464">
        <f t="shared" si="4"/>
        <v>1</v>
      </c>
      <c r="AC34" s="1464">
        <f t="shared" si="5"/>
        <v>1</v>
      </c>
    </row>
    <row r="35" spans="1:29" s="1247" customFormat="1" ht="15.75" thickBot="1">
      <c r="A35" s="566"/>
      <c r="B35" s="2358">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4"/>
      <c r="M35" s="2004"/>
      <c r="N35" s="2004"/>
      <c r="O35" s="1977"/>
      <c r="P35" s="3707"/>
      <c r="Q35" s="1460">
        <f t="shared" si="8"/>
        <v>111</v>
      </c>
      <c r="R35" s="1465" t="s">
        <v>8</v>
      </c>
      <c r="S35" s="1466">
        <f t="shared" si="10"/>
        <v>100</v>
      </c>
      <c r="T35" s="1465" t="s">
        <v>8</v>
      </c>
      <c r="U35" s="1466">
        <f t="shared" si="11"/>
        <v>100</v>
      </c>
      <c r="V35" s="1465" t="s">
        <v>8</v>
      </c>
      <c r="W35" s="1466">
        <f t="shared" si="12"/>
        <v>100</v>
      </c>
      <c r="X35" s="1467"/>
      <c r="Y35" s="3707"/>
      <c r="Z35" s="1468">
        <f t="shared" si="13"/>
        <v>111</v>
      </c>
      <c r="AA35" s="1464">
        <f t="shared" si="3"/>
        <v>1</v>
      </c>
      <c r="AB35" s="1464">
        <f t="shared" si="4"/>
        <v>1</v>
      </c>
      <c r="AC35" s="1464">
        <f t="shared" si="5"/>
        <v>1</v>
      </c>
    </row>
    <row r="36" spans="1:29" ht="15">
      <c r="A36" s="2544" t="s">
        <v>2471</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6"/>
      <c r="M36" s="1968"/>
      <c r="N36" s="1968"/>
      <c r="O36" s="1975"/>
      <c r="P36" s="3707"/>
      <c r="Q36" s="1460" t="str">
        <f>B36</f>
        <v>宗地面积</v>
      </c>
      <c r="R36" s="1461" t="s">
        <v>8</v>
      </c>
      <c r="S36" s="1462" t="e">
        <f t="shared" si="10"/>
        <v>#N/A</v>
      </c>
      <c r="T36" s="1461" t="s">
        <v>8</v>
      </c>
      <c r="U36" s="1462" t="e">
        <f t="shared" si="11"/>
        <v>#N/A</v>
      </c>
      <c r="V36" s="1461" t="s">
        <v>8</v>
      </c>
      <c r="W36" s="1462" t="e">
        <f t="shared" si="12"/>
        <v>#N/A</v>
      </c>
      <c r="X36" s="1455"/>
      <c r="Y36" s="3707"/>
      <c r="Z36" s="1463" t="str">
        <f t="shared" si="13"/>
        <v>宗地面积</v>
      </c>
      <c r="AA36" s="1464" t="e">
        <f t="shared" si="3"/>
        <v>#N/A</v>
      </c>
      <c r="AB36" s="1464" t="e">
        <f t="shared" si="4"/>
        <v>#N/A</v>
      </c>
      <c r="AC36" s="1464"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6"/>
      <c r="M37" s="1968"/>
      <c r="N37" s="1968"/>
      <c r="O37" s="1975"/>
      <c r="P37" s="3707"/>
      <c r="Q37" s="1460" t="str">
        <f t="shared" ref="Q37:Q42" si="14">B37</f>
        <v>宗地形状</v>
      </c>
      <c r="R37" s="1461" t="s">
        <v>8</v>
      </c>
      <c r="S37" s="1462">
        <f t="shared" si="10"/>
        <v>100</v>
      </c>
      <c r="T37" s="1461" t="s">
        <v>8</v>
      </c>
      <c r="U37" s="1462">
        <f t="shared" si="11"/>
        <v>100</v>
      </c>
      <c r="V37" s="1461" t="s">
        <v>8</v>
      </c>
      <c r="W37" s="1462">
        <f t="shared" si="12"/>
        <v>100</v>
      </c>
      <c r="X37" s="1455"/>
      <c r="Y37" s="3707"/>
      <c r="Z37" s="1463" t="str">
        <f t="shared" si="13"/>
        <v>宗地形状</v>
      </c>
      <c r="AA37" s="1464">
        <f t="shared" si="3"/>
        <v>1</v>
      </c>
      <c r="AB37" s="1464">
        <f t="shared" si="4"/>
        <v>1</v>
      </c>
      <c r="AC37" s="1464">
        <f t="shared" si="5"/>
        <v>1</v>
      </c>
    </row>
    <row r="38" spans="1:29" s="1165" customFormat="1" ht="15">
      <c r="A38" s="577"/>
      <c r="B38" s="1762" t="s">
        <v>2210</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69"/>
      <c r="M38" s="1970"/>
      <c r="N38" s="1970"/>
      <c r="O38" s="1971"/>
      <c r="P38" s="3707"/>
      <c r="Q38" s="1460" t="str">
        <f t="shared" si="14"/>
        <v>宗地开发程度</v>
      </c>
      <c r="R38" s="1456" t="s">
        <v>8</v>
      </c>
      <c r="S38" s="1457">
        <f t="shared" si="10"/>
        <v>100</v>
      </c>
      <c r="T38" s="1456" t="s">
        <v>8</v>
      </c>
      <c r="U38" s="1457">
        <f t="shared" si="11"/>
        <v>100</v>
      </c>
      <c r="V38" s="1456" t="s">
        <v>8</v>
      </c>
      <c r="W38" s="1457">
        <f t="shared" si="12"/>
        <v>100</v>
      </c>
      <c r="X38" s="1458"/>
      <c r="Y38" s="3707"/>
      <c r="Z38" s="1095" t="str">
        <f t="shared" si="13"/>
        <v>宗地开发程度</v>
      </c>
      <c r="AA38" s="1459">
        <f t="shared" si="3"/>
        <v>1</v>
      </c>
      <c r="AB38" s="1459">
        <f t="shared" si="4"/>
        <v>1</v>
      </c>
      <c r="AC38" s="1459">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6"/>
      <c r="M39" s="1968"/>
      <c r="N39" s="1968"/>
      <c r="O39" s="1975"/>
      <c r="P39" s="3707" t="s">
        <v>583</v>
      </c>
      <c r="Q39" s="1460" t="str">
        <f t="shared" si="14"/>
        <v>工程地质条件</v>
      </c>
      <c r="R39" s="1461" t="s">
        <v>8</v>
      </c>
      <c r="S39" s="1462">
        <f t="shared" si="10"/>
        <v>100</v>
      </c>
      <c r="T39" s="1461" t="s">
        <v>8</v>
      </c>
      <c r="U39" s="1462">
        <f t="shared" si="11"/>
        <v>100</v>
      </c>
      <c r="V39" s="1461" t="s">
        <v>8</v>
      </c>
      <c r="W39" s="1462">
        <f t="shared" si="12"/>
        <v>100</v>
      </c>
      <c r="X39" s="1455"/>
      <c r="Y39" s="3707" t="s">
        <v>583</v>
      </c>
      <c r="Z39" s="1463" t="str">
        <f t="shared" si="13"/>
        <v>工程地质条件</v>
      </c>
      <c r="AA39" s="1464">
        <f t="shared" si="3"/>
        <v>1</v>
      </c>
      <c r="AB39" s="1464">
        <f t="shared" si="4"/>
        <v>1</v>
      </c>
      <c r="AC39" s="1464">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6"/>
      <c r="M40" s="1968"/>
      <c r="N40" s="1968"/>
      <c r="O40" s="1975"/>
      <c r="P40" s="3707"/>
      <c r="Q40" s="1460">
        <f t="shared" si="14"/>
        <v>111</v>
      </c>
      <c r="R40" s="1461" t="s">
        <v>8</v>
      </c>
      <c r="S40" s="1462">
        <f t="shared" si="10"/>
        <v>100</v>
      </c>
      <c r="T40" s="1461" t="s">
        <v>8</v>
      </c>
      <c r="U40" s="1462">
        <f t="shared" si="11"/>
        <v>100</v>
      </c>
      <c r="V40" s="1461" t="s">
        <v>8</v>
      </c>
      <c r="W40" s="1462">
        <f t="shared" si="12"/>
        <v>100</v>
      </c>
      <c r="X40" s="1455"/>
      <c r="Y40" s="3707"/>
      <c r="Z40" s="1463">
        <f t="shared" si="13"/>
        <v>111</v>
      </c>
      <c r="AA40" s="1464">
        <f t="shared" si="3"/>
        <v>1</v>
      </c>
      <c r="AB40" s="1464">
        <f t="shared" si="4"/>
        <v>1</v>
      </c>
      <c r="AC40" s="1464">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6"/>
      <c r="M41" s="1968"/>
      <c r="N41" s="1968"/>
      <c r="O41" s="1975"/>
      <c r="P41" s="3707"/>
      <c r="Q41" s="1460">
        <f t="shared" si="14"/>
        <v>111</v>
      </c>
      <c r="R41" s="1461" t="s">
        <v>8</v>
      </c>
      <c r="S41" s="1462">
        <f t="shared" si="10"/>
        <v>100</v>
      </c>
      <c r="T41" s="1461" t="s">
        <v>8</v>
      </c>
      <c r="U41" s="1462">
        <f t="shared" si="11"/>
        <v>100</v>
      </c>
      <c r="V41" s="1461" t="s">
        <v>8</v>
      </c>
      <c r="W41" s="1462">
        <f t="shared" si="12"/>
        <v>100</v>
      </c>
      <c r="X41" s="1455"/>
      <c r="Y41" s="3707"/>
      <c r="Z41" s="1463">
        <f t="shared" si="13"/>
        <v>111</v>
      </c>
      <c r="AA41" s="1464">
        <f t="shared" si="3"/>
        <v>1</v>
      </c>
      <c r="AB41" s="1464">
        <f t="shared" si="4"/>
        <v>1</v>
      </c>
      <c r="AC41" s="1464">
        <f t="shared" si="5"/>
        <v>1</v>
      </c>
    </row>
    <row r="42" spans="1:29" s="1247"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4"/>
      <c r="M42" s="2004"/>
      <c r="N42" s="2004"/>
      <c r="O42" s="1977"/>
      <c r="P42" s="3707"/>
      <c r="Q42" s="1460">
        <f t="shared" si="14"/>
        <v>111</v>
      </c>
      <c r="R42" s="1465" t="s">
        <v>8</v>
      </c>
      <c r="S42" s="1466">
        <f t="shared" si="10"/>
        <v>100</v>
      </c>
      <c r="T42" s="1465" t="s">
        <v>8</v>
      </c>
      <c r="U42" s="1466">
        <f t="shared" si="11"/>
        <v>100</v>
      </c>
      <c r="V42" s="1465" t="s">
        <v>8</v>
      </c>
      <c r="W42" s="1466">
        <f t="shared" si="12"/>
        <v>100</v>
      </c>
      <c r="X42" s="1467"/>
      <c r="Y42" s="3707"/>
      <c r="Z42" s="1468">
        <f t="shared" si="13"/>
        <v>111</v>
      </c>
      <c r="AA42" s="1464">
        <f t="shared" si="3"/>
        <v>1</v>
      </c>
      <c r="AB42" s="1464">
        <f t="shared" si="4"/>
        <v>1</v>
      </c>
      <c r="AC42" s="1464">
        <f t="shared" si="5"/>
        <v>1</v>
      </c>
    </row>
    <row r="43" spans="1:29" ht="15">
      <c r="A43" s="584" t="s">
        <v>539</v>
      </c>
      <c r="B43" s="585" t="s">
        <v>2635</v>
      </c>
      <c r="C43" s="586" t="s">
        <v>1</v>
      </c>
      <c r="D43" s="587"/>
      <c r="E43" s="588"/>
      <c r="F43" s="589"/>
      <c r="G43" s="590"/>
      <c r="H43" s="591"/>
      <c r="I43" s="588"/>
      <c r="J43" s="591"/>
      <c r="K43" s="1248"/>
      <c r="L43" s="1978"/>
      <c r="M43" s="1968"/>
      <c r="N43" s="1968"/>
      <c r="O43" s="1979"/>
      <c r="P43" s="3671" t="str">
        <f>A43</f>
        <v>成交单价</v>
      </c>
      <c r="Q43" s="3671"/>
      <c r="R43" s="3672">
        <f>E43</f>
        <v>0</v>
      </c>
      <c r="S43" s="3672"/>
      <c r="T43" s="3672">
        <f>G43</f>
        <v>0</v>
      </c>
      <c r="U43" s="3672"/>
      <c r="V43" s="3672">
        <f>I43</f>
        <v>0</v>
      </c>
      <c r="W43" s="3672"/>
      <c r="X43" s="1450"/>
      <c r="Y43" s="1469"/>
      <c r="Z43" s="1450"/>
      <c r="AA43" s="1450"/>
      <c r="AB43" s="1450"/>
      <c r="AC43" s="1450"/>
    </row>
    <row r="44" spans="1:29" ht="15.75" thickBot="1">
      <c r="A44" s="592" t="s">
        <v>2409</v>
      </c>
      <c r="B44" s="593"/>
      <c r="C44" s="594" t="e">
        <f>R45</f>
        <v>#DIV/0!</v>
      </c>
      <c r="D44" s="2919" t="s">
        <v>2701</v>
      </c>
      <c r="E44" s="594" t="e">
        <f>R44</f>
        <v>#DIV/0!</v>
      </c>
      <c r="F44" s="2920"/>
      <c r="G44" s="595" t="e">
        <f>T44</f>
        <v>#DIV/0!</v>
      </c>
      <c r="H44" s="2920"/>
      <c r="I44" s="594" t="e">
        <f>V44</f>
        <v>#DIV/0!</v>
      </c>
      <c r="J44" s="2920"/>
      <c r="K44" s="2921">
        <f>F44+H44+J44</f>
        <v>0</v>
      </c>
      <c r="L44" s="1978"/>
      <c r="M44" s="1968"/>
      <c r="N44" s="1968"/>
      <c r="O44" s="1979"/>
      <c r="P44" s="3671" t="str">
        <f>A44</f>
        <v>比较价格（元/平方米）</v>
      </c>
      <c r="Q44" s="3671"/>
      <c r="R44" s="3673" t="e">
        <f>ROUND(PRODUCT(R43,AA9:AA42),0)</f>
        <v>#DIV/0!</v>
      </c>
      <c r="S44" s="3673"/>
      <c r="T44" s="3673" t="e">
        <f>ROUND(PRODUCT(T43,AB9:AB42),0)</f>
        <v>#DIV/0!</v>
      </c>
      <c r="U44" s="3673"/>
      <c r="V44" s="3673" t="e">
        <f>ROUND(PRODUCT(V43,AC9:AC42),0)</f>
        <v>#DIV/0!</v>
      </c>
      <c r="W44" s="3673"/>
      <c r="X44" s="1450"/>
      <c r="Y44" s="1450"/>
      <c r="Z44" s="1450"/>
      <c r="AA44" s="1450"/>
      <c r="AB44" s="1450"/>
      <c r="AC44" s="1450"/>
    </row>
    <row r="45" spans="1:29" ht="15.75" thickBot="1">
      <c r="A45" s="596" t="s">
        <v>2636</v>
      </c>
      <c r="B45" s="597"/>
      <c r="C45" s="598" t="e">
        <f>R45</f>
        <v>#DIV/0!</v>
      </c>
      <c r="D45" s="598"/>
      <c r="E45" s="598"/>
      <c r="F45" s="598"/>
      <c r="G45" s="598"/>
      <c r="H45" s="598"/>
      <c r="I45" s="598"/>
      <c r="J45" s="598"/>
      <c r="K45" s="1249"/>
      <c r="L45" s="1978"/>
      <c r="M45" s="1968"/>
      <c r="N45" s="1968"/>
      <c r="O45" s="1979"/>
      <c r="P45" s="3708" t="str">
        <f>A45</f>
        <v>估价对象XX用房的比较价格（楼面单价，元/平方米）</v>
      </c>
      <c r="Q45" s="3709"/>
      <c r="R45" s="3724" t="e">
        <f>ROUND(IF(D44="简单平均",AVERAGE(R44:W44),R44*F44+T44*H44+V44*J44),0)</f>
        <v>#DIV/0!</v>
      </c>
      <c r="S45" s="3724"/>
      <c r="T45" s="3724"/>
      <c r="U45" s="3724"/>
      <c r="V45" s="3724"/>
      <c r="W45" s="3724"/>
      <c r="X45" s="1450"/>
      <c r="Y45" s="1450"/>
      <c r="Z45" s="1450"/>
      <c r="AA45" s="1450"/>
      <c r="AB45" s="1450"/>
      <c r="AC45" s="1450"/>
    </row>
    <row r="46" spans="1:29">
      <c r="A46" s="3119"/>
      <c r="B46" s="3119"/>
      <c r="C46" s="3119"/>
      <c r="D46" s="3119"/>
      <c r="E46" s="3119"/>
      <c r="F46" s="3119"/>
      <c r="G46" s="3121"/>
      <c r="H46" s="3119"/>
      <c r="I46" s="3119"/>
      <c r="J46" s="3119"/>
      <c r="K46" s="3122"/>
      <c r="L46" s="1983"/>
      <c r="M46" s="1968"/>
      <c r="N46" s="1968"/>
      <c r="O46" s="1979"/>
      <c r="P46" s="1979"/>
      <c r="Q46" s="1979"/>
      <c r="R46" s="1979"/>
      <c r="S46" s="1979"/>
      <c r="T46" s="1979"/>
      <c r="U46" s="1979"/>
      <c r="V46" s="1979"/>
      <c r="W46" s="1979"/>
      <c r="X46" s="1979"/>
      <c r="Y46" s="1979"/>
      <c r="Z46" s="1979"/>
      <c r="AA46" s="1979"/>
      <c r="AB46" s="1979"/>
      <c r="AC46" s="1979"/>
    </row>
    <row r="47" spans="1:29">
      <c r="A47" s="3119"/>
      <c r="B47" s="3119"/>
      <c r="C47" s="3119"/>
      <c r="D47" s="3119"/>
      <c r="E47" s="3119"/>
      <c r="F47" s="3119"/>
      <c r="G47" s="3119"/>
      <c r="H47" s="3119"/>
      <c r="I47" s="3119"/>
      <c r="J47" s="3119"/>
      <c r="K47" s="3122"/>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19"/>
      <c r="B48" s="3119"/>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2"/>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19"/>
      <c r="B49" s="3119"/>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2"/>
      <c r="L49" s="1983"/>
      <c r="M49" s="1979"/>
      <c r="N49" s="1979"/>
      <c r="O49" s="1979"/>
      <c r="P49" s="1979"/>
      <c r="Q49" s="1979"/>
      <c r="R49" s="1979"/>
      <c r="S49" s="1979"/>
      <c r="T49" s="1979"/>
      <c r="U49" s="1979"/>
      <c r="V49" s="1979"/>
      <c r="W49" s="1979"/>
      <c r="X49" s="1979"/>
      <c r="Y49" s="1979"/>
      <c r="Z49" s="1979"/>
      <c r="AA49" s="1979"/>
      <c r="AB49" s="1979"/>
      <c r="AC49" s="1979"/>
    </row>
    <row r="50" spans="1:29" s="1252" customFormat="1" ht="13.5" customHeight="1">
      <c r="A50" s="3120"/>
      <c r="B50" s="3120"/>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3"/>
      <c r="L50" s="1986"/>
      <c r="M50" s="1980"/>
      <c r="N50" s="1980"/>
      <c r="O50" s="1980"/>
      <c r="P50" s="1980"/>
      <c r="Q50" s="1980"/>
      <c r="R50" s="1980"/>
      <c r="S50" s="1980"/>
      <c r="T50" s="1980"/>
      <c r="U50" s="1980"/>
      <c r="V50" s="1980"/>
      <c r="W50" s="1980"/>
      <c r="X50" s="1980"/>
      <c r="Y50" s="1980"/>
      <c r="Z50" s="1980"/>
      <c r="AA50" s="1980"/>
      <c r="AB50" s="1980"/>
      <c r="AC50" s="1980"/>
    </row>
    <row r="51" spans="1:29" s="1252" customFormat="1" ht="15" thickBot="1">
      <c r="A51" s="3120"/>
      <c r="B51" s="3131"/>
      <c r="C51" s="1984"/>
      <c r="D51" s="1980"/>
      <c r="E51" s="1980"/>
      <c r="F51" s="1980"/>
      <c r="G51" s="1980"/>
      <c r="H51" s="1980"/>
      <c r="I51" s="1980"/>
      <c r="J51" s="1980"/>
      <c r="K51" s="3123"/>
      <c r="L51" s="1986"/>
      <c r="M51" s="1980"/>
      <c r="N51" s="1980"/>
      <c r="O51" s="1980"/>
      <c r="P51" s="1980"/>
      <c r="Q51" s="1980"/>
      <c r="R51" s="1980"/>
      <c r="S51" s="1980"/>
      <c r="T51" s="1980"/>
      <c r="U51" s="1980"/>
      <c r="V51" s="1980"/>
      <c r="W51" s="1980"/>
      <c r="X51" s="1980"/>
      <c r="Y51" s="1980"/>
      <c r="Z51" s="1980"/>
      <c r="AA51" s="1980"/>
      <c r="AB51" s="1980"/>
      <c r="AC51" s="1980"/>
    </row>
    <row r="52" spans="1:29" ht="27">
      <c r="A52" s="604" t="s">
        <v>543</v>
      </c>
      <c r="B52" s="605" t="s">
        <v>544</v>
      </c>
      <c r="C52" s="1451" t="s">
        <v>1523</v>
      </c>
      <c r="D52" s="2059" t="s">
        <v>2082</v>
      </c>
      <c r="E52" s="606" t="s">
        <v>545</v>
      </c>
      <c r="F52" s="1818" t="s">
        <v>546</v>
      </c>
      <c r="G52" s="3720" t="s">
        <v>2074</v>
      </c>
      <c r="H52" s="3721"/>
      <c r="I52" s="1819" t="s">
        <v>1736</v>
      </c>
      <c r="J52" s="1447">
        <f>项目基本情况!F41</f>
        <v>0</v>
      </c>
      <c r="K52" s="1987" t="s">
        <v>1522</v>
      </c>
      <c r="L52" s="1983"/>
      <c r="M52" s="1979"/>
      <c r="N52" s="1979"/>
      <c r="O52" s="1979"/>
      <c r="P52" s="1979"/>
      <c r="Q52" s="1979"/>
      <c r="R52" s="1979"/>
      <c r="S52" s="1979"/>
      <c r="T52" s="1979"/>
      <c r="U52" s="1979"/>
      <c r="V52" s="1979"/>
      <c r="W52" s="1979"/>
      <c r="X52" s="1979"/>
      <c r="Y52" s="1979"/>
      <c r="Z52" s="1979"/>
      <c r="AA52" s="1979"/>
      <c r="AB52" s="1979"/>
      <c r="AC52" s="1979"/>
    </row>
    <row r="53" spans="1:29" s="1253" customFormat="1" ht="12.75">
      <c r="A53" s="608" t="s">
        <v>547</v>
      </c>
      <c r="B53" s="609" t="e">
        <f>C45</f>
        <v>#DIV/0!</v>
      </c>
      <c r="C53" s="610">
        <v>1</v>
      </c>
      <c r="D53" s="2060">
        <v>1</v>
      </c>
      <c r="E53" s="610">
        <f>'数据-汇总表'!E8+'数据-汇总表'!E9</f>
        <v>126110.45999999999</v>
      </c>
      <c r="F53" s="1817" t="e">
        <f t="shared" ref="F53:F61" si="15">ROUND(B53*E53/10000,0)</f>
        <v>#DIV/0!</v>
      </c>
      <c r="G53" s="3722"/>
      <c r="H53" s="3723"/>
      <c r="I53" s="1820">
        <v>1</v>
      </c>
      <c r="J53" s="1448">
        <v>1</v>
      </c>
      <c r="K53" s="3124"/>
      <c r="L53" s="1988"/>
      <c r="M53" s="1988"/>
      <c r="N53" s="1988"/>
      <c r="O53" s="1988"/>
      <c r="P53" s="1988"/>
      <c r="Q53" s="1988"/>
      <c r="R53" s="1988"/>
      <c r="S53" s="1988"/>
      <c r="T53" s="1988"/>
      <c r="U53" s="1988"/>
      <c r="V53" s="1988"/>
      <c r="W53" s="1988"/>
      <c r="X53" s="1988"/>
      <c r="Y53" s="1988"/>
      <c r="Z53" s="1988"/>
      <c r="AA53" s="1988"/>
      <c r="AB53" s="1988"/>
      <c r="AC53" s="1988"/>
    </row>
    <row r="54" spans="1:29" s="1253" customFormat="1" ht="12.75">
      <c r="A54" s="612" t="s">
        <v>548</v>
      </c>
      <c r="B54" s="613" t="e">
        <f>ROUND($C$45*C54*D54,0)</f>
        <v>#DIV/0!</v>
      </c>
      <c r="C54" s="372">
        <f t="shared" ref="C54:C61" si="16">IF($C$52="北京市系数",I54,J54)</f>
        <v>0</v>
      </c>
      <c r="D54" s="2061">
        <v>0.25</v>
      </c>
      <c r="E54" s="614"/>
      <c r="F54" s="1817" t="e">
        <f t="shared" si="15"/>
        <v>#DIV/0!</v>
      </c>
      <c r="G54" s="3442" t="s">
        <v>2075</v>
      </c>
      <c r="H54" s="1821">
        <f>项目基本情况!B43</f>
        <v>0</v>
      </c>
      <c r="I54" s="1820">
        <f>SUMIF(修正!$A$57:$A$68,H54,修正!B57:B68)</f>
        <v>0</v>
      </c>
      <c r="J54" s="1449"/>
      <c r="K54" s="3124"/>
      <c r="L54" s="1988"/>
      <c r="M54" s="1988"/>
      <c r="N54" s="1988"/>
      <c r="O54" s="1988"/>
      <c r="P54" s="1988"/>
      <c r="Q54" s="1988"/>
      <c r="R54" s="1988"/>
      <c r="S54" s="1988"/>
      <c r="T54" s="1988"/>
      <c r="U54" s="1988"/>
      <c r="V54" s="1988"/>
      <c r="W54" s="1988"/>
      <c r="X54" s="1988"/>
      <c r="Y54" s="1988"/>
      <c r="Z54" s="1988"/>
      <c r="AA54" s="1988"/>
      <c r="AB54" s="1988"/>
      <c r="AC54" s="1988"/>
    </row>
    <row r="55" spans="1:29" s="1253" customFormat="1" ht="12.75">
      <c r="A55" s="612" t="s">
        <v>549</v>
      </c>
      <c r="B55" s="613" t="e">
        <f t="shared" ref="B55:B61" si="17">ROUND($C$45*C55*D55,0)</f>
        <v>#DIV/0!</v>
      </c>
      <c r="C55" s="372">
        <f t="shared" si="16"/>
        <v>0</v>
      </c>
      <c r="D55" s="2061">
        <v>0.25</v>
      </c>
      <c r="E55" s="614"/>
      <c r="F55" s="1817" t="e">
        <f t="shared" si="15"/>
        <v>#DIV/0!</v>
      </c>
      <c r="G55" s="3443"/>
      <c r="H55" s="1822">
        <f>项目基本情况!B43</f>
        <v>0</v>
      </c>
      <c r="I55" s="1820">
        <f>SUMIF(修正!$A$57:$A$68,H55,修正!C57:C68)</f>
        <v>0</v>
      </c>
      <c r="J55" s="1449"/>
      <c r="K55" s="3124"/>
      <c r="L55" s="1988"/>
      <c r="M55" s="1988"/>
      <c r="N55" s="1988"/>
      <c r="O55" s="1988"/>
      <c r="P55" s="1988"/>
      <c r="Q55" s="1988"/>
      <c r="R55" s="1988"/>
      <c r="S55" s="1988"/>
      <c r="T55" s="1988"/>
      <c r="U55" s="1988"/>
      <c r="V55" s="1988"/>
      <c r="W55" s="1988"/>
      <c r="X55" s="1988"/>
      <c r="Y55" s="1988"/>
      <c r="Z55" s="1988"/>
      <c r="AA55" s="1988"/>
      <c r="AB55" s="1988"/>
      <c r="AC55" s="1988"/>
    </row>
    <row r="56" spans="1:29" s="1253" customFormat="1" ht="12.75">
      <c r="A56" s="612" t="s">
        <v>550</v>
      </c>
      <c r="B56" s="613" t="e">
        <f t="shared" si="17"/>
        <v>#DIV/0!</v>
      </c>
      <c r="C56" s="372">
        <f t="shared" si="16"/>
        <v>0</v>
      </c>
      <c r="D56" s="2061">
        <v>0.25</v>
      </c>
      <c r="E56" s="614"/>
      <c r="F56" s="1817" t="e">
        <f t="shared" si="15"/>
        <v>#DIV/0!</v>
      </c>
      <c r="G56" s="3443"/>
      <c r="H56" s="1822">
        <f>项目基本情况!B43</f>
        <v>0</v>
      </c>
      <c r="I56" s="1820">
        <f>SUMIF(修正!$A$57:$A$68,H56,修正!D57:D68)</f>
        <v>0</v>
      </c>
      <c r="J56" s="1449"/>
      <c r="K56" s="3124"/>
      <c r="L56" s="1988"/>
      <c r="M56" s="1988"/>
      <c r="N56" s="1988"/>
      <c r="O56" s="1988"/>
      <c r="P56" s="1988"/>
      <c r="Q56" s="1988"/>
      <c r="R56" s="1988"/>
      <c r="S56" s="1988"/>
      <c r="T56" s="1988"/>
      <c r="U56" s="1988"/>
      <c r="V56" s="1988"/>
      <c r="W56" s="1988"/>
      <c r="X56" s="1988"/>
      <c r="Y56" s="1988"/>
      <c r="Z56" s="1988"/>
      <c r="AA56" s="1988"/>
      <c r="AB56" s="1988"/>
      <c r="AC56" s="1988"/>
    </row>
    <row r="57" spans="1:29" s="1253" customFormat="1" ht="12.75">
      <c r="A57" s="2163" t="s">
        <v>2117</v>
      </c>
      <c r="B57" s="613" t="e">
        <f t="shared" si="17"/>
        <v>#DIV/0!</v>
      </c>
      <c r="C57" s="372">
        <f t="shared" si="16"/>
        <v>0</v>
      </c>
      <c r="D57" s="2061">
        <v>0.25</v>
      </c>
      <c r="E57" s="616">
        <f>'数据-汇总表'!E11</f>
        <v>0</v>
      </c>
      <c r="F57" s="1817" t="e">
        <f t="shared" si="15"/>
        <v>#DIV/0!</v>
      </c>
      <c r="G57" s="1823" t="s">
        <v>2076</v>
      </c>
      <c r="H57" s="1822">
        <f>项目基本情况!C43</f>
        <v>0</v>
      </c>
      <c r="I57" s="1820">
        <f>SUMIF(修正!$A$57:$A$68,H57,修正!E57:E68)</f>
        <v>0</v>
      </c>
      <c r="J57" s="1449"/>
      <c r="K57" s="3124"/>
      <c r="L57" s="1988"/>
      <c r="M57" s="1988"/>
      <c r="N57" s="1988"/>
      <c r="O57" s="1988"/>
      <c r="P57" s="1988"/>
      <c r="Q57" s="1988"/>
      <c r="R57" s="1988"/>
      <c r="S57" s="1988"/>
      <c r="T57" s="1988"/>
      <c r="U57" s="1988"/>
      <c r="V57" s="1988"/>
      <c r="W57" s="1988"/>
      <c r="X57" s="1988"/>
      <c r="Y57" s="1988"/>
      <c r="Z57" s="1988"/>
      <c r="AA57" s="1988"/>
      <c r="AB57" s="1988"/>
      <c r="AC57" s="1988"/>
    </row>
    <row r="58" spans="1:29" s="1253" customFormat="1" ht="12.75">
      <c r="A58" s="612" t="s">
        <v>551</v>
      </c>
      <c r="B58" s="613" t="e">
        <f t="shared" si="17"/>
        <v>#DIV/0!</v>
      </c>
      <c r="C58" s="372">
        <f t="shared" si="16"/>
        <v>0</v>
      </c>
      <c r="D58" s="2061">
        <v>0.25</v>
      </c>
      <c r="E58" s="616">
        <f>'数据-汇总表'!E12</f>
        <v>0</v>
      </c>
      <c r="F58" s="1817" t="e">
        <f t="shared" si="15"/>
        <v>#DIV/0!</v>
      </c>
      <c r="G58" s="1813" t="s">
        <v>1476</v>
      </c>
      <c r="H58" s="1821">
        <f>IF(G58="商业",项目基本情况!B43,IF(G58="办公",项目基本情况!C43,IF(G58="住宅",项目基本情况!D43,项目基本情况!E43)))</f>
        <v>0</v>
      </c>
      <c r="I58" s="1820">
        <f>SUMIF(修正!$A$57:$A$68,H58,修正!F57:F68)</f>
        <v>0</v>
      </c>
      <c r="J58" s="1449"/>
      <c r="K58" s="3124"/>
      <c r="L58" s="1988"/>
      <c r="M58" s="1988"/>
      <c r="N58" s="1988"/>
      <c r="O58" s="1988"/>
      <c r="P58" s="1988"/>
      <c r="Q58" s="1988"/>
      <c r="R58" s="1988"/>
      <c r="S58" s="1988"/>
      <c r="T58" s="1988"/>
      <c r="U58" s="1988"/>
      <c r="V58" s="1988"/>
      <c r="W58" s="1988"/>
      <c r="X58" s="1988"/>
      <c r="Y58" s="1988"/>
      <c r="Z58" s="1988"/>
      <c r="AA58" s="1988"/>
      <c r="AB58" s="1988"/>
      <c r="AC58" s="1988"/>
    </row>
    <row r="59" spans="1:29" s="1253" customFormat="1" ht="12.75">
      <c r="A59" s="612" t="s">
        <v>552</v>
      </c>
      <c r="B59" s="613" t="e">
        <f t="shared" si="17"/>
        <v>#DIV/0!</v>
      </c>
      <c r="C59" s="372">
        <f t="shared" si="16"/>
        <v>0</v>
      </c>
      <c r="D59" s="2061">
        <v>0.25</v>
      </c>
      <c r="E59" s="616">
        <f>'数据-汇总表'!E13</f>
        <v>52253.13</v>
      </c>
      <c r="F59" s="1817" t="e">
        <f t="shared" si="15"/>
        <v>#DIV/0!</v>
      </c>
      <c r="G59" s="1813" t="s">
        <v>901</v>
      </c>
      <c r="H59" s="1821">
        <f>IF(G59="商业",项目基本情况!B43,IF(G59="办公",项目基本情况!C43,IF(G59="住宅",项目基本情况!D43,项目基本情况!E43)))</f>
        <v>0</v>
      </c>
      <c r="I59" s="1820">
        <f>SUMIF(修正!$A$57:$A$68,H59,修正!G57:G68)</f>
        <v>0</v>
      </c>
      <c r="J59" s="1449"/>
      <c r="K59" s="3124"/>
      <c r="L59" s="1988"/>
      <c r="M59" s="1988"/>
      <c r="N59" s="1988"/>
      <c r="O59" s="1988"/>
      <c r="P59" s="1988"/>
      <c r="Q59" s="1988"/>
      <c r="R59" s="1988"/>
      <c r="S59" s="1988"/>
      <c r="T59" s="1988"/>
      <c r="U59" s="1988"/>
      <c r="V59" s="1988"/>
      <c r="W59" s="1988"/>
      <c r="X59" s="1988"/>
      <c r="Y59" s="1988"/>
      <c r="Z59" s="1988"/>
      <c r="AA59" s="1988"/>
      <c r="AB59" s="1988"/>
      <c r="AC59" s="1988"/>
    </row>
    <row r="60" spans="1:29" s="1253" customFormat="1" ht="12.75">
      <c r="A60" s="612" t="s">
        <v>553</v>
      </c>
      <c r="B60" s="613" t="e">
        <f t="shared" si="17"/>
        <v>#DIV/0!</v>
      </c>
      <c r="C60" s="372">
        <f t="shared" si="16"/>
        <v>0</v>
      </c>
      <c r="D60" s="2061">
        <v>0.25</v>
      </c>
      <c r="E60" s="616">
        <f>'数据-汇总表'!E14</f>
        <v>0</v>
      </c>
      <c r="F60" s="1817" t="e">
        <f t="shared" si="15"/>
        <v>#DIV/0!</v>
      </c>
      <c r="G60" s="1823" t="s">
        <v>2075</v>
      </c>
      <c r="H60" s="1822">
        <f>项目基本情况!B43</f>
        <v>0</v>
      </c>
      <c r="I60" s="1820">
        <f>SUMIF(修正!$A$57:$A$68,H60,修正!G57:G68)</f>
        <v>0</v>
      </c>
      <c r="J60" s="1449"/>
      <c r="K60" s="3124"/>
      <c r="L60" s="1988"/>
      <c r="M60" s="1988"/>
      <c r="N60" s="1988"/>
      <c r="O60" s="1988"/>
      <c r="P60" s="1988"/>
      <c r="Q60" s="1988"/>
      <c r="R60" s="1988"/>
      <c r="S60" s="1988"/>
      <c r="T60" s="1988"/>
      <c r="U60" s="1988"/>
      <c r="V60" s="1988"/>
      <c r="W60" s="1988"/>
      <c r="X60" s="1988"/>
      <c r="Y60" s="1988"/>
      <c r="Z60" s="1988"/>
      <c r="AA60" s="1988"/>
      <c r="AB60" s="1988"/>
      <c r="AC60" s="1988"/>
    </row>
    <row r="61" spans="1:29" s="1253" customFormat="1" ht="13.5" thickBot="1">
      <c r="A61" s="612" t="s">
        <v>554</v>
      </c>
      <c r="B61" s="613" t="e">
        <f t="shared" si="17"/>
        <v>#DIV/0!</v>
      </c>
      <c r="C61" s="372">
        <f t="shared" si="16"/>
        <v>0</v>
      </c>
      <c r="D61" s="2061">
        <v>0.25</v>
      </c>
      <c r="E61" s="616">
        <f>'数据-汇总表'!E15</f>
        <v>0</v>
      </c>
      <c r="F61" s="1817" t="e">
        <f t="shared" si="15"/>
        <v>#DIV/0!</v>
      </c>
      <c r="G61" s="1824" t="s">
        <v>2076</v>
      </c>
      <c r="H61" s="1825">
        <f>项目基本情况!C43</f>
        <v>0</v>
      </c>
      <c r="I61" s="1820">
        <f>SUMIF(修正!$A$57:$A$68,H61,修正!G57:G68)</f>
        <v>0</v>
      </c>
      <c r="J61" s="1449"/>
      <c r="K61" s="3124"/>
      <c r="L61" s="1988"/>
      <c r="M61" s="1988"/>
      <c r="N61" s="1988"/>
      <c r="O61" s="1988"/>
      <c r="P61" s="1988"/>
      <c r="Q61" s="1988"/>
      <c r="R61" s="1988"/>
      <c r="S61" s="1988"/>
      <c r="T61" s="1988"/>
      <c r="U61" s="1988"/>
      <c r="V61" s="1988"/>
      <c r="W61" s="1988"/>
      <c r="X61" s="1988"/>
      <c r="Y61" s="1988"/>
      <c r="Z61" s="1988"/>
      <c r="AA61" s="1988"/>
      <c r="AB61" s="1988"/>
      <c r="AC61" s="1988"/>
    </row>
    <row r="62" spans="1:29" s="1253" customFormat="1" ht="13.5" thickBot="1">
      <c r="A62" s="617" t="s">
        <v>555</v>
      </c>
      <c r="B62" s="618" t="s">
        <v>17</v>
      </c>
      <c r="C62" s="618" t="s">
        <v>18</v>
      </c>
      <c r="D62" s="618" t="s">
        <v>2083</v>
      </c>
      <c r="E62" s="618">
        <f>IF(B43="楼面地价",SUM(E53:E61),'数据-汇总表'!D3)</f>
        <v>23308.880000000001</v>
      </c>
      <c r="F62" s="619" t="e">
        <f>IF(B43="楼面地价",SUM(F53:F61),ROUND(C45*E62/10000,0))</f>
        <v>#DIV/0!</v>
      </c>
      <c r="G62" s="1989"/>
      <c r="H62" s="1989"/>
      <c r="I62" s="1989"/>
      <c r="J62" s="1989"/>
      <c r="K62" s="3132"/>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37" t="str">
        <f>YEAR(C9)&amp;"-"&amp;MONTH(C9)&amp;"-1"</f>
        <v>2022-11-1</v>
      </c>
      <c r="D64" s="2436">
        <f>EDATE(C64,-3)</f>
        <v>44774</v>
      </c>
      <c r="E64" s="2436">
        <f t="shared" ref="E64:N64" si="18">EDATE(D64,-3)</f>
        <v>44682</v>
      </c>
      <c r="F64" s="2436">
        <f t="shared" si="18"/>
        <v>44593</v>
      </c>
      <c r="G64" s="2436">
        <f t="shared" si="18"/>
        <v>44501</v>
      </c>
      <c r="H64" s="2436">
        <f t="shared" si="18"/>
        <v>44409</v>
      </c>
      <c r="I64" s="2436">
        <f t="shared" si="18"/>
        <v>44317</v>
      </c>
      <c r="J64" s="2436">
        <f t="shared" si="18"/>
        <v>44228</v>
      </c>
      <c r="K64" s="2436">
        <f t="shared" si="18"/>
        <v>44136</v>
      </c>
      <c r="L64" s="2436">
        <f t="shared" si="18"/>
        <v>44044</v>
      </c>
      <c r="M64" s="2436">
        <f t="shared" si="18"/>
        <v>43952</v>
      </c>
      <c r="N64" s="2436">
        <f t="shared" si="18"/>
        <v>43862</v>
      </c>
      <c r="O64" s="1979"/>
      <c r="P64" s="1979"/>
      <c r="Q64" s="1979"/>
      <c r="R64" s="1979"/>
      <c r="S64" s="1979"/>
      <c r="T64" s="1979"/>
      <c r="U64" s="1979"/>
      <c r="V64" s="1979"/>
      <c r="W64" s="1979"/>
      <c r="X64" s="1979"/>
      <c r="Y64" s="1979"/>
      <c r="Z64" s="1979"/>
      <c r="AA64" s="1979"/>
      <c r="AB64" s="1979"/>
      <c r="AC64" s="1979"/>
    </row>
    <row r="65" spans="1:29" ht="21.75" thickBot="1">
      <c r="A65" s="1472" t="s">
        <v>556</v>
      </c>
      <c r="B65" s="1450"/>
      <c r="C65" s="1471"/>
      <c r="D65" s="1471"/>
      <c r="E65" s="1471"/>
      <c r="F65" s="1473"/>
      <c r="G65" s="1473"/>
      <c r="H65" s="1471"/>
      <c r="I65" s="1471"/>
      <c r="J65" s="1471"/>
      <c r="K65" s="1474"/>
      <c r="L65" s="1470"/>
      <c r="M65" s="1471"/>
      <c r="N65" s="1471"/>
      <c r="O65" s="1990"/>
      <c r="P65" s="1990"/>
      <c r="Q65" s="1991"/>
      <c r="R65" s="1979"/>
      <c r="S65" s="1979"/>
      <c r="T65" s="1979"/>
      <c r="U65" s="1979"/>
      <c r="V65" s="1979"/>
      <c r="W65" s="1979"/>
      <c r="X65" s="1979"/>
      <c r="Y65" s="1979"/>
      <c r="Z65" s="1979"/>
      <c r="AA65" s="1979"/>
      <c r="AB65" s="1979"/>
      <c r="AC65" s="1979"/>
    </row>
    <row r="66" spans="1:29" s="1254" customFormat="1" ht="15">
      <c r="A66" s="2341" t="s">
        <v>2250</v>
      </c>
      <c r="B66" s="621"/>
      <c r="C66" s="2433" t="str">
        <f>YEAR(C64)&amp;"-"&amp;ROUNDUP(MONTH(C64)/3,0)</f>
        <v>2022-4</v>
      </c>
      <c r="D66" s="2438" t="str">
        <f t="shared" ref="D66:N66" si="19">YEAR(D64)&amp;"-"&amp;ROUNDUP(MONTH(D64)/3,0)</f>
        <v>2022-3</v>
      </c>
      <c r="E66" s="2438" t="str">
        <f t="shared" si="19"/>
        <v>2022-2</v>
      </c>
      <c r="F66" s="2438" t="str">
        <f t="shared" si="19"/>
        <v>2022-1</v>
      </c>
      <c r="G66" s="2438" t="str">
        <f t="shared" si="19"/>
        <v>2021-4</v>
      </c>
      <c r="H66" s="2438" t="str">
        <f t="shared" si="19"/>
        <v>2021-3</v>
      </c>
      <c r="I66" s="2438" t="str">
        <f t="shared" si="19"/>
        <v>2021-2</v>
      </c>
      <c r="J66" s="2438" t="str">
        <f t="shared" si="19"/>
        <v>2021-1</v>
      </c>
      <c r="K66" s="2438" t="str">
        <f t="shared" si="19"/>
        <v>2020-4</v>
      </c>
      <c r="L66" s="2438" t="str">
        <f t="shared" si="19"/>
        <v>2020-3</v>
      </c>
      <c r="M66" s="2438" t="str">
        <f t="shared" si="19"/>
        <v>2020-2</v>
      </c>
      <c r="N66" s="2438" t="str">
        <f t="shared" si="19"/>
        <v>2020-1</v>
      </c>
      <c r="O66" s="1992"/>
      <c r="P66" s="1993"/>
      <c r="Q66" s="1994"/>
      <c r="R66" s="1994"/>
      <c r="S66" s="1994"/>
      <c r="T66" s="1994"/>
      <c r="U66" s="1994"/>
      <c r="V66" s="1994"/>
      <c r="W66" s="1994"/>
      <c r="X66" s="1994"/>
      <c r="Y66" s="1994"/>
      <c r="Z66" s="1994"/>
      <c r="AA66" s="1994"/>
      <c r="AB66" s="1994"/>
      <c r="AC66" s="1994"/>
    </row>
    <row r="67" spans="1:29" s="1165" customFormat="1" ht="27.75" customHeight="1">
      <c r="A67" s="2435" t="s">
        <v>2365</v>
      </c>
      <c r="B67" s="472" t="str">
        <f>"北京市平均增长率"&amp;TEXT(基准地价!P24,"0.00%")</f>
        <v>北京市平均增长率1.10%</v>
      </c>
      <c r="C67" s="864">
        <v>100</v>
      </c>
      <c r="D67" s="705"/>
      <c r="E67" s="705"/>
      <c r="F67" s="705"/>
      <c r="G67" s="705"/>
      <c r="H67" s="705"/>
      <c r="I67" s="705"/>
      <c r="J67" s="705"/>
      <c r="K67" s="705"/>
      <c r="L67" s="705"/>
      <c r="M67" s="2431"/>
      <c r="N67" s="2432"/>
      <c r="O67" s="1995"/>
      <c r="P67" s="1991"/>
      <c r="Q67" s="1857"/>
      <c r="R67" s="1857"/>
      <c r="S67" s="1857"/>
      <c r="T67" s="1857"/>
      <c r="U67" s="1857"/>
      <c r="V67" s="1857"/>
      <c r="W67" s="1857"/>
      <c r="X67" s="1857"/>
      <c r="Y67" s="1857"/>
      <c r="Z67" s="1857"/>
      <c r="AA67" s="1857"/>
      <c r="AB67" s="1857"/>
      <c r="AC67" s="1857"/>
    </row>
    <row r="68" spans="1:29" s="1165" customFormat="1" ht="15.75" thickBot="1">
      <c r="A68" s="628" t="s">
        <v>557</v>
      </c>
      <c r="B68" s="629"/>
      <c r="C68" s="2429"/>
      <c r="D68" s="2430"/>
      <c r="E68" s="2430"/>
      <c r="F68" s="2430"/>
      <c r="G68" s="2430"/>
      <c r="H68" s="2430"/>
      <c r="I68" s="2430"/>
      <c r="J68" s="2430"/>
      <c r="K68" s="2430"/>
      <c r="L68" s="2430"/>
      <c r="M68" s="2430"/>
      <c r="N68" s="2430"/>
      <c r="O68" s="1995"/>
      <c r="P68" s="1991"/>
      <c r="Q68" s="1991"/>
      <c r="R68" s="1857"/>
      <c r="S68" s="1857"/>
      <c r="T68" s="1857"/>
      <c r="U68" s="1857"/>
      <c r="V68" s="1857"/>
      <c r="W68" s="1857"/>
      <c r="X68" s="1857"/>
      <c r="Y68" s="1857"/>
      <c r="Z68" s="1857"/>
      <c r="AA68" s="1857"/>
      <c r="AB68" s="1857"/>
      <c r="AC68" s="1857"/>
    </row>
    <row r="69" spans="1:29" s="1165" customFormat="1" ht="15">
      <c r="A69" s="634" t="s">
        <v>514</v>
      </c>
      <c r="B69" s="623"/>
      <c r="C69" s="635" t="s">
        <v>558</v>
      </c>
      <c r="D69" s="636"/>
      <c r="E69" s="636"/>
      <c r="F69" s="636"/>
      <c r="G69" s="636"/>
      <c r="H69" s="636"/>
      <c r="I69" s="636"/>
      <c r="J69" s="636"/>
      <c r="K69" s="636"/>
      <c r="L69" s="637"/>
      <c r="M69" s="638"/>
      <c r="N69" s="3133"/>
      <c r="O69" s="1995"/>
      <c r="P69" s="1996"/>
      <c r="Q69" s="1991"/>
      <c r="R69" s="1857"/>
      <c r="S69" s="1857"/>
      <c r="T69" s="1857"/>
      <c r="U69" s="1857"/>
      <c r="V69" s="1857"/>
      <c r="W69" s="1857"/>
      <c r="X69" s="1857"/>
      <c r="Y69" s="1857"/>
      <c r="Z69" s="1857"/>
      <c r="AA69" s="1857"/>
      <c r="AB69" s="1857"/>
      <c r="AC69" s="1857"/>
    </row>
    <row r="70" spans="1:29" s="1165" customFormat="1" ht="15.75" thickBot="1">
      <c r="A70" s="634"/>
      <c r="B70" s="623"/>
      <c r="C70" s="624">
        <v>100</v>
      </c>
      <c r="D70" s="625"/>
      <c r="E70" s="625"/>
      <c r="F70" s="625"/>
      <c r="G70" s="625"/>
      <c r="H70" s="625"/>
      <c r="I70" s="625"/>
      <c r="J70" s="625"/>
      <c r="K70" s="625"/>
      <c r="L70" s="625"/>
      <c r="M70" s="627"/>
      <c r="N70" s="3133"/>
      <c r="O70" s="1995"/>
      <c r="P70" s="1991"/>
      <c r="Q70" s="1991"/>
      <c r="R70" s="1857"/>
      <c r="S70" s="1857"/>
      <c r="T70" s="1857"/>
      <c r="U70" s="1857"/>
      <c r="V70" s="1857"/>
      <c r="W70" s="1857"/>
      <c r="X70" s="1857"/>
      <c r="Y70" s="1857"/>
      <c r="Z70" s="1857"/>
      <c r="AA70" s="1857"/>
      <c r="AB70" s="1857"/>
      <c r="AC70" s="1857"/>
    </row>
    <row r="71" spans="1:29">
      <c r="A71" s="639" t="s">
        <v>559</v>
      </c>
      <c r="B71" s="640" t="s">
        <v>517</v>
      </c>
      <c r="C71" s="575"/>
      <c r="D71" s="575"/>
      <c r="E71" s="575"/>
      <c r="F71" s="575"/>
      <c r="G71" s="575"/>
      <c r="H71" s="575"/>
      <c r="I71" s="575"/>
      <c r="J71" s="575"/>
      <c r="K71" s="641"/>
      <c r="L71" s="642"/>
      <c r="M71" s="643"/>
      <c r="N71" s="3134"/>
      <c r="O71" s="1997"/>
      <c r="P71" s="1998"/>
      <c r="Q71" s="1991"/>
      <c r="R71" s="1979"/>
      <c r="S71" s="1979"/>
      <c r="T71" s="1979"/>
      <c r="U71" s="1979"/>
      <c r="V71" s="1979"/>
      <c r="W71" s="1979"/>
      <c r="X71" s="1979"/>
      <c r="Y71" s="1979"/>
      <c r="Z71" s="1979"/>
      <c r="AA71" s="1979"/>
      <c r="AB71" s="1979"/>
      <c r="AC71" s="1979"/>
    </row>
    <row r="72" spans="1:29" ht="15.75" thickBot="1">
      <c r="A72" s="644"/>
      <c r="B72" s="645"/>
      <c r="C72" s="646"/>
      <c r="D72" s="646"/>
      <c r="E72" s="646"/>
      <c r="F72" s="646"/>
      <c r="G72" s="646"/>
      <c r="H72" s="646"/>
      <c r="I72" s="646"/>
      <c r="J72" s="646"/>
      <c r="K72" s="646"/>
      <c r="L72" s="646"/>
      <c r="M72" s="647"/>
      <c r="N72" s="3135"/>
      <c r="O72" s="1999"/>
      <c r="P72" s="1998"/>
      <c r="Q72" s="1991"/>
      <c r="R72" s="1979"/>
      <c r="S72" s="1979"/>
      <c r="T72" s="1979"/>
      <c r="U72" s="1979"/>
      <c r="V72" s="1979"/>
      <c r="W72" s="1979"/>
      <c r="X72" s="1979"/>
      <c r="Y72" s="1979"/>
      <c r="Z72" s="1979"/>
      <c r="AA72" s="1979"/>
      <c r="AB72" s="1979"/>
      <c r="AC72" s="1979"/>
    </row>
    <row r="73" spans="1:29" ht="27.75" thickTop="1">
      <c r="A73" s="644"/>
      <c r="B73" s="648" t="s">
        <v>520</v>
      </c>
      <c r="C73" s="649"/>
      <c r="D73" s="649"/>
      <c r="E73" s="649"/>
      <c r="F73" s="649"/>
      <c r="G73" s="649"/>
      <c r="H73" s="649"/>
      <c r="I73" s="649"/>
      <c r="J73" s="649"/>
      <c r="K73" s="650"/>
      <c r="L73" s="651"/>
      <c r="M73" s="652"/>
      <c r="N73" s="3134"/>
      <c r="O73" s="1997"/>
      <c r="P73" s="1998"/>
      <c r="Q73" s="1991"/>
      <c r="R73" s="1979"/>
      <c r="S73" s="1979"/>
      <c r="T73" s="1979"/>
      <c r="U73" s="1979"/>
      <c r="V73" s="1979"/>
      <c r="W73" s="1979"/>
      <c r="X73" s="1979"/>
      <c r="Y73" s="1979"/>
      <c r="Z73" s="1979"/>
      <c r="AA73" s="1979"/>
      <c r="AB73" s="1979"/>
      <c r="AC73" s="1979"/>
    </row>
    <row r="74" spans="1:29" ht="15.75" thickBot="1">
      <c r="A74" s="644"/>
      <c r="B74" s="653"/>
      <c r="C74" s="654"/>
      <c r="D74" s="654"/>
      <c r="E74" s="654"/>
      <c r="F74" s="654"/>
      <c r="G74" s="654"/>
      <c r="H74" s="654"/>
      <c r="I74" s="654"/>
      <c r="J74" s="654"/>
      <c r="K74" s="654"/>
      <c r="L74" s="654"/>
      <c r="M74" s="655"/>
      <c r="N74" s="3135"/>
      <c r="O74" s="1999"/>
      <c r="P74" s="1998"/>
      <c r="Q74" s="1991"/>
      <c r="R74" s="1979"/>
      <c r="S74" s="1979"/>
      <c r="T74" s="1979"/>
      <c r="U74" s="1979"/>
      <c r="V74" s="1979"/>
      <c r="W74" s="1979"/>
      <c r="X74" s="1979"/>
      <c r="Y74" s="1979"/>
      <c r="Z74" s="1979"/>
      <c r="AA74" s="1979"/>
      <c r="AB74" s="1979"/>
      <c r="AC74" s="1979"/>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5"/>
      <c r="O75" s="1999"/>
      <c r="P75" s="1998"/>
      <c r="Q75" s="1991"/>
      <c r="R75" s="1979"/>
      <c r="S75" s="1979"/>
      <c r="T75" s="1979"/>
      <c r="U75" s="1979"/>
      <c r="V75" s="1979"/>
      <c r="W75" s="1979"/>
      <c r="X75" s="1979"/>
      <c r="Y75" s="1979"/>
      <c r="Z75" s="1979"/>
      <c r="AA75" s="1979"/>
      <c r="AB75" s="1979"/>
      <c r="AC75" s="1979"/>
    </row>
    <row r="76" spans="1:29" ht="15">
      <c r="A76" s="644"/>
      <c r="B76" s="658"/>
      <c r="C76" s="518"/>
      <c r="D76" s="518"/>
      <c r="E76" s="518"/>
      <c r="F76" s="518"/>
      <c r="G76" s="518"/>
      <c r="H76" s="518"/>
      <c r="I76" s="518"/>
      <c r="J76" s="518"/>
      <c r="K76" s="659"/>
      <c r="L76" s="660"/>
      <c r="M76" s="661"/>
      <c r="N76" s="3134"/>
      <c r="O76" s="1997"/>
      <c r="P76" s="1998"/>
      <c r="Q76" s="1991"/>
      <c r="R76" s="1979"/>
      <c r="S76" s="1979"/>
      <c r="T76" s="1979"/>
      <c r="U76" s="1979"/>
      <c r="V76" s="1979"/>
      <c r="W76" s="1979"/>
      <c r="X76" s="1979"/>
      <c r="Y76" s="1979"/>
      <c r="Z76" s="1979"/>
      <c r="AA76" s="1979"/>
      <c r="AB76" s="1979"/>
      <c r="AC76" s="1979"/>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5"/>
      <c r="O77" s="1999"/>
      <c r="P77" s="1998"/>
      <c r="Q77" s="1991"/>
      <c r="R77" s="1979"/>
      <c r="S77" s="1979"/>
      <c r="T77" s="1979"/>
      <c r="U77" s="1979"/>
      <c r="V77" s="1979"/>
      <c r="W77" s="1979"/>
      <c r="X77" s="1979"/>
      <c r="Y77" s="1979"/>
      <c r="Z77" s="1979"/>
      <c r="AA77" s="1979"/>
      <c r="AB77" s="1979"/>
      <c r="AC77" s="1979"/>
    </row>
    <row r="78" spans="1:29" s="1247" customFormat="1" ht="15.75" thickTop="1">
      <c r="A78" s="662"/>
      <c r="B78" s="648">
        <f>B14</f>
        <v>111</v>
      </c>
      <c r="C78" s="663"/>
      <c r="D78" s="663"/>
      <c r="E78" s="663"/>
      <c r="F78" s="663"/>
      <c r="G78" s="663"/>
      <c r="H78" s="664"/>
      <c r="I78" s="664"/>
      <c r="J78" s="664"/>
      <c r="K78" s="664"/>
      <c r="L78" s="665"/>
      <c r="M78" s="666"/>
      <c r="N78" s="3136"/>
      <c r="O78" s="2000"/>
      <c r="P78" s="2001"/>
      <c r="Q78" s="2002"/>
      <c r="R78" s="2003"/>
      <c r="S78" s="2003"/>
      <c r="T78" s="2003"/>
      <c r="U78" s="2003"/>
      <c r="V78" s="2003"/>
      <c r="W78" s="2003"/>
      <c r="X78" s="2003"/>
      <c r="Y78" s="2003"/>
      <c r="Z78" s="2003"/>
      <c r="AA78" s="2003"/>
      <c r="AB78" s="2003"/>
      <c r="AC78" s="2003"/>
    </row>
    <row r="79" spans="1:29" s="1247" customFormat="1" ht="15.75" thickBot="1">
      <c r="A79" s="662"/>
      <c r="B79" s="653"/>
      <c r="C79" s="667"/>
      <c r="D79" s="646"/>
      <c r="E79" s="646"/>
      <c r="F79" s="646"/>
      <c r="G79" s="646"/>
      <c r="H79" s="646"/>
      <c r="I79" s="646"/>
      <c r="J79" s="646"/>
      <c r="K79" s="646"/>
      <c r="L79" s="646"/>
      <c r="M79" s="647"/>
      <c r="N79" s="3135"/>
      <c r="O79" s="1999"/>
      <c r="P79" s="2001"/>
      <c r="Q79" s="2002"/>
      <c r="R79" s="2003"/>
      <c r="S79" s="2003"/>
      <c r="T79" s="2003"/>
      <c r="U79" s="2003"/>
      <c r="V79" s="2003"/>
      <c r="W79" s="2003"/>
      <c r="X79" s="2003"/>
      <c r="Y79" s="2003"/>
      <c r="Z79" s="2003"/>
      <c r="AA79" s="2003"/>
      <c r="AB79" s="2003"/>
      <c r="AC79" s="2003"/>
    </row>
    <row r="80" spans="1:29" s="1247" customFormat="1" ht="15.75" thickTop="1">
      <c r="A80" s="662"/>
      <c r="B80" s="648">
        <f>B15</f>
        <v>111</v>
      </c>
      <c r="C80" s="663"/>
      <c r="D80" s="663"/>
      <c r="E80" s="663"/>
      <c r="F80" s="663"/>
      <c r="G80" s="663"/>
      <c r="H80" s="664"/>
      <c r="I80" s="664"/>
      <c r="J80" s="664"/>
      <c r="K80" s="664"/>
      <c r="L80" s="665"/>
      <c r="M80" s="666"/>
      <c r="N80" s="3136"/>
      <c r="O80" s="2000"/>
      <c r="P80" s="2004"/>
      <c r="Q80" s="2005"/>
      <c r="R80" s="2003"/>
      <c r="S80" s="2003"/>
      <c r="T80" s="2003"/>
      <c r="U80" s="2003"/>
      <c r="V80" s="2003"/>
      <c r="W80" s="2003"/>
      <c r="X80" s="2003"/>
      <c r="Y80" s="2003"/>
      <c r="Z80" s="2003"/>
      <c r="AA80" s="2003"/>
      <c r="AB80" s="2003"/>
      <c r="AC80" s="2003"/>
    </row>
    <row r="81" spans="1:29" s="1247" customFormat="1" ht="15.75" thickBot="1">
      <c r="A81" s="662"/>
      <c r="B81" s="653"/>
      <c r="C81" s="667"/>
      <c r="D81" s="667"/>
      <c r="E81" s="667"/>
      <c r="F81" s="667"/>
      <c r="G81" s="667"/>
      <c r="H81" s="668"/>
      <c r="I81" s="668"/>
      <c r="J81" s="668"/>
      <c r="K81" s="668"/>
      <c r="L81" s="668"/>
      <c r="M81" s="669"/>
      <c r="N81" s="3136"/>
      <c r="O81" s="2000"/>
      <c r="P81" s="2001"/>
      <c r="Q81" s="2002"/>
      <c r="R81" s="2003"/>
      <c r="S81" s="2003"/>
      <c r="T81" s="2003"/>
      <c r="U81" s="2003"/>
      <c r="V81" s="2003"/>
      <c r="W81" s="2003"/>
      <c r="X81" s="2003"/>
      <c r="Y81" s="2003"/>
      <c r="Z81" s="2003"/>
      <c r="AA81" s="2003"/>
      <c r="AB81" s="2003"/>
      <c r="AC81" s="2003"/>
    </row>
    <row r="82" spans="1:29" s="1247" customFormat="1" ht="15.75" thickTop="1">
      <c r="A82" s="662"/>
      <c r="B82" s="656">
        <f>B16</f>
        <v>111</v>
      </c>
      <c r="C82" s="636"/>
      <c r="D82" s="636"/>
      <c r="E82" s="636"/>
      <c r="F82" s="636"/>
      <c r="G82" s="636"/>
      <c r="H82" s="670"/>
      <c r="I82" s="670"/>
      <c r="J82" s="670"/>
      <c r="K82" s="670"/>
      <c r="L82" s="671"/>
      <c r="M82" s="672"/>
      <c r="N82" s="3136"/>
      <c r="O82" s="2000"/>
      <c r="P82" s="2006"/>
      <c r="Q82" s="2002"/>
      <c r="R82" s="2003"/>
      <c r="S82" s="2003"/>
      <c r="T82" s="2003"/>
      <c r="U82" s="2003"/>
      <c r="V82" s="2003"/>
      <c r="W82" s="2003"/>
      <c r="X82" s="2003"/>
      <c r="Y82" s="2003"/>
      <c r="Z82" s="2003"/>
      <c r="AA82" s="2003"/>
      <c r="AB82" s="2003"/>
      <c r="AC82" s="2003"/>
    </row>
    <row r="83" spans="1:29" s="1247" customFormat="1" ht="15.75" thickBot="1">
      <c r="A83" s="673"/>
      <c r="B83" s="674"/>
      <c r="C83" s="675"/>
      <c r="D83" s="675"/>
      <c r="E83" s="675"/>
      <c r="F83" s="675"/>
      <c r="G83" s="675"/>
      <c r="H83" s="676"/>
      <c r="I83" s="676"/>
      <c r="J83" s="676"/>
      <c r="K83" s="676"/>
      <c r="L83" s="676"/>
      <c r="M83" s="677"/>
      <c r="N83" s="3136"/>
      <c r="O83" s="2000"/>
      <c r="P83" s="2001"/>
      <c r="Q83" s="2002"/>
      <c r="R83" s="2003"/>
      <c r="S83" s="2003"/>
      <c r="T83" s="2003"/>
      <c r="U83" s="2003"/>
      <c r="V83" s="2003"/>
      <c r="W83" s="2003"/>
      <c r="X83" s="2003"/>
      <c r="Y83" s="2003"/>
      <c r="Z83" s="2003"/>
      <c r="AA83" s="2003"/>
      <c r="AB83" s="2003"/>
      <c r="AC83" s="2003"/>
    </row>
    <row r="84" spans="1:29">
      <c r="A84" s="639" t="s">
        <v>522</v>
      </c>
      <c r="B84" s="640" t="s">
        <v>584</v>
      </c>
      <c r="C84" s="678" t="s">
        <v>561</v>
      </c>
      <c r="D84" s="678" t="s">
        <v>562</v>
      </c>
      <c r="E84" s="678" t="s">
        <v>563</v>
      </c>
      <c r="F84" s="678" t="s">
        <v>564</v>
      </c>
      <c r="G84" s="678" t="s">
        <v>565</v>
      </c>
      <c r="H84" s="679"/>
      <c r="I84" s="679"/>
      <c r="J84" s="679"/>
      <c r="K84" s="680"/>
      <c r="L84" s="681"/>
      <c r="M84" s="682"/>
      <c r="N84" s="3134"/>
      <c r="O84" s="1997"/>
      <c r="P84" s="2007"/>
      <c r="Q84" s="1991"/>
      <c r="R84" s="1979"/>
      <c r="S84" s="1979"/>
      <c r="T84" s="1979"/>
      <c r="U84" s="1979"/>
      <c r="V84" s="1979"/>
      <c r="W84" s="1979"/>
      <c r="X84" s="1979"/>
      <c r="Y84" s="1979"/>
      <c r="Z84" s="1979"/>
      <c r="AA84" s="1979"/>
      <c r="AB84" s="1979"/>
      <c r="AC84" s="1979"/>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5"/>
      <c r="O85" s="1999"/>
      <c r="P85" s="1998"/>
      <c r="Q85" s="1991"/>
      <c r="R85" s="1979"/>
      <c r="S85" s="1979"/>
      <c r="T85" s="1979"/>
      <c r="U85" s="1979"/>
      <c r="V85" s="1979"/>
      <c r="W85" s="1979"/>
      <c r="X85" s="1979"/>
      <c r="Y85" s="1979"/>
      <c r="Z85" s="1979"/>
      <c r="AA85" s="1979"/>
      <c r="AB85" s="1979"/>
      <c r="AC85" s="1979"/>
    </row>
    <row r="86" spans="1:29" ht="15.75" thickTop="1">
      <c r="A86" s="644"/>
      <c r="B86" s="648" t="s">
        <v>568</v>
      </c>
      <c r="C86" s="683" t="s">
        <v>561</v>
      </c>
      <c r="D86" s="683" t="s">
        <v>562</v>
      </c>
      <c r="E86" s="683" t="s">
        <v>563</v>
      </c>
      <c r="F86" s="683" t="s">
        <v>564</v>
      </c>
      <c r="G86" s="683" t="s">
        <v>565</v>
      </c>
      <c r="H86" s="649"/>
      <c r="I86" s="649"/>
      <c r="J86" s="649"/>
      <c r="K86" s="650"/>
      <c r="L86" s="651"/>
      <c r="M86" s="652"/>
      <c r="N86" s="3134"/>
      <c r="O86" s="1997"/>
      <c r="P86" s="1998"/>
      <c r="Q86" s="1991"/>
      <c r="R86" s="1979"/>
      <c r="S86" s="1979"/>
      <c r="T86" s="1979"/>
      <c r="U86" s="1979"/>
      <c r="V86" s="1979"/>
      <c r="W86" s="1979"/>
      <c r="X86" s="1979"/>
      <c r="Y86" s="1979"/>
      <c r="Z86" s="1979"/>
      <c r="AA86" s="1979"/>
      <c r="AB86" s="1979"/>
      <c r="AC86" s="1979"/>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5"/>
      <c r="O87" s="1999"/>
      <c r="P87" s="1998"/>
      <c r="Q87" s="1991"/>
      <c r="R87" s="1979"/>
      <c r="S87" s="1979"/>
      <c r="T87" s="1979"/>
      <c r="U87" s="1979"/>
      <c r="V87" s="1979"/>
      <c r="W87" s="1979"/>
      <c r="X87" s="1979"/>
      <c r="Y87" s="1979"/>
      <c r="Z87" s="1979"/>
      <c r="AA87" s="1979"/>
      <c r="AB87" s="1979"/>
      <c r="AC87" s="1979"/>
    </row>
    <row r="88" spans="1:29" s="1165" customFormat="1" ht="27.75" thickTop="1">
      <c r="A88" s="684"/>
      <c r="B88" s="648" t="s">
        <v>569</v>
      </c>
      <c r="C88" s="683" t="s">
        <v>561</v>
      </c>
      <c r="D88" s="683" t="s">
        <v>562</v>
      </c>
      <c r="E88" s="683" t="s">
        <v>563</v>
      </c>
      <c r="F88" s="683" t="s">
        <v>564</v>
      </c>
      <c r="G88" s="683" t="s">
        <v>565</v>
      </c>
      <c r="H88" s="683"/>
      <c r="I88" s="683"/>
      <c r="J88" s="683"/>
      <c r="K88" s="683"/>
      <c r="L88" s="685"/>
      <c r="M88" s="686"/>
      <c r="N88" s="3133"/>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C89-$K21</f>
        <v>100</v>
      </c>
      <c r="E89" s="654">
        <f>D89-$K21</f>
        <v>100</v>
      </c>
      <c r="F89" s="654">
        <f>E89-$K21</f>
        <v>100</v>
      </c>
      <c r="G89" s="654">
        <f>F89-$K21</f>
        <v>100</v>
      </c>
      <c r="H89" s="654"/>
      <c r="I89" s="654"/>
      <c r="J89" s="654"/>
      <c r="K89" s="654"/>
      <c r="L89" s="654"/>
      <c r="M89" s="655"/>
      <c r="N89" s="3135"/>
      <c r="O89" s="1999"/>
      <c r="P89" s="1998"/>
      <c r="Q89" s="1991"/>
      <c r="R89" s="1857"/>
      <c r="S89" s="1857"/>
      <c r="T89" s="1857"/>
      <c r="U89" s="1857"/>
      <c r="V89" s="1857"/>
      <c r="W89" s="1857"/>
      <c r="X89" s="1857"/>
      <c r="Y89" s="1857"/>
      <c r="Z89" s="1857"/>
      <c r="AA89" s="1857"/>
      <c r="AB89" s="1857"/>
      <c r="AC89" s="1857"/>
    </row>
    <row r="90" spans="1:29" s="1165" customFormat="1" ht="27.75" thickTop="1">
      <c r="A90" s="684"/>
      <c r="B90" s="648" t="s">
        <v>570</v>
      </c>
      <c r="C90" s="678" t="s">
        <v>561</v>
      </c>
      <c r="D90" s="678" t="s">
        <v>562</v>
      </c>
      <c r="E90" s="678" t="s">
        <v>563</v>
      </c>
      <c r="F90" s="678" t="s">
        <v>564</v>
      </c>
      <c r="G90" s="678" t="s">
        <v>565</v>
      </c>
      <c r="H90" s="683"/>
      <c r="I90" s="683"/>
      <c r="J90" s="683"/>
      <c r="K90" s="683"/>
      <c r="L90" s="683"/>
      <c r="M90" s="686"/>
      <c r="N90" s="3133"/>
      <c r="O90" s="1995"/>
      <c r="P90" s="1998"/>
      <c r="Q90" s="1991"/>
      <c r="R90" s="1857"/>
      <c r="S90" s="1857"/>
      <c r="T90" s="1857"/>
      <c r="U90" s="1857"/>
      <c r="V90" s="1857"/>
      <c r="W90" s="1857"/>
      <c r="X90" s="1857"/>
      <c r="Y90" s="1857"/>
      <c r="Z90" s="1857"/>
      <c r="AA90" s="1857"/>
      <c r="AB90" s="1857"/>
      <c r="AC90" s="1857"/>
    </row>
    <row r="91" spans="1:29" s="1165" customFormat="1" ht="15.75" thickBot="1">
      <c r="A91" s="684"/>
      <c r="B91" s="653"/>
      <c r="C91" s="654">
        <v>100</v>
      </c>
      <c r="D91" s="654">
        <f>C91-$K23</f>
        <v>100</v>
      </c>
      <c r="E91" s="654">
        <f>D91-$K23</f>
        <v>100</v>
      </c>
      <c r="F91" s="654">
        <f>E91-$K23</f>
        <v>100</v>
      </c>
      <c r="G91" s="654">
        <f>F91-$K23</f>
        <v>100</v>
      </c>
      <c r="H91" s="654"/>
      <c r="I91" s="654"/>
      <c r="J91" s="654"/>
      <c r="K91" s="654"/>
      <c r="L91" s="654"/>
      <c r="M91" s="655"/>
      <c r="N91" s="3135"/>
      <c r="O91" s="1999"/>
      <c r="P91" s="1998"/>
      <c r="Q91" s="1991"/>
      <c r="R91" s="1857"/>
      <c r="S91" s="1857"/>
      <c r="T91" s="1857"/>
      <c r="U91" s="1857"/>
      <c r="V91" s="1857"/>
      <c r="W91" s="1857"/>
      <c r="X91" s="1857"/>
      <c r="Y91" s="1857"/>
      <c r="Z91" s="1857"/>
      <c r="AA91" s="1857"/>
      <c r="AB91" s="1857"/>
      <c r="AC91" s="1857"/>
    </row>
    <row r="92" spans="1:29" s="1247" customFormat="1" ht="15.75" thickTop="1">
      <c r="A92" s="662"/>
      <c r="B92" s="1763" t="s">
        <v>2265</v>
      </c>
      <c r="C92" s="678" t="s">
        <v>561</v>
      </c>
      <c r="D92" s="678" t="s">
        <v>562</v>
      </c>
      <c r="E92" s="678" t="s">
        <v>563</v>
      </c>
      <c r="F92" s="678" t="s">
        <v>564</v>
      </c>
      <c r="G92" s="678" t="s">
        <v>565</v>
      </c>
      <c r="H92" s="688"/>
      <c r="I92" s="688"/>
      <c r="J92" s="688"/>
      <c r="K92" s="688"/>
      <c r="L92" s="689"/>
      <c r="M92" s="690"/>
      <c r="N92" s="3136"/>
      <c r="O92" s="2000"/>
      <c r="P92" s="2001"/>
      <c r="Q92" s="2002"/>
      <c r="R92" s="2003"/>
      <c r="S92" s="2003"/>
      <c r="T92" s="2003"/>
      <c r="U92" s="2003"/>
      <c r="V92" s="2003"/>
      <c r="W92" s="2003"/>
      <c r="X92" s="2003"/>
      <c r="Y92" s="2003"/>
      <c r="Z92" s="2003"/>
      <c r="AA92" s="2003"/>
      <c r="AB92" s="2003"/>
      <c r="AC92" s="2003"/>
    </row>
    <row r="93" spans="1:29" s="1247" customFormat="1" ht="15.75" thickBot="1">
      <c r="A93" s="662"/>
      <c r="B93" s="653"/>
      <c r="C93" s="654">
        <v>100</v>
      </c>
      <c r="D93" s="654">
        <f>C93-$K25</f>
        <v>100</v>
      </c>
      <c r="E93" s="654">
        <f>D93-$K25</f>
        <v>100</v>
      </c>
      <c r="F93" s="654">
        <f>E93-$K25</f>
        <v>100</v>
      </c>
      <c r="G93" s="654">
        <f>F93-$K25</f>
        <v>100</v>
      </c>
      <c r="H93" s="691"/>
      <c r="I93" s="691"/>
      <c r="J93" s="691"/>
      <c r="K93" s="691"/>
      <c r="L93" s="691"/>
      <c r="M93" s="692"/>
      <c r="N93" s="3136"/>
      <c r="O93" s="2000"/>
      <c r="P93" s="2001"/>
      <c r="Q93" s="2002"/>
      <c r="R93" s="2003"/>
      <c r="S93" s="2003"/>
      <c r="T93" s="2003"/>
      <c r="U93" s="2003"/>
      <c r="V93" s="2003"/>
      <c r="W93" s="2003"/>
      <c r="X93" s="2003"/>
      <c r="Y93" s="2003"/>
      <c r="Z93" s="2003"/>
      <c r="AA93" s="2003"/>
      <c r="AB93" s="2003"/>
      <c r="AC93" s="2003"/>
    </row>
    <row r="94" spans="1:29" s="1247" customFormat="1" ht="15.75" thickTop="1">
      <c r="A94" s="662"/>
      <c r="B94" s="2361" t="s">
        <v>2267</v>
      </c>
      <c r="C94" s="2362" t="s">
        <v>2268</v>
      </c>
      <c r="D94" s="2362" t="s">
        <v>2269</v>
      </c>
      <c r="E94" s="2362" t="s">
        <v>2270</v>
      </c>
      <c r="F94" s="2362" t="s">
        <v>2271</v>
      </c>
      <c r="G94" s="2362" t="s">
        <v>2272</v>
      </c>
      <c r="H94" s="688"/>
      <c r="I94" s="688"/>
      <c r="J94" s="688"/>
      <c r="K94" s="688"/>
      <c r="L94" s="688"/>
      <c r="M94" s="690"/>
      <c r="N94" s="3136"/>
      <c r="O94" s="2000"/>
      <c r="P94" s="2001"/>
      <c r="Q94" s="2002"/>
      <c r="R94" s="2003"/>
      <c r="S94" s="2003"/>
      <c r="T94" s="2003"/>
      <c r="U94" s="2003"/>
      <c r="V94" s="2003"/>
      <c r="W94" s="2003"/>
      <c r="X94" s="2003"/>
      <c r="Y94" s="2003"/>
      <c r="Z94" s="2003"/>
      <c r="AA94" s="2003"/>
      <c r="AB94" s="2003"/>
      <c r="AC94" s="2003"/>
    </row>
    <row r="95" spans="1:29" s="1247" customFormat="1" ht="15.75" thickBot="1">
      <c r="A95" s="662"/>
      <c r="B95" s="656"/>
      <c r="C95" s="654">
        <v>100</v>
      </c>
      <c r="D95" s="654">
        <f>C95-$K27</f>
        <v>100</v>
      </c>
      <c r="E95" s="654">
        <f>D95-$K27</f>
        <v>100</v>
      </c>
      <c r="F95" s="654">
        <f>E95-$K27</f>
        <v>100</v>
      </c>
      <c r="G95" s="654">
        <f>F95-$K27</f>
        <v>100</v>
      </c>
      <c r="H95" s="658"/>
      <c r="I95" s="658"/>
      <c r="J95" s="658"/>
      <c r="K95" s="658"/>
      <c r="L95" s="658"/>
      <c r="M95" s="2354"/>
      <c r="N95" s="3136"/>
      <c r="O95" s="2000"/>
      <c r="P95" s="2001"/>
      <c r="Q95" s="2002"/>
      <c r="R95" s="2003"/>
      <c r="S95" s="2003"/>
      <c r="T95" s="2003"/>
      <c r="U95" s="2003"/>
      <c r="V95" s="2003"/>
      <c r="W95" s="2003"/>
      <c r="X95" s="2003"/>
      <c r="Y95" s="2003"/>
      <c r="Z95" s="2003"/>
      <c r="AA95" s="2003"/>
      <c r="AB95" s="2003"/>
      <c r="AC95" s="2003"/>
    </row>
    <row r="96" spans="1:29" ht="15.75" thickTop="1">
      <c r="A96" s="644"/>
      <c r="B96" s="648" t="str">
        <f>B29</f>
        <v>临街状况</v>
      </c>
      <c r="C96" s="649" t="s">
        <v>571</v>
      </c>
      <c r="D96" s="649" t="s">
        <v>572</v>
      </c>
      <c r="E96" s="649" t="s">
        <v>573</v>
      </c>
      <c r="F96" s="649" t="s">
        <v>574</v>
      </c>
      <c r="G96" s="649"/>
      <c r="H96" s="649"/>
      <c r="I96" s="649"/>
      <c r="J96" s="649"/>
      <c r="K96" s="650"/>
      <c r="L96" s="651"/>
      <c r="M96" s="652"/>
      <c r="N96" s="3134"/>
      <c r="O96" s="1997"/>
      <c r="P96" s="1998"/>
      <c r="Q96" s="1991"/>
      <c r="R96" s="1979"/>
      <c r="S96" s="1979"/>
      <c r="T96" s="1979"/>
      <c r="U96" s="1979"/>
      <c r="V96" s="1979"/>
      <c r="W96" s="1979"/>
      <c r="X96" s="1979"/>
      <c r="Y96" s="1979"/>
      <c r="Z96" s="1979"/>
      <c r="AA96" s="1979"/>
      <c r="AB96" s="1979"/>
      <c r="AC96" s="1979"/>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5"/>
      <c r="O97" s="1999"/>
      <c r="P97" s="1998"/>
      <c r="Q97" s="1991"/>
      <c r="R97" s="1979"/>
      <c r="S97" s="1979"/>
      <c r="T97" s="1979"/>
      <c r="U97" s="1979"/>
      <c r="V97" s="1979"/>
      <c r="W97" s="1979"/>
      <c r="X97" s="1979"/>
      <c r="Y97" s="1979"/>
      <c r="Z97" s="1979"/>
      <c r="AA97" s="1979"/>
      <c r="AB97" s="1979"/>
      <c r="AC97" s="1979"/>
    </row>
    <row r="98" spans="1:29" ht="27.75" thickTop="1">
      <c r="A98" s="644"/>
      <c r="B98" s="648" t="s">
        <v>531</v>
      </c>
      <c r="C98" s="663"/>
      <c r="D98" s="663"/>
      <c r="E98" s="663"/>
      <c r="F98" s="663"/>
      <c r="G98" s="663"/>
      <c r="H98" s="693"/>
      <c r="I98" s="693"/>
      <c r="J98" s="693"/>
      <c r="K98" s="694"/>
      <c r="L98" s="695"/>
      <c r="M98" s="696"/>
      <c r="N98" s="3134"/>
      <c r="O98" s="1997"/>
      <c r="P98" s="1998"/>
      <c r="Q98" s="1991"/>
      <c r="R98" s="1979"/>
      <c r="S98" s="1979"/>
      <c r="T98" s="1979"/>
      <c r="U98" s="1979"/>
      <c r="V98" s="1979"/>
      <c r="W98" s="1979"/>
      <c r="X98" s="1979"/>
      <c r="Y98" s="1979"/>
      <c r="Z98" s="1979"/>
      <c r="AA98" s="1979"/>
      <c r="AB98" s="1979"/>
      <c r="AC98" s="1979"/>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5"/>
      <c r="O99" s="1999"/>
      <c r="P99" s="1998"/>
      <c r="Q99" s="1991"/>
      <c r="R99" s="1979"/>
      <c r="S99" s="1979"/>
      <c r="T99" s="1979"/>
      <c r="U99" s="1979"/>
      <c r="V99" s="1979"/>
      <c r="W99" s="1979"/>
      <c r="X99" s="1979"/>
      <c r="Y99" s="1979"/>
      <c r="Z99" s="1979"/>
      <c r="AA99" s="1979"/>
      <c r="AB99" s="1979"/>
      <c r="AC99" s="1979"/>
    </row>
    <row r="100" spans="1:29" ht="15.75" thickTop="1">
      <c r="A100" s="644"/>
      <c r="B100" s="648" t="s">
        <v>532</v>
      </c>
      <c r="C100" s="693"/>
      <c r="D100" s="693"/>
      <c r="E100" s="693"/>
      <c r="F100" s="693"/>
      <c r="G100" s="693"/>
      <c r="H100" s="693"/>
      <c r="I100" s="693"/>
      <c r="J100" s="693"/>
      <c r="K100" s="694"/>
      <c r="L100" s="695"/>
      <c r="M100" s="696"/>
      <c r="N100" s="3134"/>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5"/>
      <c r="O101" s="1999"/>
      <c r="P101" s="1998"/>
      <c r="Q101" s="1991"/>
      <c r="R101" s="1979"/>
      <c r="S101" s="1979"/>
      <c r="T101" s="1979"/>
      <c r="U101" s="1979"/>
      <c r="V101" s="1979"/>
      <c r="W101" s="1979"/>
      <c r="X101" s="1979"/>
      <c r="Y101" s="1979"/>
      <c r="Z101" s="1979"/>
      <c r="AA101" s="1979"/>
      <c r="AB101" s="1979"/>
      <c r="AC101" s="1979"/>
    </row>
    <row r="102" spans="1:29" ht="15.75" thickTop="1">
      <c r="A102" s="644"/>
      <c r="B102" s="656">
        <f>B33</f>
        <v>111</v>
      </c>
      <c r="C102" s="663"/>
      <c r="D102" s="663"/>
      <c r="E102" s="663"/>
      <c r="F102" s="663"/>
      <c r="G102" s="697"/>
      <c r="H102" s="697"/>
      <c r="I102" s="697"/>
      <c r="J102" s="697"/>
      <c r="K102" s="698"/>
      <c r="L102" s="699"/>
      <c r="M102" s="700"/>
      <c r="N102" s="3134"/>
      <c r="O102" s="1997"/>
      <c r="P102" s="1998"/>
      <c r="Q102" s="1991"/>
      <c r="R102" s="1979"/>
      <c r="S102" s="1979"/>
      <c r="T102" s="1979"/>
      <c r="U102" s="1979"/>
      <c r="V102" s="1979"/>
      <c r="W102" s="1979"/>
      <c r="X102" s="1979"/>
      <c r="Y102" s="1979"/>
      <c r="Z102" s="1979"/>
      <c r="AA102" s="1979"/>
      <c r="AB102" s="1979"/>
      <c r="AC102" s="1979"/>
    </row>
    <row r="103" spans="1:29" ht="15.75" thickBot="1">
      <c r="A103" s="644"/>
      <c r="B103" s="674"/>
      <c r="C103" s="667"/>
      <c r="D103" s="646"/>
      <c r="E103" s="646"/>
      <c r="F103" s="646"/>
      <c r="G103" s="701"/>
      <c r="H103" s="701"/>
      <c r="I103" s="701"/>
      <c r="J103" s="701"/>
      <c r="K103" s="701"/>
      <c r="L103" s="701"/>
      <c r="M103" s="702"/>
      <c r="N103" s="3135"/>
      <c r="O103" s="1999"/>
      <c r="P103" s="1998"/>
      <c r="Q103" s="1991"/>
      <c r="R103" s="1979"/>
      <c r="S103" s="1979"/>
      <c r="T103" s="1979"/>
      <c r="U103" s="1979"/>
      <c r="V103" s="1979"/>
      <c r="W103" s="1979"/>
      <c r="X103" s="1979"/>
      <c r="Y103" s="1979"/>
      <c r="Z103" s="1979"/>
      <c r="AA103" s="1979"/>
      <c r="AB103" s="1979"/>
      <c r="AC103" s="1979"/>
    </row>
    <row r="104" spans="1:29" ht="15" thickTop="1">
      <c r="A104" s="564"/>
      <c r="B104" s="648">
        <f>B34</f>
        <v>111</v>
      </c>
      <c r="C104" s="663"/>
      <c r="D104" s="663"/>
      <c r="E104" s="663"/>
      <c r="F104" s="663"/>
      <c r="G104" s="693"/>
      <c r="H104" s="693"/>
      <c r="I104" s="693"/>
      <c r="J104" s="693"/>
      <c r="K104" s="694"/>
      <c r="L104" s="695"/>
      <c r="M104" s="696"/>
      <c r="N104" s="3134"/>
      <c r="O104" s="1997"/>
      <c r="P104" s="1998"/>
      <c r="Q104" s="1991"/>
      <c r="R104" s="1979"/>
      <c r="S104" s="1979"/>
      <c r="T104" s="1979"/>
      <c r="U104" s="1979"/>
      <c r="V104" s="1979"/>
      <c r="W104" s="1979"/>
      <c r="X104" s="1979"/>
      <c r="Y104" s="1979"/>
      <c r="Z104" s="1979"/>
      <c r="AA104" s="1979"/>
      <c r="AB104" s="1979"/>
      <c r="AC104" s="1979"/>
    </row>
    <row r="105" spans="1:29" ht="15.75" thickBot="1">
      <c r="A105" s="644"/>
      <c r="B105" s="653"/>
      <c r="C105" s="667"/>
      <c r="D105" s="667"/>
      <c r="E105" s="667"/>
      <c r="F105" s="667"/>
      <c r="G105" s="646"/>
      <c r="H105" s="646"/>
      <c r="I105" s="646"/>
      <c r="J105" s="646"/>
      <c r="K105" s="646"/>
      <c r="L105" s="646"/>
      <c r="M105" s="647"/>
      <c r="N105" s="3135"/>
      <c r="O105" s="1999"/>
      <c r="P105" s="1998"/>
      <c r="Q105" s="1991"/>
      <c r="R105" s="1979"/>
      <c r="S105" s="1979"/>
      <c r="T105" s="1979"/>
      <c r="U105" s="1979"/>
      <c r="V105" s="1979"/>
      <c r="W105" s="1979"/>
      <c r="X105" s="1979"/>
      <c r="Y105" s="1979"/>
      <c r="Z105" s="1979"/>
      <c r="AA105" s="1979"/>
      <c r="AB105" s="1979"/>
      <c r="AC105" s="1979"/>
    </row>
    <row r="106" spans="1:29" s="1247" customFormat="1" ht="15" thickTop="1">
      <c r="A106" s="703"/>
      <c r="B106" s="704">
        <f>B35</f>
        <v>111</v>
      </c>
      <c r="C106" s="636"/>
      <c r="D106" s="636"/>
      <c r="E106" s="636"/>
      <c r="F106" s="636"/>
      <c r="G106" s="705"/>
      <c r="H106" s="705"/>
      <c r="I106" s="705"/>
      <c r="J106" s="706"/>
      <c r="K106" s="706"/>
      <c r="L106" s="707"/>
      <c r="M106" s="708"/>
      <c r="N106" s="3136"/>
      <c r="O106" s="2000"/>
      <c r="P106" s="2001"/>
      <c r="Q106" s="2002"/>
      <c r="R106" s="2003"/>
      <c r="S106" s="2003"/>
      <c r="T106" s="2003"/>
      <c r="U106" s="2003"/>
      <c r="V106" s="2003"/>
      <c r="W106" s="2003"/>
      <c r="X106" s="2003"/>
      <c r="Y106" s="2003"/>
      <c r="Z106" s="2003"/>
      <c r="AA106" s="2003"/>
      <c r="AB106" s="2003"/>
      <c r="AC106" s="2003"/>
    </row>
    <row r="107" spans="1:29" s="1247" customFormat="1" ht="15.75" thickBot="1">
      <c r="A107" s="662"/>
      <c r="B107" s="656"/>
      <c r="C107" s="675"/>
      <c r="D107" s="675"/>
      <c r="E107" s="675"/>
      <c r="F107" s="675"/>
      <c r="G107" s="569"/>
      <c r="H107" s="569"/>
      <c r="I107" s="569"/>
      <c r="J107" s="569"/>
      <c r="K107" s="569"/>
      <c r="L107" s="569"/>
      <c r="M107" s="709"/>
      <c r="N107" s="3135"/>
      <c r="O107" s="1999"/>
      <c r="P107" s="2001"/>
      <c r="Q107" s="2002"/>
      <c r="R107" s="2003"/>
      <c r="S107" s="2003"/>
      <c r="T107" s="2003"/>
      <c r="U107" s="2003"/>
      <c r="V107" s="2003"/>
      <c r="W107" s="2003"/>
      <c r="X107" s="2003"/>
      <c r="Y107" s="2003"/>
      <c r="Z107" s="2003"/>
      <c r="AA107" s="2003"/>
      <c r="AB107" s="2003"/>
      <c r="AC107" s="2003"/>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5" t="str">
        <f t="shared" si="25"/>
        <v>(含)-</v>
      </c>
      <c r="L108" s="2696" t="str">
        <f t="shared" si="25"/>
        <v>(含)-</v>
      </c>
      <c r="M108" s="2697" t="str">
        <f>M109&amp;"(含)"&amp;"-"&amp;P109</f>
        <v>(含)-</v>
      </c>
      <c r="N108" s="3134"/>
      <c r="O108" s="1997"/>
      <c r="P108" s="1998"/>
      <c r="Q108" s="1991"/>
      <c r="R108" s="1979"/>
      <c r="S108" s="1979"/>
      <c r="T108" s="1979"/>
      <c r="U108" s="1979"/>
      <c r="V108" s="1979"/>
      <c r="W108" s="1979"/>
      <c r="X108" s="1979"/>
      <c r="Y108" s="1979"/>
      <c r="Z108" s="1979"/>
      <c r="AA108" s="1979"/>
      <c r="AB108" s="1979"/>
      <c r="AC108" s="1979"/>
    </row>
    <row r="109" spans="1:29" ht="15">
      <c r="A109" s="644"/>
      <c r="B109" s="656"/>
      <c r="C109" s="705"/>
      <c r="D109" s="705"/>
      <c r="E109" s="705"/>
      <c r="F109" s="705"/>
      <c r="G109" s="705"/>
      <c r="H109" s="705"/>
      <c r="I109" s="705"/>
      <c r="J109" s="706"/>
      <c r="K109" s="706"/>
      <c r="L109" s="707"/>
      <c r="M109" s="708"/>
      <c r="N109" s="3134"/>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75"/>
      <c r="D110" s="701"/>
      <c r="E110" s="701"/>
      <c r="F110" s="701"/>
      <c r="G110" s="701"/>
      <c r="H110" s="701"/>
      <c r="I110" s="701"/>
      <c r="J110" s="701"/>
      <c r="K110" s="701"/>
      <c r="L110" s="701"/>
      <c r="M110" s="702"/>
      <c r="N110" s="3135"/>
      <c r="O110" s="1999"/>
      <c r="P110" s="1998"/>
      <c r="Q110" s="1991"/>
      <c r="R110" s="1979"/>
      <c r="S110" s="1979"/>
      <c r="T110" s="1979"/>
      <c r="U110" s="1979"/>
      <c r="V110" s="1979"/>
      <c r="W110" s="1979"/>
      <c r="X110" s="1979"/>
      <c r="Y110" s="1979"/>
      <c r="Z110" s="1979"/>
      <c r="AA110" s="1979"/>
      <c r="AB110" s="1979"/>
      <c r="AC110" s="1979"/>
    </row>
    <row r="111" spans="1:29" ht="15" thickTop="1">
      <c r="A111" s="710"/>
      <c r="B111" s="648" t="s">
        <v>576</v>
      </c>
      <c r="C111" s="693"/>
      <c r="D111" s="693"/>
      <c r="E111" s="693"/>
      <c r="F111" s="693"/>
      <c r="G111" s="693"/>
      <c r="H111" s="693"/>
      <c r="I111" s="693"/>
      <c r="J111" s="693"/>
      <c r="K111" s="694"/>
      <c r="L111" s="695"/>
      <c r="M111" s="696"/>
      <c r="N111" s="3134"/>
      <c r="O111" s="1997"/>
      <c r="P111" s="1998"/>
      <c r="Q111" s="1991"/>
      <c r="R111" s="1979"/>
      <c r="S111" s="1979"/>
      <c r="T111" s="1979"/>
      <c r="U111" s="1979"/>
      <c r="V111" s="1979"/>
      <c r="W111" s="1979"/>
      <c r="X111" s="1979"/>
      <c r="Y111" s="1979"/>
      <c r="Z111" s="1979"/>
      <c r="AA111" s="1979"/>
      <c r="AB111" s="1979"/>
      <c r="AC111" s="1979"/>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5"/>
      <c r="O112" s="1999"/>
      <c r="P112" s="1998"/>
      <c r="Q112" s="1991"/>
      <c r="R112" s="1979"/>
      <c r="S112" s="1979"/>
      <c r="T112" s="1979"/>
      <c r="U112" s="1979"/>
      <c r="V112" s="1979"/>
      <c r="W112" s="1979"/>
      <c r="X112" s="1979"/>
      <c r="Y112" s="1979"/>
      <c r="Z112" s="1979"/>
      <c r="AA112" s="1979"/>
      <c r="AB112" s="1979"/>
      <c r="AC112" s="1979"/>
    </row>
    <row r="113" spans="1:29" s="1247" customFormat="1" ht="15" thickTop="1">
      <c r="A113" s="703"/>
      <c r="B113" s="1763" t="s">
        <v>2211</v>
      </c>
      <c r="C113" s="1280"/>
      <c r="D113" s="1280"/>
      <c r="E113" s="1280"/>
      <c r="F113" s="1280"/>
      <c r="G113" s="1280"/>
      <c r="H113" s="693"/>
      <c r="I113" s="693"/>
      <c r="J113" s="693"/>
      <c r="K113" s="694"/>
      <c r="L113" s="695"/>
      <c r="M113" s="696"/>
      <c r="N113" s="3136"/>
      <c r="O113" s="2000"/>
      <c r="P113" s="2001"/>
      <c r="Q113" s="2002"/>
      <c r="R113" s="2003"/>
      <c r="S113" s="2003"/>
      <c r="T113" s="2003"/>
      <c r="U113" s="2003"/>
      <c r="V113" s="2003"/>
      <c r="W113" s="2003"/>
      <c r="X113" s="2003"/>
      <c r="Y113" s="2003"/>
      <c r="Z113" s="2003"/>
      <c r="AA113" s="2003"/>
      <c r="AB113" s="2003"/>
      <c r="AC113" s="2003"/>
    </row>
    <row r="114" spans="1:29" s="1247"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6"/>
      <c r="O114" s="2000"/>
      <c r="P114" s="2001"/>
      <c r="Q114" s="2002"/>
      <c r="R114" s="2003"/>
      <c r="S114" s="2003"/>
      <c r="T114" s="2003"/>
      <c r="U114" s="2003"/>
      <c r="V114" s="2003"/>
      <c r="W114" s="2003"/>
      <c r="X114" s="2003"/>
      <c r="Y114" s="2003"/>
      <c r="Z114" s="2003"/>
      <c r="AA114" s="2003"/>
      <c r="AB114" s="2003"/>
      <c r="AC114" s="2003"/>
    </row>
    <row r="115" spans="1:29" ht="15" thickTop="1">
      <c r="A115" s="710"/>
      <c r="B115" s="648" t="s">
        <v>578</v>
      </c>
      <c r="C115" s="663"/>
      <c r="D115" s="663"/>
      <c r="E115" s="693"/>
      <c r="F115" s="693"/>
      <c r="G115" s="693"/>
      <c r="H115" s="693"/>
      <c r="I115" s="693"/>
      <c r="J115" s="693"/>
      <c r="K115" s="694"/>
      <c r="L115" s="695"/>
      <c r="M115" s="696"/>
      <c r="N115" s="3134"/>
      <c r="O115" s="1997"/>
      <c r="P115" s="1998"/>
      <c r="Q115" s="1991"/>
      <c r="R115" s="1979"/>
      <c r="S115" s="1979"/>
      <c r="T115" s="1979"/>
      <c r="U115" s="1979"/>
      <c r="V115" s="1979"/>
      <c r="W115" s="1979"/>
      <c r="X115" s="1979"/>
      <c r="Y115" s="1979"/>
      <c r="Z115" s="1979"/>
      <c r="AA115" s="1979"/>
      <c r="AB115" s="1979"/>
      <c r="AC115" s="197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5"/>
      <c r="O116" s="1999"/>
      <c r="P116" s="1998"/>
      <c r="Q116" s="1991"/>
      <c r="R116" s="1979"/>
      <c r="S116" s="1979"/>
      <c r="T116" s="1979"/>
      <c r="U116" s="1979"/>
      <c r="V116" s="1979"/>
      <c r="W116" s="1979"/>
      <c r="X116" s="1979"/>
      <c r="Y116" s="1979"/>
      <c r="Z116" s="1979"/>
      <c r="AA116" s="1979"/>
      <c r="AB116" s="1979"/>
      <c r="AC116" s="1979"/>
    </row>
    <row r="117" spans="1:29" ht="15" thickTop="1">
      <c r="A117" s="710"/>
      <c r="B117" s="648">
        <f>B40</f>
        <v>111</v>
      </c>
      <c r="C117" s="663"/>
      <c r="D117" s="663"/>
      <c r="E117" s="663"/>
      <c r="F117" s="663"/>
      <c r="G117" s="663"/>
      <c r="H117" s="693"/>
      <c r="I117" s="693"/>
      <c r="J117" s="693"/>
      <c r="K117" s="694"/>
      <c r="L117" s="695"/>
      <c r="M117" s="696"/>
      <c r="N117" s="3134"/>
      <c r="O117" s="1997"/>
      <c r="P117" s="1998"/>
      <c r="Q117" s="1991"/>
      <c r="R117" s="1979"/>
      <c r="S117" s="1979"/>
      <c r="T117" s="1979"/>
      <c r="U117" s="1979"/>
      <c r="V117" s="1979"/>
      <c r="W117" s="1979"/>
      <c r="X117" s="1979"/>
      <c r="Y117" s="1979"/>
      <c r="Z117" s="1979"/>
      <c r="AA117" s="1979"/>
      <c r="AB117" s="1979"/>
      <c r="AC117" s="1979"/>
    </row>
    <row r="118" spans="1:29" ht="15.75" thickBot="1">
      <c r="A118" s="644"/>
      <c r="B118" s="653"/>
      <c r="C118" s="667"/>
      <c r="D118" s="646"/>
      <c r="E118" s="646"/>
      <c r="F118" s="646"/>
      <c r="G118" s="646"/>
      <c r="H118" s="646"/>
      <c r="I118" s="646"/>
      <c r="J118" s="646"/>
      <c r="K118" s="646"/>
      <c r="L118" s="646"/>
      <c r="M118" s="647"/>
      <c r="N118" s="3135"/>
      <c r="O118" s="1999"/>
      <c r="P118" s="1998"/>
      <c r="Q118" s="1991"/>
      <c r="R118" s="1979"/>
      <c r="S118" s="1979"/>
      <c r="T118" s="1979"/>
      <c r="U118" s="1979"/>
      <c r="V118" s="1979"/>
      <c r="W118" s="1979"/>
      <c r="X118" s="1979"/>
      <c r="Y118" s="1979"/>
      <c r="Z118" s="1979"/>
      <c r="AA118" s="1979"/>
      <c r="AB118" s="1979"/>
      <c r="AC118" s="1979"/>
    </row>
    <row r="119" spans="1:29" ht="15" thickTop="1">
      <c r="A119" s="710"/>
      <c r="B119" s="648">
        <f>B41</f>
        <v>111</v>
      </c>
      <c r="C119" s="663"/>
      <c r="D119" s="663"/>
      <c r="E119" s="663"/>
      <c r="F119" s="663"/>
      <c r="G119" s="693"/>
      <c r="H119" s="693"/>
      <c r="I119" s="693"/>
      <c r="J119" s="693"/>
      <c r="K119" s="694"/>
      <c r="L119" s="695"/>
      <c r="M119" s="696"/>
      <c r="N119" s="3134"/>
      <c r="O119" s="1997"/>
      <c r="P119" s="1998"/>
      <c r="Q119" s="1991"/>
      <c r="R119" s="1979"/>
      <c r="S119" s="1979"/>
      <c r="T119" s="1979"/>
      <c r="U119" s="1979"/>
      <c r="V119" s="1979"/>
      <c r="W119" s="1979"/>
      <c r="X119" s="1979"/>
      <c r="Y119" s="1979"/>
      <c r="Z119" s="1979"/>
      <c r="AA119" s="1979"/>
      <c r="AB119" s="1979"/>
      <c r="AC119" s="1979"/>
    </row>
    <row r="120" spans="1:29" ht="15.75" thickBot="1">
      <c r="A120" s="644"/>
      <c r="B120" s="653"/>
      <c r="C120" s="667"/>
      <c r="D120" s="667"/>
      <c r="E120" s="667"/>
      <c r="F120" s="667"/>
      <c r="G120" s="646"/>
      <c r="H120" s="646"/>
      <c r="I120" s="646"/>
      <c r="J120" s="646"/>
      <c r="K120" s="646"/>
      <c r="L120" s="646"/>
      <c r="M120" s="647"/>
      <c r="N120" s="3135"/>
      <c r="O120" s="1999"/>
      <c r="P120" s="1998"/>
      <c r="Q120" s="1991"/>
      <c r="R120" s="1979"/>
      <c r="S120" s="1979"/>
      <c r="T120" s="1979"/>
      <c r="U120" s="1979"/>
      <c r="V120" s="1979"/>
      <c r="W120" s="1979"/>
      <c r="X120" s="1979"/>
      <c r="Y120" s="1979"/>
      <c r="Z120" s="1979"/>
      <c r="AA120" s="1979"/>
      <c r="AB120" s="1979"/>
      <c r="AC120" s="1979"/>
    </row>
    <row r="121" spans="1:29" s="1247" customFormat="1" ht="15" thickTop="1">
      <c r="A121" s="703"/>
      <c r="B121" s="648">
        <f>B42</f>
        <v>111</v>
      </c>
      <c r="C121" s="636"/>
      <c r="D121" s="636"/>
      <c r="E121" s="636"/>
      <c r="F121" s="636"/>
      <c r="G121" s="664"/>
      <c r="H121" s="664"/>
      <c r="I121" s="664"/>
      <c r="J121" s="664"/>
      <c r="K121" s="664"/>
      <c r="L121" s="665"/>
      <c r="M121" s="666"/>
      <c r="N121" s="3136"/>
      <c r="O121" s="2000"/>
      <c r="P121" s="2001"/>
      <c r="Q121" s="2002"/>
      <c r="R121" s="2003"/>
      <c r="S121" s="2003"/>
      <c r="T121" s="2003"/>
      <c r="U121" s="2003"/>
      <c r="V121" s="2003"/>
      <c r="W121" s="2003"/>
      <c r="X121" s="2003"/>
      <c r="Y121" s="2003"/>
      <c r="Z121" s="2003"/>
      <c r="AA121" s="2003"/>
      <c r="AB121" s="2003"/>
      <c r="AC121" s="2003"/>
    </row>
    <row r="122" spans="1:29" s="1247" customFormat="1" ht="15.75" thickBot="1">
      <c r="A122" s="673"/>
      <c r="B122" s="711"/>
      <c r="C122" s="675"/>
      <c r="D122" s="675"/>
      <c r="E122" s="675"/>
      <c r="F122" s="675"/>
      <c r="G122" s="701"/>
      <c r="H122" s="701"/>
      <c r="I122" s="701"/>
      <c r="J122" s="701"/>
      <c r="K122" s="701"/>
      <c r="L122" s="701"/>
      <c r="M122" s="702"/>
      <c r="N122" s="3136"/>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1493</v>
      </c>
      <c r="B1" s="1302"/>
      <c r="C1" s="1308" t="s">
        <v>2212</v>
      </c>
      <c r="D1" s="1414">
        <f>SUM(D29:D30,D33:D39)</f>
        <v>0</v>
      </c>
      <c r="E1" s="1308" t="s">
        <v>2213</v>
      </c>
      <c r="F1" s="2259"/>
      <c r="G1" s="1303"/>
      <c r="H1" s="1303"/>
      <c r="I1" s="1303"/>
      <c r="J1" s="1303"/>
      <c r="K1" s="2022"/>
      <c r="L1" s="1749" t="s">
        <v>2029</v>
      </c>
      <c r="M1" s="1750">
        <f>SUMPRODUCT((区片价!B5:B9=I2)*(区片价!C3:F3=E2)*(区片价!C5:F9))</f>
        <v>0</v>
      </c>
      <c r="N1" s="1751">
        <f>SUMPRODUCT((因素修正幅度!B5:B9=I2)*(因素修正幅度!C3:F3=E2)*(因素修正幅度!C5:F9))</f>
        <v>0</v>
      </c>
      <c r="O1" s="2022"/>
      <c r="P1" s="2022"/>
      <c r="Q1" s="2022"/>
      <c r="R1" s="2572" t="s">
        <v>2477</v>
      </c>
      <c r="S1" s="2572" t="s">
        <v>2478</v>
      </c>
      <c r="T1" s="2572" t="s">
        <v>2499</v>
      </c>
      <c r="U1" s="2572" t="s">
        <v>2500</v>
      </c>
      <c r="V1" s="2572" t="s">
        <v>2501</v>
      </c>
      <c r="W1" s="2022"/>
      <c r="X1" s="2022"/>
      <c r="Y1" s="2022"/>
      <c r="Z1" s="2022"/>
      <c r="AA1" s="2022"/>
      <c r="AB1" s="2022"/>
      <c r="AC1" s="2023"/>
    </row>
    <row r="2" spans="1:39" ht="15.75">
      <c r="A2" s="1308" t="s">
        <v>898</v>
      </c>
      <c r="B2" s="1006" t="e">
        <f>C26</f>
        <v>#DIV/0!</v>
      </c>
      <c r="C2" s="1309" t="s">
        <v>899</v>
      </c>
      <c r="D2" s="1310" t="s">
        <v>900</v>
      </c>
      <c r="E2" s="1311"/>
      <c r="F2" s="1310" t="s">
        <v>902</v>
      </c>
      <c r="G2" s="1533">
        <f>IF(E2="商业",项目基本情况!B43,IF(E2="办公",项目基本情况!C43,IF(E2="住宅",项目基本情况!D43,项目基本情况!E43)))</f>
        <v>0</v>
      </c>
      <c r="H2" s="1310" t="s">
        <v>904</v>
      </c>
      <c r="I2" s="1534">
        <f>IF(E2="商业",项目基本情况!B44,IF(E2="办公",项目基本情况!C44,IF(E2="住宅",项目基本情况!D44,项目基本情况!E44)))</f>
        <v>0</v>
      </c>
      <c r="J2" s="1312"/>
      <c r="K2" s="3137"/>
      <c r="L2" s="1752" t="s">
        <v>2030</v>
      </c>
      <c r="M2" s="1753">
        <f>SUMPRODUCT((区片价!B10:B28=I2)*(区片价!C3:F3=E2)*(区片价!C10:F28))</f>
        <v>0</v>
      </c>
      <c r="N2" s="1754">
        <f>SUMPRODUCT((因素修正幅度!B10:B28=I2)*(因素修正幅度!C3:F3=E2)*(因素修正幅度!C10:F28))</f>
        <v>0</v>
      </c>
      <c r="O2" s="3137"/>
      <c r="P2" s="2022"/>
      <c r="Q2" s="2022"/>
      <c r="R2" s="2573">
        <v>1</v>
      </c>
      <c r="S2" s="2573" t="e">
        <f>ROUND(IF(G3&gt;1,IF(R2&lt;7,SUMPRODUCT((B93:B98=R2)*(C92:N92=G2)*(C93:N98)),SUMIF(C92:N92,G2,C100:N100)),IF(R2&lt;7,SUMPRODUCT((B102:B107=R2)*(C92:N92=G2)*(C102:N107)),SUMIF(C92:N92,G2,C109:N109))),4)</f>
        <v>#DIV/0!</v>
      </c>
      <c r="T2" s="2573" t="e">
        <f>ROUND($C$5*$C$18*$C$19*$C$20*S2*$C$24,0)</f>
        <v>#DIV/0!</v>
      </c>
      <c r="U2" s="2562"/>
      <c r="V2" s="2573" t="e">
        <f>ROUND(T2*U2/10000,0)</f>
        <v>#DIV/0!</v>
      </c>
      <c r="W2" s="2022"/>
      <c r="X2" s="2022"/>
      <c r="Y2" s="2022"/>
      <c r="Z2" s="2022"/>
      <c r="AA2" s="2022"/>
      <c r="AB2" s="2022"/>
      <c r="AC2" s="2023"/>
    </row>
    <row r="3" spans="1:39" ht="15.75">
      <c r="A3" s="1313" t="s">
        <v>1486</v>
      </c>
      <c r="B3" s="1006" t="e">
        <f>ROUND(B2*10000/D1,0)</f>
        <v>#DIV/0!</v>
      </c>
      <c r="C3" s="1309" t="s">
        <v>905</v>
      </c>
      <c r="D3" s="1310" t="s">
        <v>906</v>
      </c>
      <c r="E3" s="1314"/>
      <c r="F3" s="1315"/>
      <c r="G3" s="1007">
        <f>IF(F3="宗地容积率",'数据-汇总表'!I4,IF(F3="估价对象容积率",'数据-汇总表'!I6,'数据-汇总表'!I7))</f>
        <v>0</v>
      </c>
      <c r="H3" s="1316" t="s">
        <v>907</v>
      </c>
      <c r="I3" s="1008">
        <v>8</v>
      </c>
      <c r="J3" s="1312" t="s">
        <v>908</v>
      </c>
      <c r="K3" s="3137"/>
      <c r="L3" s="1752" t="s">
        <v>2031</v>
      </c>
      <c r="M3" s="1753">
        <f>SUMPRODUCT((区片价!B29:B48=I2)*(区片价!C3:F3=E2)*(区片价!C29:F48))</f>
        <v>0</v>
      </c>
      <c r="N3" s="1754">
        <f>SUMPRODUCT((因素修正幅度!B29:B48=I2)*(因素修正幅度!C3:F3=E2)*(因素修正幅度!C29:F48))</f>
        <v>0</v>
      </c>
      <c r="O3" s="3137"/>
      <c r="P3" s="2022"/>
      <c r="Q3" s="2022"/>
      <c r="R3" s="2573">
        <v>2</v>
      </c>
      <c r="S3" s="2573" t="e">
        <f>ROUND(IF(G3&gt;1,IF(R3&lt;7,SUMPRODUCT((B93:B98=R3)*(C92:N92=G2)*(C93:N98)),SUMIF(C92:N92,G2,C100:N100)),IF(R3&lt;7,SUMPRODUCT((B102:B107=R3)*(C92:N92=G2)*(C102:N107)),SUMIF(C92:N92,G2,C109:N109))),4)</f>
        <v>#DIV/0!</v>
      </c>
      <c r="T3" s="2573" t="e">
        <f t="shared" ref="T3:T16" si="0">ROUND($C$5*$C$18*$C$19*$C$20*S3*$C$24,0)</f>
        <v>#DIV/0!</v>
      </c>
      <c r="U3" s="2562"/>
      <c r="V3" s="2573" t="e">
        <f t="shared" ref="V3:V16" si="1">ROUND(T3*U3/10000,0)</f>
        <v>#DIV/0!</v>
      </c>
      <c r="W3" s="2022"/>
      <c r="X3" s="2022"/>
      <c r="Y3" s="2022"/>
      <c r="Z3" s="2022"/>
      <c r="AA3" s="2022"/>
      <c r="AB3" s="2022"/>
      <c r="AC3" s="2023"/>
    </row>
    <row r="4" spans="1:39" ht="28.5">
      <c r="A4" s="1758" t="s">
        <v>2070</v>
      </c>
      <c r="B4" s="2260" t="e">
        <f>ROUND(B2*10000/F1,0)</f>
        <v>#DIV/0!</v>
      </c>
      <c r="C4" s="1761" t="s">
        <v>2045</v>
      </c>
      <c r="D4" s="1761" t="e">
        <f>ROUND(B2/(F1/666.67),0)</f>
        <v>#DIV/0!</v>
      </c>
      <c r="E4" s="1761" t="s">
        <v>2046</v>
      </c>
      <c r="F4" s="1759"/>
      <c r="G4" s="1759"/>
      <c r="H4" s="1759"/>
      <c r="I4" s="1759"/>
      <c r="J4" s="1760"/>
      <c r="K4" s="3138"/>
      <c r="L4" s="1752" t="s">
        <v>2032</v>
      </c>
      <c r="M4" s="1753">
        <f>SUMPRODUCT((区片价!B49:B75=I2)*(区片价!C3:F3=E2)*(区片价!C49:F75))</f>
        <v>0</v>
      </c>
      <c r="N4" s="1754">
        <f>SUMPRODUCT((因素修正幅度!B49:B75=I2)*(因素修正幅度!C3:F3=E2)*(因素修正幅度!C49:F75))</f>
        <v>0</v>
      </c>
      <c r="O4" s="3138"/>
      <c r="P4" s="2022"/>
      <c r="Q4" s="2022"/>
      <c r="R4" s="2573">
        <v>3</v>
      </c>
      <c r="S4" s="2573" t="e">
        <f>ROUND(IF(G3&gt;1,IF(R4&lt;7,SUMPRODUCT((B93:B98=R4)*(C92:N92=G2)*(C93:N98)),SUMIF(C92:N92,G2,C100:N100)),IF(R4&lt;7,SUMPRODUCT((B102:B107=R4)*(C92:N92=G2)*(C102:N107)),SUMIF(C92:N92,G2,C109:N109))),4)</f>
        <v>#DIV/0!</v>
      </c>
      <c r="T4" s="2573" t="e">
        <f t="shared" si="0"/>
        <v>#DIV/0!</v>
      </c>
      <c r="U4" s="2562"/>
      <c r="V4" s="2573" t="e">
        <f t="shared" si="1"/>
        <v>#DIV/0!</v>
      </c>
      <c r="W4" s="2022"/>
      <c r="X4" s="2022"/>
      <c r="Y4" s="2022"/>
      <c r="Z4" s="2022"/>
      <c r="AA4" s="2022"/>
      <c r="AB4" s="2022"/>
      <c r="AC4" s="2023"/>
    </row>
    <row r="5" spans="1:39" s="1323" customFormat="1" ht="15.75" thickBot="1">
      <c r="A5" s="1519" t="s">
        <v>1622</v>
      </c>
      <c r="B5" s="1317" t="s">
        <v>909</v>
      </c>
      <c r="C5" s="1009" t="e">
        <f>ROUND(IF(E2="商业",C6*C7+C16,(IF(E2="住宅",C6*C12+C16,C6+C16))),0)</f>
        <v>#DIV/0!</v>
      </c>
      <c r="D5" s="2708" t="e">
        <f>ROUND(C6+C16,0)</f>
        <v>#DIV/0!</v>
      </c>
      <c r="E5" s="2708"/>
      <c r="F5" s="1318"/>
      <c r="G5" s="1319"/>
      <c r="H5" s="1319"/>
      <c r="I5" s="1319"/>
      <c r="J5" s="1320"/>
      <c r="K5" s="3139"/>
      <c r="L5" s="1752" t="s">
        <v>2033</v>
      </c>
      <c r="M5" s="1753">
        <f>SUMPRODUCT((区片价!B76:B109=I2)*(区片价!C3:F3=E2)*(区片价!C76:F109))</f>
        <v>0</v>
      </c>
      <c r="N5" s="1754">
        <f>SUMPRODUCT((因素修正幅度!B76:B109=I2)*(因素修正幅度!C3:F3=E2)*(因素修正幅度!C76:F109))</f>
        <v>0</v>
      </c>
      <c r="O5" s="3139"/>
      <c r="P5" s="3142"/>
      <c r="Q5" s="2022"/>
      <c r="R5" s="2573">
        <v>4</v>
      </c>
      <c r="S5" s="2573" t="e">
        <f>ROUND(IF(G3&gt;1,IF(R5&lt;7,SUMPRODUCT((B93:B98=R5)*(C92:N92=G2)*(C93:N98)),SUMIF(C92:N92,G2,C100:N100)),IF(R5&lt;7,SUMPRODUCT((B102:B107=R5)*(C92:N92=G2)*(C102:N107)),SUMIF(C92:N92,G2,C109:N109))),4)</f>
        <v>#DIV/0!</v>
      </c>
      <c r="T5" s="2573" t="e">
        <f t="shared" si="0"/>
        <v>#DIV/0!</v>
      </c>
      <c r="U5" s="2562"/>
      <c r="V5" s="2573" t="e">
        <f t="shared" si="1"/>
        <v>#DIV/0!</v>
      </c>
      <c r="W5" s="2022"/>
      <c r="X5" s="2022"/>
      <c r="Y5" s="2022"/>
      <c r="Z5" s="2022"/>
      <c r="AA5" s="2022"/>
      <c r="AB5" s="2022"/>
      <c r="AC5" s="2024"/>
      <c r="AD5" s="1321"/>
      <c r="AE5" s="1321"/>
      <c r="AF5" s="1321"/>
      <c r="AG5" s="1321"/>
      <c r="AH5" s="1321"/>
      <c r="AI5" s="1321"/>
      <c r="AJ5" s="1322"/>
      <c r="AK5" s="1322"/>
      <c r="AL5" s="1322"/>
      <c r="AM5" s="1322"/>
    </row>
    <row r="6" spans="1:39" ht="15.75" thickBot="1">
      <c r="A6" s="1520" t="s">
        <v>1665</v>
      </c>
      <c r="B6" s="1324" t="s">
        <v>909</v>
      </c>
      <c r="C6" s="1010">
        <f>SUMIF(L1:L12,基准地价!G2,M1:M12)</f>
        <v>0</v>
      </c>
      <c r="D6" s="1325" t="s">
        <v>1494</v>
      </c>
      <c r="E6" s="1326"/>
      <c r="F6" s="1326"/>
      <c r="G6" s="1327"/>
      <c r="H6" s="1327"/>
      <c r="I6" s="1327"/>
      <c r="J6" s="1328"/>
      <c r="K6" s="3140"/>
      <c r="L6" s="1752" t="s">
        <v>2034</v>
      </c>
      <c r="M6" s="1753">
        <f>SUMPRODUCT((区片价!B110:B157=I2)*(区片价!C3:F3=E2)*(区片价!C110:F157))</f>
        <v>0</v>
      </c>
      <c r="N6" s="1754">
        <f>SUMPRODUCT((因素修正幅度!B110:B157=I2)*(因素修正幅度!C3:F3=E2)*(因素修正幅度!C110:F157))</f>
        <v>0</v>
      </c>
      <c r="O6" s="3140"/>
      <c r="P6" s="3143"/>
      <c r="Q6" s="2022"/>
      <c r="R6" s="2573">
        <v>5</v>
      </c>
      <c r="S6" s="2573" t="e">
        <f>ROUND(IF(G3&gt;1,IF(R6&lt;7,SUMPRODUCT((B93:B98=R6)*(C92:N92=G2)*(C93:N98)),SUMIF(C92:N92,G2,C100:N100)),IF(R6&lt;7,SUMPRODUCT((B102:B107=R6)*(C92:N92=G2)*(C102:N107)),SUMIF(C92:N92,G2,C109:N109))),4)</f>
        <v>#DIV/0!</v>
      </c>
      <c r="T6" s="2573" t="e">
        <f t="shared" si="0"/>
        <v>#DIV/0!</v>
      </c>
      <c r="U6" s="2562"/>
      <c r="V6" s="2573" t="e">
        <f t="shared" si="1"/>
        <v>#DIV/0!</v>
      </c>
      <c r="W6" s="2022"/>
      <c r="X6" s="2022"/>
      <c r="Y6" s="2022"/>
      <c r="Z6" s="2022"/>
      <c r="AA6" s="2022"/>
      <c r="AB6" s="2022"/>
      <c r="AC6" s="2024"/>
      <c r="AD6" s="1321"/>
      <c r="AE6" s="1321"/>
      <c r="AF6" s="1321"/>
      <c r="AG6" s="1321"/>
      <c r="AH6" s="1321"/>
      <c r="AI6" s="1321"/>
      <c r="AJ6" s="1322"/>
    </row>
    <row r="7" spans="1:39" ht="24">
      <c r="A7" s="3739" t="str">
        <f>IF(E2="商业",IF(C8="不临58条商业街","",2),"")</f>
        <v/>
      </c>
      <c r="B7" s="1329" t="s">
        <v>910</v>
      </c>
      <c r="C7" s="1011" t="e">
        <f>IF(C8="不临58条商业街",1,ROUND(1+(1.6*E8+1.2*E9+0.8*E10+0.4*E11)*C9,4))</f>
        <v>#DIV/0!</v>
      </c>
      <c r="D7" s="1330" t="s">
        <v>911</v>
      </c>
      <c r="E7" s="1012"/>
      <c r="F7" s="1331"/>
      <c r="G7" s="1332"/>
      <c r="H7" s="1332"/>
      <c r="I7" s="1332"/>
      <c r="J7" s="1333"/>
      <c r="K7" s="3140"/>
      <c r="L7" s="1752" t="s">
        <v>2035</v>
      </c>
      <c r="M7" s="1753">
        <f>SUMPRODUCT((区片价!B158:B205=I2)*(区片价!C3:F3=E2)*(区片价!C158:F205))</f>
        <v>0</v>
      </c>
      <c r="N7" s="1754">
        <f>SUMPRODUCT((因素修正幅度!B158:B205=I2)*(因素修正幅度!C3:F3=E2)*(因素修正幅度!C158:F205))</f>
        <v>0</v>
      </c>
      <c r="O7" s="3140"/>
      <c r="P7" s="3143"/>
      <c r="Q7" s="2022"/>
      <c r="R7" s="2573">
        <v>6</v>
      </c>
      <c r="S7" s="2573" t="e">
        <f>ROUND(IF(G3&gt;1,IF(R7&lt;7,SUMPRODUCT((B93:B98=R7)*(C92:N92=G2)*(C93:N98)),SUMIF(C92:N92,G2,C100:N100)),IF(R7&lt;7,SUMPRODUCT((B102:B107=R7)*(C92:N92=G2)*(C102:N107)),SUMIF(C92:N92,G2,C109:N109))),4)</f>
        <v>#DIV/0!</v>
      </c>
      <c r="T7" s="2573" t="e">
        <f t="shared" si="0"/>
        <v>#DIV/0!</v>
      </c>
      <c r="U7" s="2562"/>
      <c r="V7" s="2573" t="e">
        <f t="shared" si="1"/>
        <v>#DIV/0!</v>
      </c>
      <c r="W7" s="2571" t="s">
        <v>2480</v>
      </c>
      <c r="X7" s="2563">
        <f>G2</f>
        <v>0</v>
      </c>
      <c r="Y7" s="2563" t="s">
        <v>2481</v>
      </c>
      <c r="Z7" s="2564">
        <f>G3</f>
        <v>0</v>
      </c>
      <c r="AA7" s="2025"/>
      <c r="AB7" s="2025"/>
      <c r="AC7" s="2026"/>
      <c r="AD7" s="2565"/>
      <c r="AE7" s="2565"/>
      <c r="AF7" s="2565"/>
      <c r="AG7" s="2565"/>
      <c r="AH7" s="2565"/>
      <c r="AI7" s="2565"/>
      <c r="AJ7" s="2566"/>
    </row>
    <row r="8" spans="1:39" ht="15">
      <c r="A8" s="3740"/>
      <c r="B8" s="1316" t="s">
        <v>912</v>
      </c>
      <c r="C8" s="1422"/>
      <c r="D8" s="1013" t="s">
        <v>913</v>
      </c>
      <c r="E8" s="1014" t="e">
        <f>ROUND(C11/E7,4)</f>
        <v>#DIV/0!</v>
      </c>
      <c r="F8" s="1334" t="s">
        <v>914</v>
      </c>
      <c r="G8" s="1335"/>
      <c r="H8" s="1335"/>
      <c r="I8" s="1335"/>
      <c r="J8" s="1336"/>
      <c r="K8" s="3140"/>
      <c r="L8" s="1752" t="s">
        <v>2036</v>
      </c>
      <c r="M8" s="1753">
        <f>SUMPRODUCT((区片价!B206:B244=I2)*(区片价!C3:F3=E2)*(区片价!C206:F244))</f>
        <v>0</v>
      </c>
      <c r="N8" s="1754">
        <f>SUMPRODUCT((因素修正幅度!B206:B244=I2)*(因素修正幅度!C3:F3=E2)*(因素修正幅度!C206:F244))</f>
        <v>0</v>
      </c>
      <c r="O8" s="3140"/>
      <c r="P8" s="2022"/>
      <c r="Q8" s="2022"/>
      <c r="R8" s="2573">
        <v>7</v>
      </c>
      <c r="S8" s="2562"/>
      <c r="T8" s="2573" t="e">
        <f t="shared" si="0"/>
        <v>#DIV/0!</v>
      </c>
      <c r="U8" s="2562"/>
      <c r="V8" s="2573" t="e">
        <f t="shared" si="1"/>
        <v>#DIV/0!</v>
      </c>
      <c r="W8" s="3726" t="s">
        <v>2498</v>
      </c>
      <c r="X8" s="3727"/>
      <c r="Y8" s="1716" t="s">
        <v>2482</v>
      </c>
      <c r="Z8" s="1716" t="s">
        <v>2483</v>
      </c>
      <c r="AA8" s="1716" t="s">
        <v>2484</v>
      </c>
      <c r="AB8" s="1716" t="s">
        <v>2485</v>
      </c>
      <c r="AC8" s="1716" t="s">
        <v>2486</v>
      </c>
      <c r="AD8" s="1716" t="s">
        <v>2487</v>
      </c>
      <c r="AE8" s="1716" t="s">
        <v>2488</v>
      </c>
      <c r="AF8" s="1716" t="s">
        <v>2489</v>
      </c>
      <c r="AG8" s="1716" t="s">
        <v>2490</v>
      </c>
      <c r="AH8" s="1716" t="s">
        <v>2491</v>
      </c>
      <c r="AI8" s="1716" t="s">
        <v>2492</v>
      </c>
      <c r="AJ8" s="1716" t="s">
        <v>2493</v>
      </c>
    </row>
    <row r="9" spans="1:39" ht="15">
      <c r="A9" s="3740"/>
      <c r="B9" s="1316" t="s">
        <v>915</v>
      </c>
      <c r="C9" s="1015">
        <f>SUMIF(修正!C71:C139,C8,修正!E71:E139)</f>
        <v>0</v>
      </c>
      <c r="D9" s="1016" t="s">
        <v>916</v>
      </c>
      <c r="E9" s="1016" t="e">
        <f>ROUND(C11/E7,4)</f>
        <v>#DIV/0!</v>
      </c>
      <c r="F9" s="1334" t="s">
        <v>917</v>
      </c>
      <c r="G9" s="1335"/>
      <c r="H9" s="1335"/>
      <c r="I9" s="1335"/>
      <c r="J9" s="1336"/>
      <c r="K9" s="3140"/>
      <c r="L9" s="1752" t="s">
        <v>2037</v>
      </c>
      <c r="M9" s="1753">
        <f>SUMPRODUCT((区片价!B245:B289=I2)*(区片价!C3:F3=E2)*(区片价!C245:F289))</f>
        <v>0</v>
      </c>
      <c r="N9" s="1754">
        <f>SUMPRODUCT((因素修正幅度!B245:B289=I2)*(因素修正幅度!C3:F3=E2)*(因素修正幅度!C245:F289))</f>
        <v>0</v>
      </c>
      <c r="O9" s="3140"/>
      <c r="P9" s="2022"/>
      <c r="Q9" s="2022"/>
      <c r="R9" s="2573">
        <v>8</v>
      </c>
      <c r="S9" s="2562"/>
      <c r="T9" s="2573" t="e">
        <f t="shared" si="0"/>
        <v>#DIV/0!</v>
      </c>
      <c r="U9" s="2562"/>
      <c r="V9" s="2573" t="e">
        <f t="shared" si="1"/>
        <v>#DIV/0!</v>
      </c>
      <c r="W9" s="3725" t="s">
        <v>2494</v>
      </c>
      <c r="X9" s="2567" t="s">
        <v>2495</v>
      </c>
      <c r="Y9" s="2701"/>
      <c r="Z9" s="2568">
        <f t="shared" ref="Z9:AJ9" si="2">$Y$9</f>
        <v>0</v>
      </c>
      <c r="AA9" s="2568">
        <f t="shared" si="2"/>
        <v>0</v>
      </c>
      <c r="AB9" s="2568">
        <f t="shared" si="2"/>
        <v>0</v>
      </c>
      <c r="AC9" s="2568">
        <f t="shared" si="2"/>
        <v>0</v>
      </c>
      <c r="AD9" s="2568">
        <f t="shared" si="2"/>
        <v>0</v>
      </c>
      <c r="AE9" s="2568">
        <f t="shared" si="2"/>
        <v>0</v>
      </c>
      <c r="AF9" s="2568">
        <f t="shared" si="2"/>
        <v>0</v>
      </c>
      <c r="AG9" s="2568">
        <f t="shared" si="2"/>
        <v>0</v>
      </c>
      <c r="AH9" s="2568">
        <f t="shared" si="2"/>
        <v>0</v>
      </c>
      <c r="AI9" s="2568">
        <f t="shared" si="2"/>
        <v>0</v>
      </c>
      <c r="AJ9" s="2568">
        <f t="shared" si="2"/>
        <v>0</v>
      </c>
    </row>
    <row r="10" spans="1:39" ht="15">
      <c r="A10" s="3740"/>
      <c r="B10" s="1316" t="s">
        <v>918</v>
      </c>
      <c r="C10" s="1016">
        <f>SUMIF(修正!C71:C139,C8,修正!F71:F139)</f>
        <v>0</v>
      </c>
      <c r="D10" s="1016" t="s">
        <v>919</v>
      </c>
      <c r="E10" s="1016" t="e">
        <f>ROUND(C11/E7,4)</f>
        <v>#DIV/0!</v>
      </c>
      <c r="F10" s="1334" t="s">
        <v>920</v>
      </c>
      <c r="G10" s="1335"/>
      <c r="H10" s="1335"/>
      <c r="I10" s="1335"/>
      <c r="J10" s="1336"/>
      <c r="K10" s="3140"/>
      <c r="L10" s="1752" t="s">
        <v>2038</v>
      </c>
      <c r="M10" s="1753">
        <f>SUMPRODUCT((区片价!B290:B316=I2)*(区片价!C3:F3=E2)*(区片价!C290:F316))</f>
        <v>0</v>
      </c>
      <c r="N10" s="1754">
        <f>SUMPRODUCT((因素修正幅度!B290:B316=I2)*(因素修正幅度!C3:F3=E2)*(因素修正幅度!C290:F316))</f>
        <v>0</v>
      </c>
      <c r="O10" s="3140"/>
      <c r="P10" s="2022"/>
      <c r="Q10" s="2022"/>
      <c r="R10" s="2573">
        <v>9</v>
      </c>
      <c r="S10" s="2562"/>
      <c r="T10" s="2573" t="e">
        <f t="shared" si="0"/>
        <v>#DIV/0!</v>
      </c>
      <c r="U10" s="2562"/>
      <c r="V10" s="2573" t="e">
        <f t="shared" si="1"/>
        <v>#DIV/0!</v>
      </c>
      <c r="W10" s="3725"/>
      <c r="X10" s="2567">
        <v>7</v>
      </c>
      <c r="Y10" s="2569">
        <f>(-0.163*(Y9^2)-0.59*Y9+7617)*(10^(-4))</f>
        <v>0.76170000000000004</v>
      </c>
      <c r="Z10" s="2569">
        <f>(-0.163*(Z9^2)-0.59*Z9+7617)*(10^(-4))</f>
        <v>0.76170000000000004</v>
      </c>
      <c r="AA10" s="2569">
        <f>(-0.161*(AA9^2)-7.509*AA9+6533)*(10^(-4))</f>
        <v>0.65329999999999999</v>
      </c>
      <c r="AB10" s="2569">
        <f>(-0.161*(AB9^2)-7.509*AB9+6533)*(10^(-4))</f>
        <v>0.65329999999999999</v>
      </c>
      <c r="AC10" s="2569">
        <f>(-0.161*(AC9^2)-7.509*AC9+6533)*(10^(-4))</f>
        <v>0.65329999999999999</v>
      </c>
      <c r="AD10" s="2569">
        <f>(-0.161*(AD9^2)-7.509*AD9+6533)*(10^(-4))</f>
        <v>0.65329999999999999</v>
      </c>
      <c r="AE10" s="2569">
        <f>(-0.161*(AE9^2)-7.509*AE9+6533)*(10^(-4))</f>
        <v>0.65329999999999999</v>
      </c>
      <c r="AF10" s="2569">
        <f>(-0.214*(AF9^2)-21.991*AF9+4665)*(10^(-4))</f>
        <v>0.46650000000000003</v>
      </c>
      <c r="AG10" s="2569">
        <f>(-0.214*(AG9^2)-21.991*AG9+4665)*(10^(-4))</f>
        <v>0.46650000000000003</v>
      </c>
      <c r="AH10" s="2569">
        <f>(-0.214*(AH9^2)-21.991*AH9+4665)*(10^(-4))</f>
        <v>0.46650000000000003</v>
      </c>
      <c r="AI10" s="2569">
        <f>(-0.214*(AI9^2)-21.991*AI9+4665)*(10^(-4))</f>
        <v>0.46650000000000003</v>
      </c>
      <c r="AJ10" s="2569">
        <f>(-0.214*(AJ9^2)-21.991*AJ9+4665)*(10^(-4))</f>
        <v>0.46650000000000003</v>
      </c>
    </row>
    <row r="11" spans="1:39" ht="15.75" customHeight="1" thickBot="1">
      <c r="A11" s="3740"/>
      <c r="B11" s="1337" t="s">
        <v>921</v>
      </c>
      <c r="C11" s="1017">
        <f>C10/4</f>
        <v>0</v>
      </c>
      <c r="D11" s="1017" t="s">
        <v>922</v>
      </c>
      <c r="E11" s="1017" t="e">
        <f>ROUND(C11/E7,4)</f>
        <v>#DIV/0!</v>
      </c>
      <c r="F11" s="1338" t="s">
        <v>923</v>
      </c>
      <c r="G11" s="1339"/>
      <c r="H11" s="1339"/>
      <c r="I11" s="1339"/>
      <c r="J11" s="1340"/>
      <c r="K11" s="3140"/>
      <c r="L11" s="1752" t="s">
        <v>2039</v>
      </c>
      <c r="M11" s="1753">
        <f>SUMPRODUCT((区片价!B317:B337=I2)*(区片价!C3:F3=E2)*(区片价!C317:F337))</f>
        <v>0</v>
      </c>
      <c r="N11" s="1754">
        <f>SUMPRODUCT((因素修正幅度!B317:B337=I2)*(因素修正幅度!C3:F3=E2)*(因素修正幅度!C317:F337))</f>
        <v>0</v>
      </c>
      <c r="O11" s="3140"/>
      <c r="P11" s="2022"/>
      <c r="Q11" s="2022"/>
      <c r="R11" s="2573">
        <v>10</v>
      </c>
      <c r="S11" s="2562"/>
      <c r="T11" s="2573" t="e">
        <f t="shared" si="0"/>
        <v>#DIV/0!</v>
      </c>
      <c r="U11" s="2562"/>
      <c r="V11" s="2573" t="e">
        <f t="shared" si="1"/>
        <v>#DIV/0!</v>
      </c>
      <c r="W11" s="3725" t="s">
        <v>2496</v>
      </c>
      <c r="X11" s="1016" t="s">
        <v>2481</v>
      </c>
      <c r="Y11" s="1534">
        <f>$G$3</f>
        <v>0</v>
      </c>
      <c r="Z11" s="1534">
        <f t="shared" ref="Z11:AJ11" si="3">$G$3</f>
        <v>0</v>
      </c>
      <c r="AA11" s="1534">
        <f t="shared" si="3"/>
        <v>0</v>
      </c>
      <c r="AB11" s="1534">
        <f t="shared" si="3"/>
        <v>0</v>
      </c>
      <c r="AC11" s="1534">
        <f t="shared" si="3"/>
        <v>0</v>
      </c>
      <c r="AD11" s="1534">
        <f t="shared" si="3"/>
        <v>0</v>
      </c>
      <c r="AE11" s="1534">
        <f t="shared" si="3"/>
        <v>0</v>
      </c>
      <c r="AF11" s="1534">
        <f t="shared" si="3"/>
        <v>0</v>
      </c>
      <c r="AG11" s="1534">
        <f t="shared" si="3"/>
        <v>0</v>
      </c>
      <c r="AH11" s="1534">
        <f t="shared" si="3"/>
        <v>0</v>
      </c>
      <c r="AI11" s="1534">
        <f t="shared" si="3"/>
        <v>0</v>
      </c>
      <c r="AJ11" s="1534">
        <f t="shared" si="3"/>
        <v>0</v>
      </c>
    </row>
    <row r="12" spans="1:39" ht="25.5" thickBot="1">
      <c r="A12" s="3739" t="s">
        <v>1666</v>
      </c>
      <c r="B12" s="1341" t="s">
        <v>924</v>
      </c>
      <c r="C12" s="1011">
        <f>ROUND(C15*D15*E15*F15*G15*H15*I15*J15,4)</f>
        <v>1</v>
      </c>
      <c r="D12" s="1342" t="s">
        <v>925</v>
      </c>
      <c r="E12" s="1343"/>
      <c r="F12" s="1343"/>
      <c r="G12" s="1344"/>
      <c r="H12" s="1344"/>
      <c r="I12" s="1344"/>
      <c r="J12" s="1345"/>
      <c r="K12" s="3140"/>
      <c r="L12" s="1755" t="s">
        <v>2040</v>
      </c>
      <c r="M12" s="1756">
        <f>SUMPRODUCT((区片价!B338:B344=I2)*(区片价!C3:F3=E2)*(区片价!C338:F344))</f>
        <v>0</v>
      </c>
      <c r="N12" s="1757">
        <f>SUMPRODUCT((因素修正幅度!B338:B344=I2)*(因素修正幅度!C3:F3=E2)*(因素修正幅度!C338:F344))</f>
        <v>0</v>
      </c>
      <c r="O12" s="3140"/>
      <c r="P12" s="2022"/>
      <c r="Q12" s="2022"/>
      <c r="R12" s="2573">
        <v>11</v>
      </c>
      <c r="S12" s="2562"/>
      <c r="T12" s="2573" t="e">
        <f t="shared" si="0"/>
        <v>#DIV/0!</v>
      </c>
      <c r="U12" s="2562"/>
      <c r="V12" s="2573" t="e">
        <f t="shared" si="1"/>
        <v>#DIV/0!</v>
      </c>
      <c r="W12" s="3725"/>
      <c r="X12" s="2570" t="s">
        <v>2497</v>
      </c>
      <c r="Y12" s="2568">
        <f t="shared" ref="Y12:AJ12" si="4">Y9</f>
        <v>0</v>
      </c>
      <c r="Z12" s="2568">
        <f t="shared" si="4"/>
        <v>0</v>
      </c>
      <c r="AA12" s="2568">
        <f t="shared" si="4"/>
        <v>0</v>
      </c>
      <c r="AB12" s="2568">
        <f t="shared" si="4"/>
        <v>0</v>
      </c>
      <c r="AC12" s="2568">
        <f t="shared" si="4"/>
        <v>0</v>
      </c>
      <c r="AD12" s="2568">
        <f t="shared" si="4"/>
        <v>0</v>
      </c>
      <c r="AE12" s="2568">
        <f t="shared" si="4"/>
        <v>0</v>
      </c>
      <c r="AF12" s="2568">
        <f t="shared" si="4"/>
        <v>0</v>
      </c>
      <c r="AG12" s="2568">
        <f t="shared" si="4"/>
        <v>0</v>
      </c>
      <c r="AH12" s="2568">
        <f t="shared" si="4"/>
        <v>0</v>
      </c>
      <c r="AI12" s="2568">
        <f t="shared" si="4"/>
        <v>0</v>
      </c>
      <c r="AJ12" s="2568">
        <f t="shared" si="4"/>
        <v>0</v>
      </c>
    </row>
    <row r="13" spans="1:39" ht="24">
      <c r="A13" s="3741"/>
      <c r="B13" s="1346" t="s">
        <v>1495</v>
      </c>
      <c r="C13" s="1347" t="s">
        <v>1496</v>
      </c>
      <c r="D13" s="1053" t="s">
        <v>1497</v>
      </c>
      <c r="E13" s="1053" t="s">
        <v>1498</v>
      </c>
      <c r="F13" s="1348" t="s">
        <v>926</v>
      </c>
      <c r="G13" s="1349" t="s">
        <v>1442</v>
      </c>
      <c r="H13" s="1350" t="s">
        <v>1442</v>
      </c>
      <c r="I13" s="1351" t="s">
        <v>1442</v>
      </c>
      <c r="J13" s="1352" t="s">
        <v>1442</v>
      </c>
      <c r="K13" s="2758"/>
      <c r="L13" s="2758"/>
      <c r="M13" s="2758"/>
      <c r="N13" s="2758"/>
      <c r="O13" s="2758"/>
      <c r="P13" s="2022"/>
      <c r="Q13" s="2022"/>
      <c r="R13" s="2573">
        <v>12</v>
      </c>
      <c r="S13" s="2562"/>
      <c r="T13" s="2573" t="e">
        <f t="shared" si="0"/>
        <v>#DIV/0!</v>
      </c>
      <c r="U13" s="2562"/>
      <c r="V13" s="2573" t="e">
        <f t="shared" si="1"/>
        <v>#DIV/0!</v>
      </c>
      <c r="W13" s="3725"/>
      <c r="X13" s="2570"/>
      <c r="Y13" s="2569" t="e">
        <f>(-0.163*(Y12^2)-0.59*Y12+7617)*(10^(-4))/Y11</f>
        <v>#DIV/0!</v>
      </c>
      <c r="Z13" s="2569" t="e">
        <f t="shared" ref="Z13:AJ13" si="5">(-0.163*(Z12^2)-0.59*Z12+7617)*(10^(-4))/Z11</f>
        <v>#DIV/0!</v>
      </c>
      <c r="AA13" s="2569" t="e">
        <f t="shared" si="5"/>
        <v>#DIV/0!</v>
      </c>
      <c r="AB13" s="2569" t="e">
        <f t="shared" si="5"/>
        <v>#DIV/0!</v>
      </c>
      <c r="AC13" s="2569" t="e">
        <f t="shared" si="5"/>
        <v>#DIV/0!</v>
      </c>
      <c r="AD13" s="2569" t="e">
        <f t="shared" si="5"/>
        <v>#DIV/0!</v>
      </c>
      <c r="AE13" s="2569" t="e">
        <f t="shared" si="5"/>
        <v>#DIV/0!</v>
      </c>
      <c r="AF13" s="2569" t="e">
        <f t="shared" si="5"/>
        <v>#DIV/0!</v>
      </c>
      <c r="AG13" s="2569" t="e">
        <f t="shared" si="5"/>
        <v>#DIV/0!</v>
      </c>
      <c r="AH13" s="2569" t="e">
        <f t="shared" si="5"/>
        <v>#DIV/0!</v>
      </c>
      <c r="AI13" s="2569" t="e">
        <f t="shared" si="5"/>
        <v>#DIV/0!</v>
      </c>
      <c r="AJ13" s="2569" t="e">
        <f t="shared" si="5"/>
        <v>#DIV/0!</v>
      </c>
    </row>
    <row r="14" spans="1:39" ht="12.75" customHeight="1">
      <c r="A14" s="3741"/>
      <c r="B14" s="1353"/>
      <c r="C14" s="1354"/>
      <c r="D14" s="1355"/>
      <c r="E14" s="1355"/>
      <c r="F14" s="1356"/>
      <c r="G14" s="1357" t="s">
        <v>927</v>
      </c>
      <c r="H14" s="1358"/>
      <c r="I14" s="1359"/>
      <c r="J14" s="1360"/>
      <c r="K14" s="3141"/>
      <c r="L14" s="3141"/>
      <c r="M14" s="3141"/>
      <c r="N14" s="3141"/>
      <c r="O14" s="3141"/>
      <c r="P14" s="2022"/>
      <c r="Q14" s="2022"/>
      <c r="R14" s="2573">
        <v>13</v>
      </c>
      <c r="S14" s="2562"/>
      <c r="T14" s="2573" t="e">
        <f t="shared" si="0"/>
        <v>#DIV/0!</v>
      </c>
      <c r="U14" s="2562"/>
      <c r="V14" s="2573" t="e">
        <f t="shared" si="1"/>
        <v>#DIV/0!</v>
      </c>
      <c r="W14" s="2022"/>
      <c r="X14" s="2022"/>
      <c r="Y14" s="2022"/>
      <c r="Z14" s="2022"/>
      <c r="AA14" s="2022"/>
      <c r="AB14" s="2022"/>
      <c r="AC14" s="2023"/>
    </row>
    <row r="15" spans="1:39" ht="13.5" customHeight="1" thickBot="1">
      <c r="A15" s="3742"/>
      <c r="B15" s="2763" t="s">
        <v>1499</v>
      </c>
      <c r="C15" s="1017">
        <f>IF(C14="有",1.1,1)</f>
        <v>1</v>
      </c>
      <c r="D15" s="1017">
        <f>IF(D14="有",1.1,1)</f>
        <v>1</v>
      </c>
      <c r="E15" s="1017">
        <f>IF(E14="有",1.1,1)</f>
        <v>1</v>
      </c>
      <c r="F15" s="1017">
        <f>IF(F14="500米范围内",1.2,IF(F14="500-1000米",1.1,1))</f>
        <v>1</v>
      </c>
      <c r="G15" s="2755">
        <v>1</v>
      </c>
      <c r="H15" s="2755">
        <v>1</v>
      </c>
      <c r="I15" s="2755">
        <v>1</v>
      </c>
      <c r="J15" s="2756">
        <v>1</v>
      </c>
      <c r="K15" s="2759"/>
      <c r="L15" s="2759"/>
      <c r="M15" s="2759"/>
      <c r="N15" s="2759"/>
      <c r="O15" s="2759"/>
      <c r="P15" s="2022"/>
      <c r="Q15" s="2022"/>
      <c r="R15" s="2573">
        <v>14</v>
      </c>
      <c r="S15" s="2562"/>
      <c r="T15" s="2573" t="e">
        <f t="shared" si="0"/>
        <v>#DIV/0!</v>
      </c>
      <c r="U15" s="2562"/>
      <c r="V15" s="2573" t="e">
        <f t="shared" si="1"/>
        <v>#DIV/0!</v>
      </c>
      <c r="W15" s="2022"/>
      <c r="X15" s="2022"/>
      <c r="Y15" s="2022"/>
      <c r="Z15" s="2022"/>
      <c r="AA15" s="2022"/>
      <c r="AB15" s="2022"/>
      <c r="AC15" s="2023"/>
    </row>
    <row r="16" spans="1:39" ht="24.6" customHeight="1">
      <c r="A16" s="3739" t="s">
        <v>1637</v>
      </c>
      <c r="B16" s="1329" t="s">
        <v>928</v>
      </c>
      <c r="C16" s="1020" t="e">
        <f>ROUND(IF(F17="与级别开发程度一致",0,(G17-E17)/C17),0)</f>
        <v>#DIV/0!</v>
      </c>
      <c r="D16" s="3733" t="s">
        <v>932</v>
      </c>
      <c r="E16" s="3734"/>
      <c r="F16" s="3733" t="s">
        <v>929</v>
      </c>
      <c r="G16" s="3734"/>
      <c r="H16" s="1361"/>
      <c r="I16" s="1361"/>
      <c r="J16" s="1361"/>
      <c r="K16" s="1361"/>
      <c r="L16" s="1361"/>
      <c r="M16" s="1361"/>
      <c r="N16" s="1361"/>
      <c r="O16" s="2768"/>
      <c r="P16" s="2022"/>
      <c r="Q16" s="2025"/>
      <c r="R16" s="2573">
        <v>15</v>
      </c>
      <c r="S16" s="2562"/>
      <c r="T16" s="2573" t="e">
        <f t="shared" si="0"/>
        <v>#DIV/0!</v>
      </c>
      <c r="U16" s="2562"/>
      <c r="V16" s="2573" t="e">
        <f t="shared" si="1"/>
        <v>#DIV/0!</v>
      </c>
      <c r="W16" s="2025"/>
      <c r="X16" s="2025"/>
      <c r="Y16" s="2025"/>
      <c r="Z16" s="2025"/>
      <c r="AA16" s="2025"/>
      <c r="AB16" s="2025"/>
      <c r="AC16" s="2026"/>
    </row>
    <row r="17" spans="1:40" ht="13.5" thickBot="1">
      <c r="A17" s="3743"/>
      <c r="B17" s="2769" t="s">
        <v>931</v>
      </c>
      <c r="C17" s="2770">
        <f>SUMPRODUCT((修正!A2:A7=E2)*(修正!B1:M1=G2)*(修正!B2:M7))</f>
        <v>0</v>
      </c>
      <c r="D17" s="2771" t="str">
        <f>IF(OR(G2="八级",G2="九级",G2="十级",G2="十一级",G2="十二级"),"五通一平","七通一平")</f>
        <v>七通一平</v>
      </c>
      <c r="E17" s="2761">
        <f>SUMPRODUCT((修正!B1:M1=G2)*(修正!B17:M17))</f>
        <v>0</v>
      </c>
      <c r="F17" s="2762"/>
      <c r="G17" s="2761">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72">
        <f>SUMPRODUCT((七通一平=O16)*(修正!B1:M1=G2)*(修正!B8:M16))</f>
        <v>0</v>
      </c>
      <c r="P17" s="2022"/>
      <c r="Q17" s="2025"/>
      <c r="R17" s="2026"/>
      <c r="S17" s="2026"/>
      <c r="T17" s="2026"/>
      <c r="U17" s="2026"/>
      <c r="V17" s="2026"/>
      <c r="W17" s="2025"/>
      <c r="X17" s="2025"/>
      <c r="Y17" s="2025"/>
      <c r="Z17" s="2025"/>
      <c r="AA17" s="2025"/>
      <c r="AB17" s="2025"/>
      <c r="AC17" s="2026"/>
      <c r="AH17" s="1304"/>
      <c r="AI17" s="1304"/>
      <c r="AJ17" s="1307"/>
      <c r="AK17" s="1307"/>
      <c r="AL17" s="1307"/>
      <c r="AM17" s="1307"/>
    </row>
    <row r="18" spans="1:40" s="1323" customFormat="1" ht="15.75" thickBot="1">
      <c r="A18" s="2417" t="s">
        <v>1628</v>
      </c>
      <c r="B18" s="2764" t="s">
        <v>933</v>
      </c>
      <c r="C18" s="2765">
        <f>SUMIF(修正!C20:C51,E3,修正!E20:E51)</f>
        <v>0</v>
      </c>
      <c r="D18" s="2766"/>
      <c r="E18" s="2767"/>
      <c r="F18" s="2750"/>
      <c r="G18" s="2749"/>
      <c r="H18" s="2749"/>
      <c r="I18" s="2749"/>
      <c r="J18" s="2757"/>
      <c r="K18" s="3139"/>
      <c r="L18" s="2749"/>
      <c r="M18" s="2749"/>
      <c r="N18" s="2749"/>
      <c r="O18" s="2749"/>
      <c r="P18" s="3144"/>
      <c r="Q18" s="2027"/>
      <c r="R18" s="2027"/>
      <c r="S18" s="2027"/>
      <c r="T18" s="2027"/>
      <c r="U18" s="2027"/>
      <c r="V18" s="2027"/>
      <c r="W18" s="2026"/>
      <c r="X18" s="2026"/>
      <c r="Y18" s="2026"/>
      <c r="Z18" s="2026"/>
      <c r="AA18" s="2025"/>
      <c r="AB18" s="2025"/>
      <c r="AC18" s="2028"/>
      <c r="AD18" s="1366"/>
      <c r="AE18" s="1366"/>
      <c r="AF18" s="1366"/>
      <c r="AG18" s="1366"/>
      <c r="AH18" s="1305"/>
      <c r="AI18" s="1305"/>
      <c r="AJ18" s="1306"/>
      <c r="AK18" s="1306"/>
      <c r="AL18" s="1306"/>
    </row>
    <row r="19" spans="1:40" s="1323" customFormat="1" ht="27.75" thickBot="1">
      <c r="A19" s="1521" t="s">
        <v>1634</v>
      </c>
      <c r="B19" s="1364" t="s">
        <v>934</v>
      </c>
      <c r="C19" s="1021">
        <f>ROUND(IF(H19="按公示增长率计算",SUMPRODUCT((地价!A3:A41=YEAR(G19)&amp;"-"&amp;ROUNDUP(MONTH(G19)/3,0))*(地价!X2:AB2=E2)*(地价!X3:AB41)),IF(H19="地价指数",M20/M19,(1+I19)^O19)),4)</f>
        <v>0</v>
      </c>
      <c r="D19" s="1368" t="s">
        <v>935</v>
      </c>
      <c r="E19" s="1022">
        <v>41640</v>
      </c>
      <c r="F19" s="1368" t="s">
        <v>936</v>
      </c>
      <c r="G19" s="1023">
        <f>'数据-取费表'!B2</f>
        <v>44895</v>
      </c>
      <c r="H19" s="1369" t="s">
        <v>2686</v>
      </c>
      <c r="I19" s="2423" t="str">
        <f>IF(H19="季度增幅（自定义）",SUMIF(N21:N24,E2,O21:O24),"")</f>
        <v/>
      </c>
      <c r="J19" s="1365"/>
      <c r="K19" s="3139"/>
      <c r="L19" s="2669" t="s">
        <v>2554</v>
      </c>
      <c r="M19" s="2670">
        <f>ROUND(SUMIF(地价!B2:F2,E2,地价!B41:F41),0)</f>
        <v>0</v>
      </c>
      <c r="N19" s="2425" t="s">
        <v>1475</v>
      </c>
      <c r="O19" s="2424">
        <f>ROUNDDOWN(DATEDIF(E19,G19,"M")/3,0)</f>
        <v>35</v>
      </c>
      <c r="P19" s="2026"/>
      <c r="Q19" s="2561"/>
      <c r="R19" s="2028"/>
      <c r="S19" s="2028"/>
      <c r="T19" s="2028"/>
      <c r="U19" s="2028"/>
      <c r="V19" s="2028"/>
      <c r="W19" s="2028"/>
      <c r="X19" s="2028"/>
      <c r="Y19" s="1305"/>
      <c r="Z19" s="1305"/>
      <c r="AA19" s="1305"/>
      <c r="AB19" s="1305"/>
      <c r="AC19" s="1366"/>
      <c r="AD19" s="1367"/>
      <c r="AE19" s="1371"/>
      <c r="AF19" s="1306"/>
      <c r="AG19" s="1322"/>
      <c r="AH19" s="1322"/>
      <c r="AI19" s="1322"/>
    </row>
    <row r="20" spans="1:40" s="1323" customFormat="1" ht="27.75" thickBot="1">
      <c r="A20" s="2417" t="s">
        <v>1635</v>
      </c>
      <c r="B20" s="2418" t="s">
        <v>949</v>
      </c>
      <c r="C20" s="2419" t="e">
        <f>ROUND(POWER(1+G20,J20-I20)*(POWER(1+G20,I20)-1)/(POWER(1+G20,J20)-1),4)</f>
        <v>#DIV/0!</v>
      </c>
      <c r="D20" s="2420" t="s">
        <v>950</v>
      </c>
      <c r="E20" s="2698">
        <f>存贷款利率!E22/100</f>
        <v>4.3499999999999997E-2</v>
      </c>
      <c r="F20" s="2420" t="s">
        <v>951</v>
      </c>
      <c r="G20" s="2421">
        <f>SUMIF(M26:P26,E2,M28:P28)</f>
        <v>0</v>
      </c>
      <c r="H20" s="2420" t="s">
        <v>952</v>
      </c>
      <c r="I20" s="2416" t="e">
        <f>SUMIF('数据-取费表'!C6:C15,E2,'数据-取费表'!F6:F15)/COUNTIF('数据-取费表'!C6:C15,E2)</f>
        <v>#DIV/0!</v>
      </c>
      <c r="J20" s="2422">
        <f>IF(E2="住宅",70,IF(E2="商业",40,50))</f>
        <v>50</v>
      </c>
      <c r="K20" s="2759"/>
      <c r="L20" s="2671" t="s">
        <v>2555</v>
      </c>
      <c r="M20" s="2752">
        <f>ROUND(SUMPRODUCT((地价!A4:A41=YEAR(G19)&amp;"-"&amp;ROUNDUP(MONTH(G19)/3,0))*(地价!B2:F2=E2)*(地价!B4:F41)),0)</f>
        <v>0</v>
      </c>
      <c r="N20" s="2428" t="s">
        <v>2361</v>
      </c>
      <c r="O20" s="2426" t="s">
        <v>2360</v>
      </c>
      <c r="P20" s="2427" t="s">
        <v>2366</v>
      </c>
      <c r="Q20" s="2561"/>
      <c r="R20" s="2028"/>
      <c r="S20" s="2028"/>
      <c r="T20" s="2028"/>
      <c r="U20" s="2028"/>
      <c r="V20" s="2028"/>
      <c r="W20" s="2028"/>
      <c r="X20" s="2028"/>
      <c r="Y20" s="1366"/>
      <c r="Z20" s="1366"/>
      <c r="AA20" s="1366"/>
      <c r="AB20" s="1366"/>
      <c r="AC20" s="1366"/>
      <c r="AD20" s="1366"/>
    </row>
    <row r="21" spans="1:40" s="1323" customFormat="1" ht="14.25">
      <c r="A21" s="1523" t="s">
        <v>1636</v>
      </c>
      <c r="B21" s="1374" t="s">
        <v>2719</v>
      </c>
      <c r="C21" s="1103" t="b">
        <f>IF(B21="容积率修正",IF(G3&lt;=10,D22,J22),C23)</f>
        <v>0</v>
      </c>
      <c r="D21" s="1375"/>
      <c r="E21" s="1375"/>
      <c r="F21" s="1375"/>
      <c r="G21" s="1375"/>
      <c r="H21" s="1375"/>
      <c r="I21" s="1375"/>
      <c r="J21" s="1376"/>
      <c r="K21" s="3139"/>
      <c r="L21" s="1375"/>
      <c r="M21" s="1375"/>
      <c r="N21" s="1372" t="s">
        <v>953</v>
      </c>
      <c r="O21" s="1435"/>
      <c r="P21" s="2415">
        <f>SUMPRODUCT((地价!A3:A41=YEAR(G19)&amp;"-"&amp;ROUNDUP(MONTH(G19)/3,0))*(地价!AD2:AH2=N21)*(地价!AD3:AH41))</f>
        <v>9.4000000000000004E-3</v>
      </c>
      <c r="Q21" s="2561"/>
      <c r="R21" s="2028"/>
      <c r="S21" s="2028"/>
      <c r="T21" s="2028"/>
      <c r="U21" s="2028"/>
      <c r="V21" s="2028"/>
      <c r="W21" s="2028"/>
      <c r="X21" s="2028"/>
      <c r="Y21" s="1305"/>
      <c r="Z21" s="1305"/>
      <c r="AA21" s="1305"/>
      <c r="AB21" s="1305"/>
      <c r="AC21" s="1366"/>
      <c r="AD21" s="1366"/>
    </row>
    <row r="22" spans="1:40" s="1323" customFormat="1" ht="14.25">
      <c r="A22" s="1524" t="s">
        <v>1665</v>
      </c>
      <c r="B22" s="1377" t="s">
        <v>954</v>
      </c>
      <c r="C22" s="1024" t="s">
        <v>1501</v>
      </c>
      <c r="D22" s="1024" t="b">
        <f>IF(E22=G22,F22,IF(G3&lt;=10,ROUND(F22+(H22-F22)*(G3-E22)/(G22-E22),4),"——"))</f>
        <v>0</v>
      </c>
      <c r="E22" s="1007">
        <f>ROUNDDOWN(G3,1)</f>
        <v>0</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955</v>
      </c>
      <c r="J22" s="1024" t="str">
        <f>IF(G3&gt;10,D113,"——")</f>
        <v>——</v>
      </c>
      <c r="K22" s="3145"/>
      <c r="L22" s="1375"/>
      <c r="M22" s="1375"/>
      <c r="N22" s="1372" t="s">
        <v>956</v>
      </c>
      <c r="O22" s="1435"/>
      <c r="P22" s="2415">
        <f>SUMPRODUCT((地价!A3:A41=YEAR(G19)&amp;"-"&amp;ROUNDUP(MONTH(G19)/3,0))*(地价!AD2:AH2=N22)*(地价!AD3:AH41))</f>
        <v>9.4000000000000004E-3</v>
      </c>
      <c r="Q22" s="2561"/>
      <c r="R22" s="2028"/>
      <c r="S22" s="2028"/>
      <c r="T22" s="2028"/>
      <c r="U22" s="2028"/>
      <c r="V22" s="2028"/>
      <c r="W22" s="2028"/>
      <c r="X22" s="2028"/>
      <c r="Y22" s="1366"/>
      <c r="Z22" s="1366"/>
      <c r="AA22" s="1366"/>
      <c r="AB22" s="1366"/>
      <c r="AC22" s="1366"/>
      <c r="AD22" s="1366"/>
    </row>
    <row r="23" spans="1:40" ht="15.75" thickBot="1">
      <c r="A23" s="1524" t="s">
        <v>1666</v>
      </c>
      <c r="B23" s="1377" t="s">
        <v>957</v>
      </c>
      <c r="C23" s="1025">
        <f>ROUND(IF(G3&gt;1,IF(I3&lt;7,SUMPRODUCT((B93:B98=I3)*(C92:N92=G2)*(C93:N98)),SUMIF(C92:N92,G2,C100:N100)),IF(I3&lt;7,SUMPRODUCT((B102:B107=I3)*(C92:N92=G2)*(C102:N107)),SUMIF(C92:N92,G2,C109:N109))),4)</f>
        <v>0</v>
      </c>
      <c r="D23" s="1423"/>
      <c r="E23" s="1423"/>
      <c r="F23" s="1424"/>
      <c r="G23" s="1425"/>
      <c r="H23" s="1426"/>
      <c r="I23" s="1427"/>
      <c r="J23" s="1427"/>
      <c r="K23" s="3146"/>
      <c r="L23" s="1303"/>
      <c r="M23" s="1303"/>
      <c r="N23" s="1372" t="s">
        <v>901</v>
      </c>
      <c r="O23" s="1435"/>
      <c r="P23" s="2415">
        <f>SUMPRODUCT((地价!A3:A41=YEAR(G19)&amp;"-"&amp;ROUNDUP(MONTH(G19)/3,0))*(地价!AD2:AH2=N23)*(地价!AD3:AH41))</f>
        <v>1.66E-2</v>
      </c>
      <c r="Q23" s="2561"/>
      <c r="R23" s="2028"/>
      <c r="S23" s="2028"/>
      <c r="T23" s="2028"/>
      <c r="U23" s="2028"/>
      <c r="V23" s="2028"/>
      <c r="W23" s="2028"/>
      <c r="X23" s="2028"/>
      <c r="Y23" s="1305"/>
      <c r="Z23" s="1305"/>
      <c r="AA23" s="1305"/>
      <c r="AB23" s="1305"/>
      <c r="AC23" s="1305"/>
      <c r="AE23" s="1306"/>
      <c r="AF23" s="1306"/>
      <c r="AG23" s="1306"/>
      <c r="AH23" s="1306"/>
      <c r="AI23" s="1306"/>
      <c r="AJ23" s="1307"/>
      <c r="AK23" s="1307"/>
      <c r="AL23" s="1307"/>
      <c r="AM23" s="1307"/>
    </row>
    <row r="24" spans="1:40" s="1323" customFormat="1" ht="15.75" thickBot="1">
      <c r="A24" s="1522" t="s">
        <v>1667</v>
      </c>
      <c r="B24" s="1317" t="s">
        <v>958</v>
      </c>
      <c r="C24" s="1026">
        <f>SUMIF(A44:A87,E2,B44:B87)</f>
        <v>0</v>
      </c>
      <c r="D24" s="1428"/>
      <c r="E24" s="1429"/>
      <c r="F24" s="1429"/>
      <c r="G24" s="1429"/>
      <c r="H24" s="1429"/>
      <c r="I24" s="1429"/>
      <c r="J24" s="1429"/>
      <c r="K24" s="3146"/>
      <c r="L24" s="1375"/>
      <c r="M24" s="1375"/>
      <c r="N24" s="1372" t="s">
        <v>959</v>
      </c>
      <c r="O24" s="2751"/>
      <c r="P24" s="2415">
        <f>SUMPRODUCT((地价!A3:A41=YEAR(G19)&amp;"-"&amp;ROUNDUP(MONTH(G19)/3,0))*(地价!AD2:AH2=N24)*(地价!AD3:AH41))</f>
        <v>1.0999999999999999E-2</v>
      </c>
      <c r="Q24" s="2561"/>
      <c r="R24" s="2028"/>
      <c r="S24" s="2028"/>
      <c r="T24" s="2028"/>
      <c r="U24" s="2028"/>
      <c r="V24" s="2028"/>
      <c r="W24" s="2028"/>
      <c r="X24" s="2028"/>
      <c r="Y24" s="1366"/>
      <c r="Z24" s="1366"/>
      <c r="AA24" s="1366"/>
      <c r="AB24" s="1366"/>
      <c r="AC24" s="1366"/>
      <c r="AD24" s="1366"/>
    </row>
    <row r="25" spans="1:40" ht="15" thickBot="1">
      <c r="A25" s="1522" t="s">
        <v>1668</v>
      </c>
      <c r="B25" s="1379" t="s">
        <v>960</v>
      </c>
      <c r="C25" s="1380"/>
      <c r="D25" s="1332"/>
      <c r="E25" s="1332"/>
      <c r="F25" s="1381"/>
      <c r="G25" s="1332"/>
      <c r="H25" s="1332"/>
      <c r="I25" s="1332"/>
      <c r="J25" s="1333"/>
      <c r="K25" s="3140"/>
      <c r="L25" s="2028"/>
      <c r="M25" s="2028"/>
      <c r="N25" s="2753" t="s">
        <v>2364</v>
      </c>
      <c r="O25" s="2754"/>
      <c r="P25" s="2254">
        <f>SUMPRODUCT((地价!A3:A41=YEAR(G19)&amp;"-"&amp;ROUNDUP(MONTH(G19)/3,0))*(地价!AD2:AH2=N25)*(地价!AD3:AH41))</f>
        <v>1.5100000000000001E-2</v>
      </c>
      <c r="Q25" s="2561"/>
      <c r="R25" s="2028"/>
      <c r="S25" s="2028"/>
      <c r="T25" s="2028"/>
      <c r="U25" s="2028"/>
      <c r="V25" s="2028"/>
      <c r="W25" s="2028"/>
      <c r="X25" s="2028"/>
      <c r="Y25" s="1305"/>
      <c r="Z25" s="1305"/>
      <c r="AA25" s="1305"/>
      <c r="AB25" s="1305"/>
      <c r="AC25" s="1305"/>
      <c r="AE25" s="1306"/>
      <c r="AF25" s="1306"/>
      <c r="AG25" s="1306"/>
      <c r="AH25" s="1306"/>
      <c r="AI25" s="1307"/>
      <c r="AJ25" s="1307"/>
      <c r="AK25" s="1307"/>
      <c r="AL25" s="1307"/>
      <c r="AM25" s="1307"/>
    </row>
    <row r="26" spans="1:40" ht="14.25">
      <c r="A26" s="1382"/>
      <c r="B26" s="1377" t="s">
        <v>964</v>
      </c>
      <c r="C26" s="2922" t="e">
        <f>IF(B21="容积率修正",E29+SUM(E33:E39),SUM(V2:V16)+SUM(E33:E39))</f>
        <v>#DIV/0!</v>
      </c>
      <c r="D26" s="1383"/>
      <c r="E26" s="1358"/>
      <c r="F26" s="1384"/>
      <c r="G26" s="1358"/>
      <c r="H26" s="1358"/>
      <c r="I26" s="1358"/>
      <c r="J26" s="1385"/>
      <c r="K26" s="3140"/>
      <c r="L26" s="1482" t="s">
        <v>876</v>
      </c>
      <c r="M26" s="1330" t="s">
        <v>961</v>
      </c>
      <c r="N26" s="1330" t="s">
        <v>962</v>
      </c>
      <c r="O26" s="1330" t="s">
        <v>880</v>
      </c>
      <c r="P26" s="1370" t="s">
        <v>963</v>
      </c>
      <c r="Q26" s="2561"/>
      <c r="R26" s="2028"/>
      <c r="S26" s="2028"/>
      <c r="T26" s="2028"/>
      <c r="U26" s="2028"/>
      <c r="V26" s="2028"/>
      <c r="W26" s="2028"/>
      <c r="X26" s="2028"/>
      <c r="Y26" s="1366"/>
      <c r="Z26" s="1366"/>
      <c r="AA26" s="1366"/>
      <c r="AB26" s="1366"/>
      <c r="AC26" s="1305"/>
      <c r="AE26" s="1306"/>
      <c r="AF26" s="1306"/>
      <c r="AG26" s="1306"/>
      <c r="AH26" s="1306"/>
      <c r="AI26" s="1307"/>
      <c r="AJ26" s="1307"/>
      <c r="AK26" s="1307"/>
      <c r="AL26" s="1307"/>
      <c r="AM26" s="1307"/>
    </row>
    <row r="27" spans="1:40" ht="15" thickBot="1">
      <c r="A27" s="1382"/>
      <c r="B27" s="1386" t="s">
        <v>966</v>
      </c>
      <c r="C27" s="1028" t="e">
        <f>E30+SUM(I33:I39)</f>
        <v>#DIV/0!</v>
      </c>
      <c r="D27" s="1387"/>
      <c r="E27" s="1388"/>
      <c r="F27" s="1389"/>
      <c r="G27" s="1388"/>
      <c r="H27" s="1388"/>
      <c r="I27" s="1388"/>
      <c r="J27" s="1390"/>
      <c r="K27" s="3140"/>
      <c r="L27" s="1362" t="s">
        <v>965</v>
      </c>
      <c r="M27" s="1015">
        <v>0.25</v>
      </c>
      <c r="N27" s="1015">
        <v>0.2</v>
      </c>
      <c r="O27" s="1015">
        <v>0.15</v>
      </c>
      <c r="P27" s="1432">
        <v>0.1</v>
      </c>
      <c r="Q27" s="2028"/>
      <c r="R27" s="2561"/>
      <c r="S27" s="2561"/>
      <c r="T27" s="2561"/>
      <c r="U27" s="2561"/>
      <c r="V27" s="2561"/>
      <c r="W27" s="2028"/>
      <c r="X27" s="2028"/>
      <c r="Y27" s="2028"/>
      <c r="Z27" s="2028"/>
      <c r="AA27" s="2028"/>
      <c r="AB27" s="2028"/>
      <c r="AC27" s="2028"/>
    </row>
    <row r="28" spans="1:40" ht="15" thickBot="1">
      <c r="A28" s="1378"/>
      <c r="B28" s="1391" t="s">
        <v>967</v>
      </c>
      <c r="C28" s="1392" t="s">
        <v>968</v>
      </c>
      <c r="D28" s="1392" t="s">
        <v>969</v>
      </c>
      <c r="E28" s="1393" t="s">
        <v>970</v>
      </c>
      <c r="F28" s="1394"/>
      <c r="G28" s="1344"/>
      <c r="H28" s="1344"/>
      <c r="I28" s="1344"/>
      <c r="J28" s="1345"/>
      <c r="K28" s="3140"/>
      <c r="L28" s="1363" t="s">
        <v>951</v>
      </c>
      <c r="M28" s="1433">
        <f>ROUND($E$20*(1+M27),3)</f>
        <v>5.3999999999999999E-2</v>
      </c>
      <c r="N28" s="1433">
        <f>ROUND($E$20*(1+N27),3)</f>
        <v>5.1999999999999998E-2</v>
      </c>
      <c r="O28" s="1433">
        <f>ROUND($E$20*(1+O27),3)</f>
        <v>0.05</v>
      </c>
      <c r="P28" s="1434">
        <f>ROUND($E$20*(1+P27),3)</f>
        <v>4.8000000000000001E-2</v>
      </c>
      <c r="Q28" s="2028"/>
      <c r="R28" s="2561"/>
      <c r="S28" s="2561"/>
      <c r="T28" s="2561"/>
      <c r="U28" s="2561"/>
      <c r="V28" s="2561"/>
      <c r="W28" s="2028"/>
      <c r="X28" s="2028"/>
      <c r="Y28" s="2028"/>
      <c r="Z28" s="2028"/>
      <c r="AA28" s="2028"/>
      <c r="AB28" s="2028"/>
      <c r="AC28" s="2028"/>
      <c r="AD28" s="1366"/>
      <c r="AE28" s="1366"/>
      <c r="AF28" s="1366"/>
      <c r="AG28" s="1366"/>
    </row>
    <row r="29" spans="1:40" ht="14.25">
      <c r="A29" s="1395"/>
      <c r="B29" s="1396" t="s">
        <v>971</v>
      </c>
      <c r="C29" s="1027" t="e">
        <f>ROUND(C5*C18*C19*C20*C21*C24,0)</f>
        <v>#DIV/0!</v>
      </c>
      <c r="D29" s="1397"/>
      <c r="E29" s="1716" t="e">
        <f>ROUND(C29*D29/10000,0)</f>
        <v>#DIV/0!</v>
      </c>
      <c r="F29" s="1398" t="s">
        <v>1500</v>
      </c>
      <c r="G29" s="1399"/>
      <c r="H29" s="1399"/>
      <c r="I29" s="1399"/>
      <c r="J29" s="1400"/>
      <c r="K29" s="3147"/>
      <c r="L29" s="3147"/>
      <c r="M29" s="3147"/>
      <c r="N29" s="3147"/>
      <c r="O29" s="3147"/>
      <c r="P29" s="2022"/>
      <c r="Q29" s="2028"/>
      <c r="R29" s="2028"/>
      <c r="S29" s="2028"/>
      <c r="T29" s="2028"/>
      <c r="U29" s="2028"/>
      <c r="V29" s="2028"/>
      <c r="W29" s="2561"/>
      <c r="X29" s="2561"/>
      <c r="Y29" s="2561"/>
      <c r="Z29" s="2561"/>
      <c r="AA29" s="2561"/>
      <c r="AB29" s="2028"/>
      <c r="AC29" s="2028"/>
      <c r="AD29" s="2028"/>
      <c r="AE29" s="2028"/>
      <c r="AF29" s="2028"/>
      <c r="AG29" s="2028"/>
      <c r="AH29" s="2028"/>
      <c r="AJ29" s="1305"/>
      <c r="AK29" s="1305"/>
      <c r="AL29" s="1305"/>
      <c r="AM29" s="1304"/>
      <c r="AN29" s="1304"/>
    </row>
    <row r="30" spans="1:40" ht="24.75" thickBot="1">
      <c r="A30" s="1401"/>
      <c r="B30" s="1402" t="s">
        <v>972</v>
      </c>
      <c r="C30" s="1019" t="e">
        <f>ROUND(IF(E2="工业",C29*M39,C29*M38),0)</f>
        <v>#DIV/0!</v>
      </c>
      <c r="D30" s="1403"/>
      <c r="E30" s="1716" t="e">
        <f>ROUND(C30*D30/10000,0)</f>
        <v>#DIV/0!</v>
      </c>
      <c r="F30" s="1404" t="s">
        <v>973</v>
      </c>
      <c r="G30" s="1405"/>
      <c r="H30" s="1405"/>
      <c r="I30" s="1405"/>
      <c r="J30" s="1406"/>
      <c r="K30" s="3140"/>
      <c r="L30" s="3140"/>
      <c r="M30" s="3140"/>
      <c r="N30" s="3140"/>
      <c r="O30" s="3140"/>
      <c r="P30" s="2022"/>
      <c r="Q30" s="2022"/>
      <c r="R30" s="2022"/>
      <c r="S30" s="2022"/>
      <c r="T30" s="2022"/>
      <c r="U30" s="2022"/>
      <c r="V30" s="2022"/>
      <c r="W30" s="2023"/>
      <c r="X30" s="2023"/>
      <c r="Y30" s="2023"/>
      <c r="Z30" s="2023"/>
      <c r="AA30" s="2023"/>
      <c r="AB30" s="2022"/>
      <c r="AC30" s="2022"/>
      <c r="AD30" s="2022"/>
      <c r="AE30" s="2022"/>
      <c r="AF30" s="2022"/>
      <c r="AG30" s="2022"/>
      <c r="AH30" s="2022"/>
      <c r="AI30" s="1366"/>
      <c r="AJ30" s="1366"/>
      <c r="AK30" s="1366"/>
      <c r="AL30" s="1366"/>
      <c r="AM30" s="1304"/>
      <c r="AN30" s="1304"/>
    </row>
    <row r="31" spans="1:40">
      <c r="A31" s="1407"/>
      <c r="B31" s="1408" t="s">
        <v>974</v>
      </c>
      <c r="C31" s="1409" t="s">
        <v>975</v>
      </c>
      <c r="D31" s="1344"/>
      <c r="E31" s="1409"/>
      <c r="F31" s="1409"/>
      <c r="G31" s="1342" t="s">
        <v>973</v>
      </c>
      <c r="H31" s="1344"/>
      <c r="I31" s="1410"/>
      <c r="J31" s="1345"/>
      <c r="K31" s="3140"/>
      <c r="L31" s="3140"/>
      <c r="M31" s="3140"/>
      <c r="N31" s="3140"/>
      <c r="O31" s="3140"/>
      <c r="P31" s="2022"/>
      <c r="Q31" s="2022"/>
      <c r="R31" s="2022"/>
      <c r="S31" s="2022"/>
      <c r="T31" s="2022"/>
      <c r="U31" s="2022"/>
      <c r="V31" s="2022"/>
      <c r="W31" s="2023"/>
      <c r="X31" s="2023"/>
      <c r="Y31" s="2023"/>
      <c r="Z31" s="2023"/>
      <c r="AA31" s="2023"/>
      <c r="AB31" s="2022"/>
      <c r="AC31" s="2022"/>
      <c r="AD31" s="2022"/>
      <c r="AE31" s="2022"/>
      <c r="AF31" s="2022"/>
      <c r="AG31" s="2022"/>
      <c r="AH31" s="2022"/>
      <c r="AJ31" s="1305"/>
      <c r="AK31" s="1305"/>
      <c r="AL31" s="1305"/>
      <c r="AM31" s="1304"/>
      <c r="AN31" s="1304"/>
    </row>
    <row r="32" spans="1:40" ht="24">
      <c r="A32" s="1395"/>
      <c r="B32" s="1411"/>
      <c r="C32" s="1412" t="s">
        <v>968</v>
      </c>
      <c r="D32" s="1413" t="s">
        <v>969</v>
      </c>
      <c r="E32" s="1413" t="s">
        <v>970</v>
      </c>
      <c r="F32" s="1414" t="s">
        <v>976</v>
      </c>
      <c r="G32" s="1373" t="s">
        <v>968</v>
      </c>
      <c r="H32" s="1373" t="s">
        <v>969</v>
      </c>
      <c r="I32" s="1373" t="s">
        <v>970</v>
      </c>
      <c r="J32" s="1415"/>
      <c r="K32" s="3148"/>
      <c r="L32" s="3148"/>
      <c r="M32" s="3148"/>
      <c r="N32" s="3148"/>
      <c r="O32" s="3148"/>
      <c r="P32" s="2022"/>
      <c r="Q32" s="2022"/>
      <c r="R32" s="2022"/>
      <c r="S32" s="2022"/>
      <c r="T32" s="2022"/>
      <c r="U32" s="2022"/>
      <c r="V32" s="2022"/>
      <c r="W32" s="2023"/>
      <c r="X32" s="2023"/>
      <c r="Y32" s="2023"/>
      <c r="Z32" s="2023"/>
      <c r="AA32" s="2023"/>
      <c r="AB32" s="2022"/>
      <c r="AC32" s="2022"/>
      <c r="AD32" s="2022"/>
      <c r="AE32" s="2022"/>
      <c r="AF32" s="2022"/>
      <c r="AG32" s="2022"/>
      <c r="AH32" s="2022"/>
      <c r="AI32" s="1304"/>
      <c r="AJ32" s="1304"/>
      <c r="AK32" s="1304"/>
      <c r="AL32" s="1304"/>
      <c r="AM32" s="1304"/>
      <c r="AN32" s="1304"/>
    </row>
    <row r="33" spans="1:44" ht="12.75">
      <c r="A33" s="3735"/>
      <c r="B33" s="1417" t="s">
        <v>977</v>
      </c>
      <c r="C33" s="1027" t="e">
        <f>ROUND(D5*C19*C20*C24*F33,0)</f>
        <v>#DIV/0!</v>
      </c>
      <c r="D33" s="1430"/>
      <c r="E33" s="1016" t="e">
        <f>ROUND(C33*D33/10000,0)</f>
        <v>#DIV/0!</v>
      </c>
      <c r="F33" s="1016">
        <f>SUMIF(修正!A57:A68,G2,修正!B57:B68)</f>
        <v>0</v>
      </c>
      <c r="G33" s="1016" t="e">
        <f t="shared" ref="G33" si="6">ROUND(IF(E2="工业",C33*$M$39,C33*$M$38),0)</f>
        <v>#DIV/0!</v>
      </c>
      <c r="H33" s="1016">
        <f>D33</f>
        <v>0</v>
      </c>
      <c r="I33" s="1016" t="e">
        <f>ROUND(G33*H33/10000,0)</f>
        <v>#DIV/0!</v>
      </c>
      <c r="J33" s="3735" t="s">
        <v>2723</v>
      </c>
      <c r="K33" s="2758"/>
      <c r="L33" s="2758"/>
      <c r="M33" s="2758"/>
      <c r="N33" s="2758"/>
      <c r="O33" s="2758"/>
      <c r="P33" s="2022"/>
      <c r="Q33" s="2022"/>
      <c r="R33" s="2022"/>
      <c r="S33" s="2022"/>
      <c r="T33" s="2022"/>
      <c r="U33" s="2022"/>
      <c r="V33" s="2022"/>
      <c r="W33" s="2023"/>
      <c r="X33" s="2023"/>
      <c r="Y33" s="2023"/>
      <c r="Z33" s="2023"/>
      <c r="AA33" s="2023"/>
      <c r="AB33" s="2022"/>
      <c r="AC33" s="2022"/>
      <c r="AD33" s="2022"/>
      <c r="AE33" s="2022"/>
      <c r="AF33" s="2022"/>
      <c r="AG33" s="2022"/>
      <c r="AH33" s="2023"/>
      <c r="AJ33" s="1305"/>
      <c r="AK33" s="1305"/>
      <c r="AL33" s="1305"/>
      <c r="AM33" s="1305"/>
      <c r="AN33" s="1305"/>
      <c r="AO33" s="1306"/>
      <c r="AP33" s="1306"/>
      <c r="AQ33" s="1306"/>
      <c r="AR33" s="1306"/>
    </row>
    <row r="34" spans="1:44" ht="12.75">
      <c r="A34" s="3736"/>
      <c r="B34" s="1347" t="s">
        <v>978</v>
      </c>
      <c r="C34" s="1027" t="e">
        <f>ROUND(D5*C19*C20*C24*F34,0)</f>
        <v>#DIV/0!</v>
      </c>
      <c r="D34" s="1430"/>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36"/>
      <c r="K34" s="2758"/>
      <c r="L34" s="2758"/>
      <c r="M34" s="2758"/>
      <c r="N34" s="2758"/>
      <c r="O34" s="2758"/>
      <c r="P34" s="2022"/>
      <c r="Q34" s="2022"/>
      <c r="R34" s="2022"/>
      <c r="S34" s="2022"/>
      <c r="T34" s="2022"/>
      <c r="U34" s="2022"/>
      <c r="V34" s="2022"/>
      <c r="W34" s="2023"/>
      <c r="X34" s="2023"/>
      <c r="Y34" s="2023"/>
      <c r="Z34" s="2023"/>
      <c r="AA34" s="2023"/>
      <c r="AB34" s="2022"/>
      <c r="AC34" s="2022"/>
      <c r="AD34" s="2022"/>
      <c r="AE34" s="2022"/>
      <c r="AF34" s="2022"/>
      <c r="AG34" s="2022"/>
      <c r="AH34" s="2023"/>
      <c r="AJ34" s="1305"/>
      <c r="AK34" s="1305"/>
      <c r="AL34" s="1305"/>
      <c r="AM34" s="1305"/>
      <c r="AN34" s="1305"/>
      <c r="AO34" s="1306"/>
      <c r="AP34" s="1306"/>
      <c r="AQ34" s="1306"/>
      <c r="AR34" s="1306"/>
    </row>
    <row r="35" spans="1:44" ht="12.75">
      <c r="A35" s="3736"/>
      <c r="B35" s="1347" t="s">
        <v>979</v>
      </c>
      <c r="C35" s="1027" t="e">
        <f>ROUND(D5*C19*C20*C24*F35,0)</f>
        <v>#DIV/0!</v>
      </c>
      <c r="D35" s="1430"/>
      <c r="E35" s="1016" t="e">
        <f t="shared" si="7"/>
        <v>#DIV/0!</v>
      </c>
      <c r="F35" s="1016">
        <f>SUMIF(修正!A57:A68,G2,修正!D57:D68)</f>
        <v>0</v>
      </c>
      <c r="G35" s="1016" t="e">
        <f>ROUND(IF(E2="工业",C35*$M$39,C35*$M$38),0)</f>
        <v>#DIV/0!</v>
      </c>
      <c r="H35" s="1016">
        <f t="shared" si="8"/>
        <v>0</v>
      </c>
      <c r="I35" s="1016" t="e">
        <f t="shared" si="9"/>
        <v>#DIV/0!</v>
      </c>
      <c r="J35" s="3736"/>
      <c r="K35" s="2758"/>
      <c r="L35" s="2758"/>
      <c r="M35" s="2758"/>
      <c r="N35" s="2758"/>
      <c r="O35" s="2758"/>
      <c r="P35" s="2022"/>
      <c r="Q35" s="2022"/>
      <c r="R35" s="2022"/>
      <c r="S35" s="2022"/>
      <c r="T35" s="2022"/>
      <c r="U35" s="2022"/>
      <c r="V35" s="2022"/>
      <c r="W35" s="2023"/>
      <c r="X35" s="2023"/>
      <c r="Y35" s="2023"/>
      <c r="Z35" s="2023"/>
      <c r="AA35" s="2023"/>
      <c r="AB35" s="2022"/>
      <c r="AC35" s="2022"/>
      <c r="AD35" s="2022"/>
      <c r="AE35" s="2022"/>
      <c r="AF35" s="2022"/>
      <c r="AG35" s="2022"/>
      <c r="AH35" s="2023"/>
      <c r="AJ35" s="1305"/>
      <c r="AK35" s="1305"/>
      <c r="AL35" s="1305"/>
      <c r="AM35" s="1305"/>
      <c r="AN35" s="1305"/>
      <c r="AO35" s="1306"/>
      <c r="AP35" s="1306"/>
      <c r="AQ35" s="1306"/>
      <c r="AR35" s="1306"/>
    </row>
    <row r="36" spans="1:44" ht="13.5" thickBot="1">
      <c r="A36" s="3737"/>
      <c r="B36" s="1347" t="s">
        <v>980</v>
      </c>
      <c r="C36" s="1027" t="e">
        <f>ROUND(D5*C19*C20*C24*F36,0)</f>
        <v>#DIV/0!</v>
      </c>
      <c r="D36" s="1430"/>
      <c r="E36" s="1016" t="e">
        <f t="shared" si="7"/>
        <v>#DIV/0!</v>
      </c>
      <c r="F36" s="1016" t="e">
        <f>SUMIF(修正!A57:A68,G2,修正!#REF!)</f>
        <v>#REF!</v>
      </c>
      <c r="G36" s="1016" t="e">
        <f>ROUND(IF(E2="工业",C36*$M$39,C36*$M$38),0)</f>
        <v>#DIV/0!</v>
      </c>
      <c r="H36" s="1016">
        <f t="shared" si="8"/>
        <v>0</v>
      </c>
      <c r="I36" s="1016" t="e">
        <f t="shared" si="9"/>
        <v>#DIV/0!</v>
      </c>
      <c r="J36" s="3737"/>
      <c r="K36" s="2758"/>
      <c r="L36" s="2758"/>
      <c r="M36" s="2758"/>
      <c r="N36" s="2758"/>
      <c r="O36" s="2758"/>
      <c r="P36" s="2022"/>
      <c r="Q36" s="2022"/>
      <c r="R36" s="2022"/>
      <c r="S36" s="2022"/>
      <c r="T36" s="2022"/>
      <c r="U36" s="2022"/>
      <c r="V36" s="2022"/>
      <c r="W36" s="2023"/>
      <c r="X36" s="2023"/>
      <c r="Y36" s="2023"/>
      <c r="Z36" s="2023"/>
      <c r="AA36" s="2023"/>
      <c r="AB36" s="2022"/>
      <c r="AC36" s="2022"/>
      <c r="AD36" s="2022"/>
      <c r="AE36" s="2022"/>
      <c r="AF36" s="2022"/>
      <c r="AG36" s="2022"/>
      <c r="AH36" s="2023"/>
      <c r="AJ36" s="1305"/>
      <c r="AK36" s="1305"/>
      <c r="AL36" s="1305"/>
      <c r="AM36" s="1305"/>
      <c r="AN36" s="1305"/>
      <c r="AO36" s="1306"/>
      <c r="AP36" s="1306"/>
      <c r="AQ36" s="1306"/>
      <c r="AR36" s="1306"/>
    </row>
    <row r="37" spans="1:44" ht="12.75">
      <c r="A37" s="1416"/>
      <c r="B37" s="1347" t="s">
        <v>981</v>
      </c>
      <c r="C37" s="1016" t="e">
        <f>ROUND(D5*C19*C20*C24*F37,0)</f>
        <v>#DIV/0!</v>
      </c>
      <c r="D37" s="1430"/>
      <c r="E37" s="1016" t="e">
        <f t="shared" si="7"/>
        <v>#DIV/0!</v>
      </c>
      <c r="F37" s="1027">
        <f>SUMIF(修正!A57:A68,G2,修正!E57:E68)</f>
        <v>0</v>
      </c>
      <c r="G37" s="1016" t="e">
        <f>ROUND(IF(E2="工业",C37*$M$39,C37*$M$38),0)</f>
        <v>#DIV/0!</v>
      </c>
      <c r="H37" s="1016">
        <f t="shared" si="8"/>
        <v>0</v>
      </c>
      <c r="I37" s="1016" t="e">
        <f t="shared" si="9"/>
        <v>#DIV/0!</v>
      </c>
      <c r="J37" s="1418"/>
      <c r="K37" s="2022"/>
      <c r="L37" s="1436" t="s">
        <v>1502</v>
      </c>
      <c r="M37" s="1437"/>
      <c r="N37" s="2022"/>
      <c r="O37" s="2022"/>
      <c r="P37" s="2022"/>
      <c r="Q37" s="2022"/>
      <c r="R37" s="2023"/>
      <c r="S37" s="2023"/>
      <c r="T37" s="2023"/>
      <c r="U37" s="2023"/>
      <c r="V37" s="2023"/>
      <c r="W37" s="2022"/>
      <c r="X37" s="2022"/>
      <c r="Y37" s="2022"/>
      <c r="Z37" s="2022"/>
      <c r="AA37" s="2022"/>
      <c r="AB37" s="2022"/>
      <c r="AC37" s="2023"/>
    </row>
    <row r="38" spans="1:44" ht="12.75">
      <c r="A38" s="1416"/>
      <c r="B38" s="1347" t="s">
        <v>982</v>
      </c>
      <c r="C38" s="1016" t="e">
        <f>ROUND(D5*C19*C41*C24*F38,0)</f>
        <v>#DIV/0!</v>
      </c>
      <c r="D38" s="1430"/>
      <c r="E38" s="1016" t="e">
        <f t="shared" si="7"/>
        <v>#DIV/0!</v>
      </c>
      <c r="F38" s="1027">
        <f>SUMIF(修正!A57:A68,G2,修正!F57:F68)</f>
        <v>0</v>
      </c>
      <c r="G38" s="1016" t="e">
        <f>ROUND(IF(E2="工业",C38*$M$39,C38*$M$38),0)</f>
        <v>#DIV/0!</v>
      </c>
      <c r="H38" s="1016">
        <f t="shared" si="8"/>
        <v>0</v>
      </c>
      <c r="I38" s="1016" t="e">
        <f t="shared" si="9"/>
        <v>#DIV/0!</v>
      </c>
      <c r="J38" s="1418"/>
      <c r="K38" s="2022"/>
      <c r="L38" s="1438" t="s">
        <v>1504</v>
      </c>
      <c r="M38" s="1439">
        <v>0.25</v>
      </c>
      <c r="N38" s="2022"/>
      <c r="O38" s="2022"/>
      <c r="P38" s="2022"/>
      <c r="Q38" s="2022"/>
      <c r="R38" s="2023"/>
      <c r="S38" s="2023"/>
      <c r="T38" s="2023"/>
      <c r="U38" s="2023"/>
      <c r="V38" s="2023"/>
      <c r="W38" s="2022"/>
      <c r="X38" s="2022"/>
      <c r="Y38" s="2022"/>
      <c r="Z38" s="2022"/>
      <c r="AA38" s="2022"/>
      <c r="AB38" s="2022"/>
      <c r="AC38" s="2023"/>
    </row>
    <row r="39" spans="1:44" ht="13.5" thickBot="1">
      <c r="A39" s="1401"/>
      <c r="B39" s="1419" t="s">
        <v>983</v>
      </c>
      <c r="C39" s="1019" t="e">
        <f>ROUND(D5*C19*C41*C24*F39,0)</f>
        <v>#DIV/0!</v>
      </c>
      <c r="D39" s="1431"/>
      <c r="E39" s="1019" t="e">
        <f t="shared" si="7"/>
        <v>#DIV/0!</v>
      </c>
      <c r="F39" s="1029">
        <f>SUMIF(修正!A57:A68,G2,修正!G57:G68)</f>
        <v>0</v>
      </c>
      <c r="G39" s="1019" t="e">
        <f>ROUND(IF(E2="工业",C39*$M$39,C39*$M$38),0)</f>
        <v>#DIV/0!</v>
      </c>
      <c r="H39" s="1019">
        <f t="shared" si="8"/>
        <v>0</v>
      </c>
      <c r="I39" s="1019" t="e">
        <f t="shared" si="9"/>
        <v>#DIV/0!</v>
      </c>
      <c r="J39" s="1420"/>
      <c r="K39" s="2022"/>
      <c r="L39" s="1440" t="s">
        <v>1503</v>
      </c>
      <c r="M39" s="1441">
        <v>0.15</v>
      </c>
      <c r="N39" s="2022"/>
      <c r="O39" s="2022"/>
      <c r="P39" s="2022"/>
      <c r="Q39" s="2022"/>
      <c r="R39" s="2023"/>
      <c r="S39" s="2023"/>
      <c r="T39" s="2023"/>
      <c r="U39" s="2023"/>
      <c r="V39" s="2023"/>
      <c r="W39" s="2022"/>
      <c r="X39" s="2022"/>
      <c r="Y39" s="2022"/>
      <c r="Z39" s="2022"/>
      <c r="AA39" s="2022"/>
      <c r="AB39" s="2022"/>
      <c r="AC39" s="2023"/>
    </row>
    <row r="40" spans="1:44" s="1304"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5"/>
      <c r="AE40" s="1305"/>
      <c r="AF40" s="1305"/>
      <c r="AG40" s="1305"/>
      <c r="AH40" s="1305"/>
      <c r="AI40" s="1305"/>
      <c r="AJ40" s="1305"/>
      <c r="AK40" s="1305"/>
      <c r="AL40" s="1305"/>
      <c r="AM40" s="1305"/>
    </row>
    <row r="41" spans="1:44" s="1304" customFormat="1" ht="12.75">
      <c r="A41" s="1305"/>
      <c r="B41" s="2748" t="s">
        <v>2681</v>
      </c>
      <c r="C41" s="811" t="e">
        <f>ROUND(POWER(1+E41,H41-G41)*(POWER(1+E41,G41)-1)/(POWER(1+E41,H41)-1),4)</f>
        <v>#DIV/0!</v>
      </c>
      <c r="D41" s="372" t="s">
        <v>2679</v>
      </c>
      <c r="E41" s="2747">
        <f>G20</f>
        <v>0</v>
      </c>
      <c r="F41" s="372" t="s">
        <v>2680</v>
      </c>
      <c r="G41" s="390"/>
      <c r="H41" s="372">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5"/>
      <c r="AE41" s="1305"/>
      <c r="AF41" s="1305"/>
      <c r="AG41" s="1305"/>
      <c r="AH41" s="1305"/>
      <c r="AI41" s="1305"/>
      <c r="AJ41" s="1305"/>
      <c r="AK41" s="1305"/>
      <c r="AL41" s="1305"/>
      <c r="AM41" s="1305"/>
    </row>
    <row r="42" spans="1:44" s="1304" customFormat="1">
      <c r="A42" s="1305"/>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5"/>
      <c r="AE42" s="1305"/>
      <c r="AF42" s="1305"/>
      <c r="AG42" s="1305"/>
      <c r="AH42" s="1305"/>
      <c r="AI42" s="1305"/>
      <c r="AJ42" s="1305"/>
      <c r="AK42" s="1305"/>
      <c r="AL42" s="1305"/>
      <c r="AM42" s="1305"/>
    </row>
    <row r="43" spans="1:44" s="1304" customFormat="1">
      <c r="A43" s="1305"/>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5"/>
      <c r="AE43" s="1305"/>
      <c r="AF43" s="1305"/>
      <c r="AG43" s="1305"/>
      <c r="AH43" s="1305"/>
      <c r="AI43" s="1305"/>
      <c r="AJ43" s="1305"/>
      <c r="AK43" s="1305"/>
      <c r="AL43" s="1305"/>
      <c r="AM43" s="1305"/>
    </row>
    <row r="44" spans="1:44" s="1304" customFormat="1" ht="15" thickBot="1">
      <c r="A44" s="2226" t="s">
        <v>984</v>
      </c>
      <c r="B44" s="2227"/>
      <c r="C44" s="2228"/>
      <c r="D44" s="2229"/>
      <c r="E44" s="2229"/>
      <c r="F44" s="2230"/>
      <c r="G44" s="1030"/>
      <c r="H44" s="2230"/>
      <c r="I44" s="1030"/>
      <c r="J44" s="1030"/>
      <c r="K44" s="1030"/>
      <c r="L44" s="1030"/>
      <c r="M44" s="1030"/>
      <c r="O44" s="2029"/>
      <c r="P44" s="2029"/>
      <c r="Q44" s="2029"/>
      <c r="R44" s="2030"/>
      <c r="S44" s="2030"/>
      <c r="T44" s="2030"/>
      <c r="U44" s="2030"/>
      <c r="V44" s="2030"/>
      <c r="W44" s="2029"/>
      <c r="X44" s="2029"/>
      <c r="Y44" s="2029"/>
      <c r="Z44" s="2029"/>
      <c r="AA44" s="2029"/>
      <c r="AB44" s="2029"/>
      <c r="AC44" s="2030"/>
      <c r="AD44" s="1305"/>
      <c r="AE44" s="1305"/>
      <c r="AF44" s="1305"/>
      <c r="AG44" s="1305"/>
      <c r="AH44" s="1305"/>
      <c r="AI44" s="1305"/>
      <c r="AJ44" s="1305"/>
      <c r="AK44" s="1305"/>
      <c r="AL44" s="1305"/>
      <c r="AM44" s="1305"/>
    </row>
    <row r="45" spans="1:44" s="1304" customFormat="1" ht="15">
      <c r="A45" s="2231" t="s">
        <v>985</v>
      </c>
      <c r="B45" s="2232">
        <f>1+E47</f>
        <v>1</v>
      </c>
      <c r="C45" s="2233"/>
      <c r="D45" s="2234"/>
      <c r="E45" s="2235"/>
      <c r="F45" s="2236"/>
      <c r="G45" s="2230"/>
      <c r="H45" s="2230"/>
      <c r="I45" s="1030"/>
      <c r="J45" s="1030"/>
      <c r="K45" s="1030"/>
      <c r="L45" s="1030"/>
      <c r="M45" s="1030"/>
      <c r="O45" s="2029"/>
      <c r="P45" s="2029"/>
      <c r="Q45" s="2029"/>
      <c r="R45" s="2030"/>
      <c r="S45" s="2030"/>
      <c r="T45" s="2030"/>
      <c r="U45" s="2030"/>
      <c r="V45" s="2030"/>
      <c r="W45" s="2029"/>
      <c r="X45" s="2029"/>
      <c r="Y45" s="2029"/>
      <c r="Z45" s="2029"/>
      <c r="AA45" s="2029"/>
      <c r="AB45" s="2029"/>
      <c r="AC45" s="2030"/>
      <c r="AD45" s="1305"/>
      <c r="AE45" s="1305"/>
      <c r="AF45" s="1305"/>
      <c r="AG45" s="1305"/>
      <c r="AH45" s="1305"/>
      <c r="AI45" s="1305"/>
      <c r="AJ45" s="1305"/>
      <c r="AK45" s="1305"/>
      <c r="AL45" s="1305"/>
      <c r="AM45" s="1305"/>
    </row>
    <row r="46" spans="1:44" s="1304" customFormat="1" ht="24">
      <c r="A46" s="1031" t="s">
        <v>986</v>
      </c>
      <c r="B46" s="2215" t="s">
        <v>987</v>
      </c>
      <c r="C46" s="2237" t="s">
        <v>988</v>
      </c>
      <c r="D46" s="2238" t="s">
        <v>989</v>
      </c>
      <c r="E46" s="2239" t="s">
        <v>991</v>
      </c>
      <c r="F46" s="2240" t="s">
        <v>2041</v>
      </c>
      <c r="G46" s="2238" t="s">
        <v>992</v>
      </c>
      <c r="H46" s="2221" t="s">
        <v>2204</v>
      </c>
      <c r="I46" s="2238" t="s">
        <v>990</v>
      </c>
      <c r="J46" s="2241" t="s">
        <v>993</v>
      </c>
      <c r="K46" s="2241" t="s">
        <v>994</v>
      </c>
      <c r="L46" s="2241" t="s">
        <v>995</v>
      </c>
      <c r="M46" s="2241" t="s">
        <v>996</v>
      </c>
      <c r="N46" s="2241" t="s">
        <v>997</v>
      </c>
      <c r="P46" s="2029"/>
      <c r="Q46" s="2029"/>
      <c r="R46" s="2030"/>
      <c r="S46" s="2030"/>
      <c r="T46" s="2030"/>
      <c r="U46" s="2030"/>
      <c r="V46" s="2030"/>
      <c r="W46" s="2029"/>
      <c r="X46" s="2029"/>
      <c r="Y46" s="2029"/>
      <c r="Z46" s="2029"/>
      <c r="AA46" s="2029"/>
      <c r="AB46" s="2029"/>
      <c r="AC46" s="2029"/>
      <c r="AD46" s="2030"/>
      <c r="AE46" s="1305"/>
      <c r="AF46" s="1305"/>
      <c r="AG46" s="1305"/>
      <c r="AH46" s="1305"/>
      <c r="AI46" s="1305"/>
      <c r="AJ46" s="1305"/>
      <c r="AK46" s="1305"/>
      <c r="AL46" s="1305"/>
      <c r="AM46" s="1305"/>
      <c r="AN46" s="1305"/>
    </row>
    <row r="47" spans="1:44" s="1304" customFormat="1" ht="36">
      <c r="A47" s="1031" t="s">
        <v>998</v>
      </c>
      <c r="B47" s="2218" t="str">
        <f>估价对象房地状况!C16</f>
        <v>估价对象位于XX商圈，周边商业氛围成熟，人流量大，商业繁华度好</v>
      </c>
      <c r="C47" s="1018"/>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5"/>
      <c r="AF47" s="1305"/>
      <c r="AG47" s="1305"/>
      <c r="AH47" s="1305"/>
      <c r="AI47" s="1305"/>
      <c r="AJ47" s="1305"/>
      <c r="AK47" s="1305"/>
      <c r="AL47" s="1305"/>
      <c r="AM47" s="1305"/>
      <c r="AN47" s="1305"/>
    </row>
    <row r="48" spans="1:44" s="1304" customFormat="1" ht="48">
      <c r="A48" s="1031" t="s">
        <v>999</v>
      </c>
      <c r="B48" s="2215" t="str">
        <f>估价对象房地状况!C18</f>
        <v>估价对象周边道路状况、公共交通通达情况、停车便捷程度，综合评价交通便捷度较好</v>
      </c>
      <c r="C48" s="1018"/>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5"/>
      <c r="AF48" s="1305"/>
      <c r="AG48" s="1305"/>
      <c r="AH48" s="1305"/>
      <c r="AI48" s="1305"/>
      <c r="AJ48" s="1305"/>
      <c r="AK48" s="1305"/>
      <c r="AL48" s="1305"/>
      <c r="AM48" s="1305"/>
      <c r="AN48" s="1305"/>
    </row>
    <row r="49" spans="1:40" s="1304" customFormat="1" ht="24">
      <c r="A49" s="1031" t="s">
        <v>1000</v>
      </c>
      <c r="B49" s="2215">
        <f>估价对象房地状况!C19</f>
        <v>0</v>
      </c>
      <c r="C49" s="1018"/>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5"/>
      <c r="AF49" s="1305"/>
      <c r="AG49" s="1305"/>
      <c r="AH49" s="1305"/>
      <c r="AI49" s="1305"/>
      <c r="AJ49" s="1305"/>
      <c r="AK49" s="1305"/>
      <c r="AL49" s="1305"/>
      <c r="AM49" s="1305"/>
      <c r="AN49" s="1305"/>
    </row>
    <row r="50" spans="1:40" s="1304" customFormat="1" ht="36">
      <c r="A50" s="1031" t="s">
        <v>1001</v>
      </c>
      <c r="B50" s="2700" t="s">
        <v>2638</v>
      </c>
      <c r="C50" s="1018"/>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5"/>
      <c r="AF50" s="1305"/>
      <c r="AG50" s="1305"/>
      <c r="AH50" s="1305"/>
      <c r="AI50" s="1305"/>
      <c r="AJ50" s="1305"/>
      <c r="AK50" s="1305"/>
      <c r="AL50" s="1305"/>
      <c r="AM50" s="1305"/>
      <c r="AN50" s="1305"/>
    </row>
    <row r="51" spans="1:40" s="1304" customFormat="1" ht="24">
      <c r="A51" s="1031" t="s">
        <v>1002</v>
      </c>
      <c r="B51" s="2215">
        <f>估价对象房地状况!C24</f>
        <v>0</v>
      </c>
      <c r="C51" s="1018"/>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5"/>
      <c r="AF51" s="1305"/>
      <c r="AG51" s="1305"/>
      <c r="AH51" s="1305"/>
      <c r="AI51" s="1305"/>
      <c r="AJ51" s="1305"/>
      <c r="AK51" s="1305"/>
      <c r="AL51" s="1305"/>
      <c r="AM51" s="1305"/>
      <c r="AN51" s="1305"/>
    </row>
    <row r="52" spans="1:40" s="1304" customFormat="1" ht="24">
      <c r="A52" s="1031" t="s">
        <v>1003</v>
      </c>
      <c r="B52" s="2699" t="s">
        <v>2637</v>
      </c>
      <c r="C52" s="1018"/>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5"/>
      <c r="AF52" s="1305"/>
      <c r="AG52" s="1305"/>
      <c r="AH52" s="1305"/>
      <c r="AI52" s="1305"/>
      <c r="AJ52" s="1305"/>
      <c r="AK52" s="1305"/>
      <c r="AL52" s="1305"/>
      <c r="AM52" s="1305"/>
      <c r="AN52" s="1305"/>
    </row>
    <row r="53" spans="1:40" s="1304" customFormat="1" ht="24">
      <c r="A53" s="2247" t="s">
        <v>1004</v>
      </c>
      <c r="B53" s="2216" t="str">
        <f>估价对象房地状况!C21</f>
        <v>估价对象所在区域公共配套设施齐备情况</v>
      </c>
      <c r="C53" s="1018"/>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5"/>
      <c r="AF53" s="1305"/>
      <c r="AG53" s="1305"/>
      <c r="AH53" s="1305"/>
      <c r="AI53" s="1305"/>
      <c r="AJ53" s="1305"/>
      <c r="AK53" s="1305"/>
      <c r="AL53" s="1305"/>
      <c r="AM53" s="1305"/>
      <c r="AN53" s="1305"/>
    </row>
    <row r="54" spans="1:40" s="1304" customFormat="1" ht="24">
      <c r="A54" s="2247" t="s">
        <v>1005</v>
      </c>
      <c r="B54" s="2215" t="str">
        <f>估价对象房地状况!C22</f>
        <v>估价对象所在区域基础设施水平</v>
      </c>
      <c r="C54" s="1018"/>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5"/>
      <c r="AF54" s="1305"/>
      <c r="AG54" s="1305"/>
      <c r="AH54" s="1305"/>
      <c r="AI54" s="1305"/>
      <c r="AJ54" s="1305"/>
      <c r="AK54" s="1305"/>
      <c r="AL54" s="1305"/>
      <c r="AM54" s="1305"/>
      <c r="AN54" s="1305"/>
    </row>
    <row r="55" spans="1:40" s="1304" customFormat="1" ht="24.75" thickBot="1">
      <c r="A55" s="2248" t="s">
        <v>1006</v>
      </c>
      <c r="B55" s="2219" t="str">
        <f>估价对象房地状况!C20</f>
        <v>区域自然环境：；人文环境；综合评价环境状况一般</v>
      </c>
      <c r="C55" s="1018"/>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5"/>
      <c r="AF55" s="1305"/>
      <c r="AG55" s="1305"/>
      <c r="AH55" s="1305"/>
      <c r="AI55" s="1305"/>
      <c r="AJ55" s="1305"/>
      <c r="AK55" s="1305"/>
      <c r="AL55" s="1305"/>
      <c r="AM55" s="1305"/>
      <c r="AN55" s="1305"/>
    </row>
    <row r="56" spans="1:40" s="1304" customFormat="1" ht="15">
      <c r="A56" s="2231" t="s">
        <v>1007</v>
      </c>
      <c r="B56" s="2232">
        <f>1+E58</f>
        <v>1</v>
      </c>
      <c r="C56" s="2251"/>
      <c r="D56" s="2234"/>
      <c r="E56" s="2235"/>
      <c r="F56" s="2236"/>
      <c r="G56" s="2230"/>
      <c r="H56" s="2230"/>
      <c r="I56" s="2230"/>
      <c r="J56" s="1030"/>
      <c r="K56" s="1030"/>
      <c r="L56" s="1030"/>
      <c r="M56" s="1030"/>
      <c r="N56" s="1030"/>
      <c r="P56" s="2029"/>
      <c r="Q56" s="2029"/>
      <c r="R56" s="2030"/>
      <c r="S56" s="2030"/>
      <c r="T56" s="2030"/>
      <c r="U56" s="2030"/>
      <c r="V56" s="2030"/>
      <c r="W56" s="2029"/>
      <c r="X56" s="2029"/>
      <c r="Y56" s="2029"/>
      <c r="Z56" s="2029"/>
      <c r="AA56" s="2029"/>
      <c r="AB56" s="2029"/>
      <c r="AC56" s="2029"/>
      <c r="AD56" s="2030"/>
      <c r="AE56" s="1305"/>
      <c r="AF56" s="1305"/>
      <c r="AG56" s="1305"/>
      <c r="AH56" s="1305"/>
      <c r="AI56" s="1305"/>
      <c r="AJ56" s="1305"/>
      <c r="AK56" s="1305"/>
      <c r="AL56" s="1305"/>
      <c r="AM56" s="1305"/>
      <c r="AN56" s="1305"/>
    </row>
    <row r="57" spans="1:40" s="1304" customFormat="1" ht="24">
      <c r="A57" s="1031" t="s">
        <v>986</v>
      </c>
      <c r="B57" s="2215"/>
      <c r="C57" s="2237" t="s">
        <v>988</v>
      </c>
      <c r="D57" s="2238" t="s">
        <v>989</v>
      </c>
      <c r="E57" s="2239" t="s">
        <v>991</v>
      </c>
      <c r="F57" s="2240" t="s">
        <v>2042</v>
      </c>
      <c r="G57" s="2238" t="s">
        <v>992</v>
      </c>
      <c r="H57" s="2221" t="s">
        <v>2204</v>
      </c>
      <c r="I57" s="2238" t="s">
        <v>990</v>
      </c>
      <c r="J57" s="2241" t="s">
        <v>993</v>
      </c>
      <c r="K57" s="2241" t="s">
        <v>994</v>
      </c>
      <c r="L57" s="2241" t="s">
        <v>995</v>
      </c>
      <c r="M57" s="2241" t="s">
        <v>996</v>
      </c>
      <c r="N57" s="2241" t="s">
        <v>997</v>
      </c>
      <c r="P57" s="2029"/>
      <c r="Q57" s="2029"/>
      <c r="R57" s="2030"/>
      <c r="S57" s="2030"/>
      <c r="T57" s="2030"/>
      <c r="U57" s="2030"/>
      <c r="V57" s="2030"/>
      <c r="W57" s="2029"/>
      <c r="X57" s="2029"/>
      <c r="Y57" s="2029"/>
      <c r="Z57" s="2029"/>
      <c r="AA57" s="2029"/>
      <c r="AB57" s="2029"/>
      <c r="AC57" s="2029"/>
      <c r="AD57" s="2030"/>
      <c r="AE57" s="1305"/>
      <c r="AF57" s="1305"/>
      <c r="AG57" s="1305"/>
      <c r="AH57" s="1305"/>
      <c r="AI57" s="1305"/>
      <c r="AJ57" s="1305"/>
      <c r="AK57" s="1305"/>
      <c r="AL57" s="1305"/>
      <c r="AM57" s="1305"/>
      <c r="AN57" s="1305"/>
    </row>
    <row r="58" spans="1:40" s="1304" customFormat="1" ht="36">
      <c r="A58" s="1031" t="s">
        <v>1008</v>
      </c>
      <c r="B58" s="2218" t="str">
        <f>估价对象房地状况!C17</f>
        <v>估价对象位于XX商圈，周边办公楼项目较多，入驻率高，办公集聚程度较好</v>
      </c>
      <c r="C58" s="1018"/>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5"/>
      <c r="AF58" s="1305"/>
      <c r="AG58" s="1305"/>
      <c r="AH58" s="1305"/>
      <c r="AI58" s="1305"/>
      <c r="AJ58" s="1305"/>
      <c r="AK58" s="1305"/>
      <c r="AL58" s="1305"/>
      <c r="AM58" s="1305"/>
      <c r="AN58" s="1305"/>
    </row>
    <row r="59" spans="1:40" s="1304" customFormat="1" ht="48">
      <c r="A59" s="1031" t="s">
        <v>999</v>
      </c>
      <c r="B59" s="2215" t="str">
        <f>估价对象房地状况!C18</f>
        <v>估价对象周边道路状况、公共交通通达情况、停车便捷程度，综合评价交通便捷度较好</v>
      </c>
      <c r="C59" s="1018"/>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5"/>
      <c r="AF59" s="1305"/>
      <c r="AG59" s="1305"/>
      <c r="AH59" s="1305"/>
      <c r="AI59" s="1305"/>
      <c r="AJ59" s="1305"/>
      <c r="AK59" s="1305"/>
      <c r="AL59" s="1305"/>
      <c r="AM59" s="1305"/>
      <c r="AN59" s="1305"/>
    </row>
    <row r="60" spans="1:40" s="1304" customFormat="1" ht="24">
      <c r="A60" s="1031" t="s">
        <v>1000</v>
      </c>
      <c r="B60" s="2215">
        <f>估价对象房地状况!C19</f>
        <v>0</v>
      </c>
      <c r="C60" s="1018"/>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5"/>
      <c r="AF60" s="1305"/>
      <c r="AG60" s="1305"/>
      <c r="AH60" s="1305"/>
      <c r="AI60" s="1305"/>
      <c r="AJ60" s="1305"/>
      <c r="AK60" s="1305"/>
      <c r="AL60" s="1305"/>
      <c r="AM60" s="1305"/>
      <c r="AN60" s="1305"/>
    </row>
    <row r="61" spans="1:40" s="1304" customFormat="1" ht="36">
      <c r="A61" s="1031" t="s">
        <v>1001</v>
      </c>
      <c r="B61" s="2700" t="s">
        <v>2639</v>
      </c>
      <c r="C61" s="1018"/>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5"/>
      <c r="AF61" s="1305"/>
      <c r="AG61" s="1305"/>
      <c r="AH61" s="1305"/>
      <c r="AI61" s="1305"/>
      <c r="AJ61" s="1305"/>
      <c r="AK61" s="1305"/>
      <c r="AL61" s="1305"/>
      <c r="AM61" s="1305"/>
      <c r="AN61" s="1305"/>
    </row>
    <row r="62" spans="1:40" s="1304" customFormat="1" ht="24">
      <c r="A62" s="1031" t="s">
        <v>1002</v>
      </c>
      <c r="B62" s="2215">
        <f>估价对象房地状况!C24</f>
        <v>0</v>
      </c>
      <c r="C62" s="1018"/>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5"/>
      <c r="AF62" s="1305"/>
      <c r="AG62" s="1305"/>
      <c r="AH62" s="1305"/>
      <c r="AI62" s="1305"/>
      <c r="AJ62" s="1305"/>
      <c r="AK62" s="1305"/>
      <c r="AL62" s="1305"/>
      <c r="AM62" s="1305"/>
      <c r="AN62" s="1305"/>
    </row>
    <row r="63" spans="1:40" s="1304" customFormat="1" ht="24">
      <c r="A63" s="1031" t="s">
        <v>1003</v>
      </c>
      <c r="B63" s="2699" t="s">
        <v>2637</v>
      </c>
      <c r="C63" s="1018"/>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5"/>
      <c r="AF63" s="1305"/>
      <c r="AG63" s="1305"/>
      <c r="AH63" s="1305"/>
      <c r="AI63" s="1305"/>
      <c r="AJ63" s="1305"/>
      <c r="AK63" s="1305"/>
      <c r="AL63" s="1305"/>
      <c r="AM63" s="1305"/>
      <c r="AN63" s="1305"/>
    </row>
    <row r="64" spans="1:40" s="1304" customFormat="1" ht="24">
      <c r="A64" s="1031" t="s">
        <v>1004</v>
      </c>
      <c r="B64" s="2216" t="str">
        <f>估价对象房地状况!C21</f>
        <v>估价对象所在区域公共配套设施齐备情况</v>
      </c>
      <c r="C64" s="1018"/>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5"/>
      <c r="AF64" s="1305"/>
      <c r="AG64" s="1305"/>
      <c r="AH64" s="1305"/>
      <c r="AI64" s="1305"/>
      <c r="AJ64" s="1305"/>
      <c r="AK64" s="1305"/>
      <c r="AL64" s="1305"/>
      <c r="AM64" s="1305"/>
      <c r="AN64" s="1305"/>
    </row>
    <row r="65" spans="1:40" s="1304" customFormat="1" ht="24">
      <c r="A65" s="1031" t="s">
        <v>1005</v>
      </c>
      <c r="B65" s="2216" t="str">
        <f>估价对象房地状况!C22</f>
        <v>估价对象所在区域基础设施水平</v>
      </c>
      <c r="C65" s="1018"/>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5"/>
      <c r="AF65" s="1305"/>
      <c r="AG65" s="1305"/>
      <c r="AH65" s="1305"/>
      <c r="AI65" s="1305"/>
      <c r="AJ65" s="1305"/>
      <c r="AK65" s="1305"/>
      <c r="AL65" s="1305"/>
      <c r="AM65" s="1305"/>
      <c r="AN65" s="1305"/>
    </row>
    <row r="66" spans="1:40" s="1304" customFormat="1" ht="24.75" thickBot="1">
      <c r="A66" s="2248" t="s">
        <v>1006</v>
      </c>
      <c r="B66" s="2220" t="str">
        <f>估价对象房地状况!C20</f>
        <v>区域自然环境：；人文环境；综合评价环境状况一般</v>
      </c>
      <c r="C66" s="1018"/>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5"/>
      <c r="AF66" s="1305"/>
      <c r="AG66" s="1305"/>
      <c r="AH66" s="1305"/>
      <c r="AI66" s="1305"/>
      <c r="AJ66" s="1305"/>
      <c r="AK66" s="1305"/>
      <c r="AL66" s="1305"/>
      <c r="AM66" s="1305"/>
      <c r="AN66" s="1305"/>
    </row>
    <row r="67" spans="1:40" s="1304" customFormat="1" ht="15">
      <c r="A67" s="2231" t="s">
        <v>1009</v>
      </c>
      <c r="B67" s="2232">
        <f>1+E69</f>
        <v>1</v>
      </c>
      <c r="C67" s="2251"/>
      <c r="D67" s="2234"/>
      <c r="E67" s="2235"/>
      <c r="F67" s="2236"/>
      <c r="G67" s="2230"/>
      <c r="H67" s="2230"/>
      <c r="I67" s="2230"/>
      <c r="J67" s="1030"/>
      <c r="K67" s="1030"/>
      <c r="L67" s="1030"/>
      <c r="M67" s="1030"/>
      <c r="N67" s="1030"/>
      <c r="P67" s="2029"/>
      <c r="Q67" s="2029"/>
      <c r="R67" s="2030"/>
      <c r="S67" s="2030"/>
      <c r="T67" s="2030"/>
      <c r="U67" s="2030"/>
      <c r="V67" s="2030"/>
      <c r="W67" s="2029"/>
      <c r="X67" s="2029"/>
      <c r="Y67" s="2029"/>
      <c r="Z67" s="2029"/>
      <c r="AA67" s="2029"/>
      <c r="AB67" s="2029"/>
      <c r="AC67" s="2029"/>
      <c r="AD67" s="2030"/>
      <c r="AE67" s="1305"/>
      <c r="AF67" s="1305"/>
      <c r="AG67" s="1305"/>
      <c r="AH67" s="1305"/>
      <c r="AI67" s="1305"/>
      <c r="AJ67" s="1305"/>
      <c r="AK67" s="1305"/>
      <c r="AL67" s="1305"/>
      <c r="AM67" s="1305"/>
      <c r="AN67" s="1305"/>
    </row>
    <row r="68" spans="1:40" s="1304" customFormat="1" ht="24">
      <c r="A68" s="1031" t="s">
        <v>986</v>
      </c>
      <c r="B68" s="2215"/>
      <c r="C68" s="2237" t="s">
        <v>988</v>
      </c>
      <c r="D68" s="2238" t="s">
        <v>989</v>
      </c>
      <c r="E68" s="2239" t="s">
        <v>991</v>
      </c>
      <c r="F68" s="2240" t="s">
        <v>2043</v>
      </c>
      <c r="G68" s="2238" t="s">
        <v>992</v>
      </c>
      <c r="H68" s="2221" t="s">
        <v>2204</v>
      </c>
      <c r="I68" s="2238" t="s">
        <v>990</v>
      </c>
      <c r="J68" s="2241" t="s">
        <v>993</v>
      </c>
      <c r="K68" s="2241" t="s">
        <v>994</v>
      </c>
      <c r="L68" s="2241" t="s">
        <v>995</v>
      </c>
      <c r="M68" s="2241" t="s">
        <v>996</v>
      </c>
      <c r="N68" s="2241" t="s">
        <v>997</v>
      </c>
      <c r="P68" s="2029"/>
      <c r="Q68" s="2029"/>
      <c r="R68" s="2030"/>
      <c r="S68" s="2030"/>
      <c r="T68" s="2030"/>
      <c r="U68" s="2030"/>
      <c r="V68" s="2030"/>
      <c r="W68" s="2029"/>
      <c r="X68" s="2029"/>
      <c r="Y68" s="2029"/>
      <c r="Z68" s="2029"/>
      <c r="AA68" s="2029"/>
      <c r="AB68" s="2029"/>
      <c r="AC68" s="2029"/>
      <c r="AD68" s="2030"/>
      <c r="AE68" s="1305"/>
      <c r="AF68" s="1305"/>
      <c r="AG68" s="1305"/>
      <c r="AH68" s="1305"/>
      <c r="AI68" s="1305"/>
      <c r="AJ68" s="1305"/>
      <c r="AK68" s="1305"/>
      <c r="AL68" s="1305"/>
      <c r="AM68" s="1305"/>
      <c r="AN68" s="1305"/>
    </row>
    <row r="69" spans="1:40" s="1304" customFormat="1" ht="48">
      <c r="A69" s="1031" t="s">
        <v>1010</v>
      </c>
      <c r="B69" s="2218" t="str">
        <f>估价对象房地状况!C15</f>
        <v>估价对象周边居住用地比例、居住小区规模和社区发展完善程度，综合评价居住社区成熟度一般</v>
      </c>
      <c r="C69" s="1104"/>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5"/>
      <c r="AF69" s="1305"/>
      <c r="AG69" s="1305"/>
      <c r="AH69" s="1305"/>
      <c r="AI69" s="1305"/>
      <c r="AJ69" s="1305"/>
      <c r="AK69" s="1305"/>
      <c r="AL69" s="1305"/>
      <c r="AM69" s="1305"/>
      <c r="AN69" s="1305"/>
    </row>
    <row r="70" spans="1:40" s="1304" customFormat="1" ht="48">
      <c r="A70" s="1031" t="s">
        <v>1011</v>
      </c>
      <c r="B70" s="2215" t="str">
        <f>估价对象房地状况!C18</f>
        <v>估价对象周边道路状况、公共交通通达情况、停车便捷程度，综合评价交通便捷度较好</v>
      </c>
      <c r="C70" s="1104"/>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5"/>
      <c r="AF70" s="1305"/>
      <c r="AG70" s="1305"/>
      <c r="AH70" s="1305"/>
      <c r="AI70" s="1305"/>
      <c r="AJ70" s="1305"/>
      <c r="AK70" s="1305"/>
      <c r="AL70" s="1305"/>
      <c r="AM70" s="1305"/>
      <c r="AN70" s="1305"/>
    </row>
    <row r="71" spans="1:40" s="1304" customFormat="1" ht="24">
      <c r="A71" s="1031" t="s">
        <v>1000</v>
      </c>
      <c r="B71" s="2215">
        <f>估价对象房地状况!C19</f>
        <v>0</v>
      </c>
      <c r="C71" s="1104"/>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5"/>
      <c r="AF71" s="1305"/>
      <c r="AG71" s="1305"/>
      <c r="AH71" s="1305"/>
      <c r="AI71" s="1305"/>
      <c r="AJ71" s="1305"/>
      <c r="AK71" s="1305"/>
      <c r="AL71" s="1305"/>
      <c r="AM71" s="1305"/>
      <c r="AN71" s="1305"/>
    </row>
    <row r="72" spans="1:40" s="1304" customFormat="1" ht="14.25">
      <c r="A72" s="1031" t="s">
        <v>1012</v>
      </c>
      <c r="B72" s="2215">
        <f>估价对象房地状况!C24</f>
        <v>0</v>
      </c>
      <c r="C72" s="1104"/>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5"/>
      <c r="AF72" s="1305"/>
      <c r="AG72" s="1305"/>
      <c r="AH72" s="1305"/>
      <c r="AI72" s="1305"/>
      <c r="AJ72" s="1305"/>
      <c r="AK72" s="1305"/>
      <c r="AL72" s="1305"/>
      <c r="AM72" s="1305"/>
      <c r="AN72" s="1305"/>
    </row>
    <row r="73" spans="1:40" s="1304" customFormat="1" ht="24">
      <c r="A73" s="1031" t="s">
        <v>1004</v>
      </c>
      <c r="B73" s="2216" t="str">
        <f>估价对象房地状况!C21</f>
        <v>估价对象所在区域公共配套设施齐备情况</v>
      </c>
      <c r="C73" s="1104"/>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5"/>
      <c r="AF73" s="1305"/>
      <c r="AG73" s="1305"/>
      <c r="AH73" s="1305"/>
      <c r="AI73" s="1305"/>
      <c r="AJ73" s="1305"/>
      <c r="AK73" s="1305"/>
      <c r="AL73" s="1305"/>
      <c r="AM73" s="1305"/>
      <c r="AN73" s="1305"/>
    </row>
    <row r="74" spans="1:40" s="1304" customFormat="1" ht="24">
      <c r="A74" s="1031" t="s">
        <v>1005</v>
      </c>
      <c r="B74" s="2216" t="str">
        <f>估价对象房地状况!C22</f>
        <v>估价对象所在区域基础设施水平</v>
      </c>
      <c r="C74" s="1104"/>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5"/>
      <c r="AF74" s="1305"/>
      <c r="AG74" s="1305"/>
      <c r="AH74" s="1305"/>
      <c r="AI74" s="1305"/>
      <c r="AJ74" s="1305"/>
      <c r="AK74" s="1305"/>
      <c r="AL74" s="1305"/>
      <c r="AM74" s="1305"/>
      <c r="AN74" s="1305"/>
    </row>
    <row r="75" spans="1:40" s="1304" customFormat="1" ht="24">
      <c r="A75" s="1031" t="s">
        <v>1003</v>
      </c>
      <c r="B75" s="2699" t="s">
        <v>2637</v>
      </c>
      <c r="C75" s="1104"/>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5"/>
      <c r="AF75" s="1305"/>
      <c r="AG75" s="1305"/>
      <c r="AH75" s="1305"/>
      <c r="AI75" s="1305"/>
      <c r="AJ75" s="1305"/>
      <c r="AK75" s="1305"/>
      <c r="AL75" s="1305"/>
      <c r="AM75" s="1305"/>
      <c r="AN75" s="1305"/>
    </row>
    <row r="76" spans="1:40" ht="24">
      <c r="A76" s="1031" t="s">
        <v>1006</v>
      </c>
      <c r="B76" s="2218" t="str">
        <f>估价对象房地状况!C20</f>
        <v>区域自然环境：；人文环境；综合评价环境状况一般</v>
      </c>
      <c r="C76" s="1104"/>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5"/>
      <c r="AN76" s="1306"/>
    </row>
    <row r="77" spans="1:40" ht="24.75" thickBot="1">
      <c r="A77" s="2248" t="s">
        <v>1013</v>
      </c>
      <c r="B77" s="1717"/>
      <c r="C77" s="1104"/>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7"/>
      <c r="AD77" s="1306"/>
      <c r="AJ77" s="1305"/>
      <c r="AN77" s="1306"/>
    </row>
    <row r="78" spans="1:40" ht="15">
      <c r="A78" s="2231" t="s">
        <v>1014</v>
      </c>
      <c r="B78" s="2232">
        <f>1+E80</f>
        <v>1</v>
      </c>
      <c r="C78" s="2251"/>
      <c r="D78" s="2234"/>
      <c r="E78" s="2235"/>
      <c r="F78" s="2236"/>
      <c r="G78" s="2230"/>
      <c r="H78" s="2230"/>
      <c r="I78" s="2230"/>
      <c r="J78" s="1030"/>
      <c r="K78" s="1030"/>
      <c r="L78" s="1030"/>
      <c r="M78" s="1030"/>
      <c r="N78" s="1030"/>
      <c r="AC78" s="1307"/>
      <c r="AD78" s="1306"/>
      <c r="AJ78" s="1305"/>
      <c r="AN78" s="1306"/>
    </row>
    <row r="79" spans="1:40" ht="24">
      <c r="A79" s="1031" t="s">
        <v>986</v>
      </c>
      <c r="B79" s="2215"/>
      <c r="C79" s="2237" t="s">
        <v>988</v>
      </c>
      <c r="D79" s="2238" t="s">
        <v>989</v>
      </c>
      <c r="E79" s="2239" t="s">
        <v>991</v>
      </c>
      <c r="F79" s="2240" t="s">
        <v>2044</v>
      </c>
      <c r="G79" s="2238" t="s">
        <v>992</v>
      </c>
      <c r="H79" s="2221" t="s">
        <v>2204</v>
      </c>
      <c r="I79" s="2238" t="s">
        <v>990</v>
      </c>
      <c r="J79" s="2241" t="s">
        <v>993</v>
      </c>
      <c r="K79" s="2241" t="s">
        <v>994</v>
      </c>
      <c r="L79" s="2241" t="s">
        <v>995</v>
      </c>
      <c r="M79" s="2241" t="s">
        <v>996</v>
      </c>
      <c r="N79" s="2241" t="s">
        <v>997</v>
      </c>
      <c r="AC79" s="1307"/>
      <c r="AD79" s="1306"/>
      <c r="AJ79" s="1305"/>
      <c r="AN79" s="1306"/>
    </row>
    <row r="80" spans="1:40" ht="36">
      <c r="A80" s="1031" t="s">
        <v>1015</v>
      </c>
      <c r="B80" s="2215" t="str">
        <f>估价对象房地状况!G15</f>
        <v>估价对象位于XX开发区，园区建设成熟度XX，产业集聚程度XX</v>
      </c>
      <c r="C80" s="1018"/>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7"/>
      <c r="AD80" s="1306"/>
      <c r="AJ80" s="1305"/>
      <c r="AN80" s="1306"/>
    </row>
    <row r="81" spans="1:40" ht="48">
      <c r="A81" s="1031" t="s">
        <v>1011</v>
      </c>
      <c r="B81" s="2215" t="str">
        <f>估价对象房地状况!G16</f>
        <v>估价对象周边道路状况、公共交通通达情况、停车便捷程度，综合评价交通便捷度较好</v>
      </c>
      <c r="C81" s="1018"/>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7"/>
      <c r="AD81" s="1306"/>
      <c r="AJ81" s="1305"/>
      <c r="AN81" s="1306"/>
    </row>
    <row r="82" spans="1:40" ht="24">
      <c r="A82" s="1031" t="s">
        <v>1000</v>
      </c>
      <c r="B82" s="2215">
        <f>估价对象房地状况!G17</f>
        <v>0</v>
      </c>
      <c r="C82" s="1018"/>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7"/>
      <c r="AD82" s="1306"/>
      <c r="AJ82" s="1305"/>
      <c r="AN82" s="1306"/>
    </row>
    <row r="83" spans="1:40" ht="14.25">
      <c r="A83" s="1031" t="s">
        <v>1012</v>
      </c>
      <c r="B83" s="2215">
        <f>估价对象房地状况!G22</f>
        <v>0</v>
      </c>
      <c r="C83" s="1018"/>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7"/>
      <c r="AD83" s="1306"/>
      <c r="AJ83" s="1305"/>
      <c r="AN83" s="1306"/>
    </row>
    <row r="84" spans="1:40" ht="24">
      <c r="A84" s="1031" t="s">
        <v>1004</v>
      </c>
      <c r="B84" s="2216" t="str">
        <f>估价对象房地状况!G19</f>
        <v>估价对象所在区域公共配套设施齐备情况</v>
      </c>
      <c r="C84" s="1018"/>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7"/>
      <c r="AD84" s="1306"/>
      <c r="AJ84" s="1305"/>
      <c r="AN84" s="1306"/>
    </row>
    <row r="85" spans="1:40" ht="24">
      <c r="A85" s="1031" t="s">
        <v>1005</v>
      </c>
      <c r="B85" s="2216" t="str">
        <f>估价对象房地状况!G20</f>
        <v>估价对象所在区域基础设施水平</v>
      </c>
      <c r="C85" s="1018"/>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7"/>
      <c r="AD85" s="1306"/>
      <c r="AJ85" s="1305"/>
      <c r="AN85" s="1306"/>
    </row>
    <row r="86" spans="1:40" ht="24">
      <c r="A86" s="1031" t="s">
        <v>1003</v>
      </c>
      <c r="B86" s="2699" t="s">
        <v>2637</v>
      </c>
      <c r="C86" s="1018"/>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7"/>
      <c r="AD86" s="1306"/>
      <c r="AJ86" s="1305"/>
      <c r="AN86" s="1306"/>
    </row>
    <row r="87" spans="1:40" ht="36.75" thickBot="1">
      <c r="A87" s="2248" t="s">
        <v>1016</v>
      </c>
      <c r="B87" s="2217" t="str">
        <f>估价对象房地状况!G18</f>
        <v>该园区内是否有污染型企业，绿化情况，卫生条件，整体环境状况判断</v>
      </c>
      <c r="C87" s="1018"/>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7"/>
      <c r="AD87" s="1306"/>
      <c r="AJ87" s="1305"/>
      <c r="AN87" s="1306"/>
    </row>
    <row r="90" spans="1:40">
      <c r="A90" s="3744" t="s">
        <v>1433</v>
      </c>
      <c r="B90" s="3744"/>
      <c r="C90" s="3744"/>
      <c r="D90" s="3744"/>
      <c r="E90" s="3744"/>
      <c r="F90" s="3744"/>
      <c r="G90" s="3744"/>
      <c r="H90" s="3744"/>
      <c r="I90" s="3744"/>
      <c r="J90" s="3744"/>
      <c r="K90" s="2257"/>
      <c r="L90" s="2257"/>
      <c r="M90" s="2257"/>
      <c r="N90" s="2257"/>
    </row>
    <row r="91" spans="1:40">
      <c r="A91" s="3745" t="s">
        <v>1421</v>
      </c>
      <c r="B91" s="3745" t="s">
        <v>1434</v>
      </c>
      <c r="C91" s="1085" t="s">
        <v>1435</v>
      </c>
      <c r="D91" s="1086"/>
      <c r="E91" s="1086"/>
      <c r="F91" s="1086"/>
      <c r="G91" s="1086"/>
      <c r="H91" s="1086"/>
      <c r="I91" s="1086"/>
      <c r="J91" s="1087"/>
      <c r="K91" s="1079"/>
      <c r="L91" s="1079"/>
      <c r="M91" s="1079"/>
      <c r="N91" s="1079"/>
    </row>
    <row r="92" spans="1:40">
      <c r="A92" s="3745"/>
      <c r="B92" s="3745"/>
      <c r="C92" s="2256" t="s">
        <v>885</v>
      </c>
      <c r="D92" s="2256" t="s">
        <v>863</v>
      </c>
      <c r="E92" s="2256" t="s">
        <v>864</v>
      </c>
      <c r="F92" s="2256" t="s">
        <v>888</v>
      </c>
      <c r="G92" s="2256" t="s">
        <v>866</v>
      </c>
      <c r="H92" s="2256" t="s">
        <v>867</v>
      </c>
      <c r="I92" s="2256" t="s">
        <v>868</v>
      </c>
      <c r="J92" s="2256" t="s">
        <v>869</v>
      </c>
      <c r="K92" s="2256" t="s">
        <v>893</v>
      </c>
      <c r="L92" s="2256" t="s">
        <v>871</v>
      </c>
      <c r="M92" s="2256" t="s">
        <v>872</v>
      </c>
      <c r="N92" s="2256" t="s">
        <v>896</v>
      </c>
    </row>
    <row r="93" spans="1:40">
      <c r="A93" s="3728" t="s">
        <v>2479</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29"/>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29"/>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29"/>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29"/>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29"/>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29"/>
      <c r="B99" s="1088" t="s">
        <v>1436</v>
      </c>
      <c r="C99" s="1090">
        <f>$I$3</f>
        <v>8</v>
      </c>
      <c r="D99" s="1090">
        <f t="shared" ref="D99:N99" si="30">$I$3</f>
        <v>8</v>
      </c>
      <c r="E99" s="1090">
        <f t="shared" si="30"/>
        <v>8</v>
      </c>
      <c r="F99" s="1090">
        <f t="shared" si="30"/>
        <v>8</v>
      </c>
      <c r="G99" s="1090">
        <f t="shared" si="30"/>
        <v>8</v>
      </c>
      <c r="H99" s="1090">
        <f t="shared" si="30"/>
        <v>8</v>
      </c>
      <c r="I99" s="1090">
        <f t="shared" si="30"/>
        <v>8</v>
      </c>
      <c r="J99" s="1090">
        <f t="shared" si="30"/>
        <v>8</v>
      </c>
      <c r="K99" s="1090">
        <f t="shared" si="30"/>
        <v>8</v>
      </c>
      <c r="L99" s="1090">
        <f t="shared" si="30"/>
        <v>8</v>
      </c>
      <c r="M99" s="1090">
        <f t="shared" si="30"/>
        <v>8</v>
      </c>
      <c r="N99" s="1090">
        <f t="shared" si="30"/>
        <v>8</v>
      </c>
    </row>
    <row r="100" spans="1:14">
      <c r="A100" s="3730"/>
      <c r="B100" s="1088">
        <v>7</v>
      </c>
      <c r="C100" s="1091">
        <f>(-0.163*(C99^2)-0.59*C99+7617)*(10^(-4))</f>
        <v>0.76018479999999999</v>
      </c>
      <c r="D100" s="1091">
        <f>(-0.163*(D99^2)-0.59*D99+7617)*(10^(-4))</f>
        <v>0.76018479999999999</v>
      </c>
      <c r="E100" s="1091">
        <f>(-0.161*(E99^2)-7.509*E99+6533)*(10^(-4))</f>
        <v>0.64626240000000001</v>
      </c>
      <c r="F100" s="1091">
        <f>(-0.161*(F99^2)-7.509*F99+6533)*(10^(-4))</f>
        <v>0.64626240000000001</v>
      </c>
      <c r="G100" s="1091">
        <f>(-0.161*(G99^2)-7.509*G99+6533)*(10^(-4))</f>
        <v>0.64626240000000001</v>
      </c>
      <c r="H100" s="1091">
        <f>(-0.161*(H99^2)-7.509*H99+6533)*(10^(-4))</f>
        <v>0.64626240000000001</v>
      </c>
      <c r="I100" s="1091">
        <f>(-0.161*(I99^2)-7.509*I99+6533)*(10^(-4))</f>
        <v>0.64626240000000001</v>
      </c>
      <c r="J100" s="1091">
        <f>(-0.214*(J99^2)-21.991*J99+4665)*(10^(-4))</f>
        <v>0.44753760000000004</v>
      </c>
      <c r="K100" s="1091">
        <f>(-0.214*(K99^2)-21.991*K99+4665)*(10^(-4))</f>
        <v>0.44753760000000004</v>
      </c>
      <c r="L100" s="1091">
        <f>(-0.214*(L99^2)-21.991*L99+4665)*(10^(-4))</f>
        <v>0.44753760000000004</v>
      </c>
      <c r="M100" s="1091">
        <f>(-0.214*(M99^2)-21.991*M99+4665)*(10^(-4))</f>
        <v>0.44753760000000004</v>
      </c>
      <c r="N100" s="1091">
        <f>(-0.214*(N99^2)-21.991*N99+4665)*(10^(-4))</f>
        <v>0.44753760000000004</v>
      </c>
    </row>
    <row r="101" spans="1:14">
      <c r="A101" s="3728" t="s">
        <v>1437</v>
      </c>
      <c r="B101" s="1092" t="s">
        <v>884</v>
      </c>
      <c r="C101" s="1093">
        <f>$G$3</f>
        <v>0</v>
      </c>
      <c r="D101" s="1093">
        <f t="shared" ref="D101:N101" si="31">$G$3</f>
        <v>0</v>
      </c>
      <c r="E101" s="1093">
        <f t="shared" si="31"/>
        <v>0</v>
      </c>
      <c r="F101" s="1093">
        <f t="shared" si="31"/>
        <v>0</v>
      </c>
      <c r="G101" s="1093">
        <f t="shared" si="31"/>
        <v>0</v>
      </c>
      <c r="H101" s="1093">
        <f t="shared" si="31"/>
        <v>0</v>
      </c>
      <c r="I101" s="1093">
        <f t="shared" si="31"/>
        <v>0</v>
      </c>
      <c r="J101" s="1093">
        <f t="shared" si="31"/>
        <v>0</v>
      </c>
      <c r="K101" s="1093">
        <f t="shared" si="31"/>
        <v>0</v>
      </c>
      <c r="L101" s="1093">
        <f t="shared" si="31"/>
        <v>0</v>
      </c>
      <c r="M101" s="1093">
        <f t="shared" si="31"/>
        <v>0</v>
      </c>
      <c r="N101" s="1093">
        <f t="shared" si="31"/>
        <v>0</v>
      </c>
    </row>
    <row r="102" spans="1:14">
      <c r="A102" s="3729"/>
      <c r="B102" s="1088">
        <v>1</v>
      </c>
      <c r="C102" s="1089" t="e">
        <f>1.9362/C101</f>
        <v>#DIV/0!</v>
      </c>
      <c r="D102" s="1089" t="e">
        <f>1.9362/D101</f>
        <v>#DIV/0!</v>
      </c>
      <c r="E102" s="1089" t="e">
        <f>1.8629/E101</f>
        <v>#DIV/0!</v>
      </c>
      <c r="F102" s="1089" t="e">
        <f>1.8629/F101</f>
        <v>#DIV/0!</v>
      </c>
      <c r="G102" s="1089" t="e">
        <f>1.8629/G101</f>
        <v>#DIV/0!</v>
      </c>
      <c r="H102" s="1089" t="e">
        <f>1.8629/H101</f>
        <v>#DIV/0!</v>
      </c>
      <c r="I102" s="1089" t="e">
        <f>1.8629/I101</f>
        <v>#DIV/0!</v>
      </c>
      <c r="J102" s="1089" t="e">
        <f>1.942/J101</f>
        <v>#DIV/0!</v>
      </c>
      <c r="K102" s="1089" t="e">
        <f>1.942/K101</f>
        <v>#DIV/0!</v>
      </c>
      <c r="L102" s="1089" t="e">
        <f>1.942/L101</f>
        <v>#DIV/0!</v>
      </c>
      <c r="M102" s="1089" t="e">
        <f>1.942/M101</f>
        <v>#DIV/0!</v>
      </c>
      <c r="N102" s="1089" t="e">
        <f>1.942/N101</f>
        <v>#DIV/0!</v>
      </c>
    </row>
    <row r="103" spans="1:14">
      <c r="A103" s="3729"/>
      <c r="B103" s="1088">
        <v>2</v>
      </c>
      <c r="C103" s="1089" t="e">
        <f>1.4198/C101</f>
        <v>#DIV/0!</v>
      </c>
      <c r="D103" s="1089" t="e">
        <f>1.4198/D101</f>
        <v>#DIV/0!</v>
      </c>
      <c r="E103" s="1089" t="e">
        <f>1.3372/E101</f>
        <v>#DIV/0!</v>
      </c>
      <c r="F103" s="1089" t="e">
        <f>1.3372/F101</f>
        <v>#DIV/0!</v>
      </c>
      <c r="G103" s="1089" t="e">
        <f>1.3372/G101</f>
        <v>#DIV/0!</v>
      </c>
      <c r="H103" s="1089" t="e">
        <f>1.3372/H101</f>
        <v>#DIV/0!</v>
      </c>
      <c r="I103" s="1089" t="e">
        <f>1.3372/I101</f>
        <v>#DIV/0!</v>
      </c>
      <c r="J103" s="1089" t="e">
        <f>1.2799/J101</f>
        <v>#DIV/0!</v>
      </c>
      <c r="K103" s="1089" t="e">
        <f>1.2799/K101</f>
        <v>#DIV/0!</v>
      </c>
      <c r="L103" s="1089" t="e">
        <f>1.2799/L101</f>
        <v>#DIV/0!</v>
      </c>
      <c r="M103" s="1089" t="e">
        <f>1.2799/M101</f>
        <v>#DIV/0!</v>
      </c>
      <c r="N103" s="1089" t="e">
        <f>1.2799/N101</f>
        <v>#DIV/0!</v>
      </c>
    </row>
    <row r="104" spans="1:14">
      <c r="A104" s="3729"/>
      <c r="B104" s="1088">
        <v>3</v>
      </c>
      <c r="C104" s="1089" t="e">
        <f>1.1594/C101</f>
        <v>#DIV/0!</v>
      </c>
      <c r="D104" s="1089" t="e">
        <f>1.1594/D101</f>
        <v>#DIV/0!</v>
      </c>
      <c r="E104" s="1089" t="e">
        <f>1.0788/E101</f>
        <v>#DIV/0!</v>
      </c>
      <c r="F104" s="1089" t="e">
        <f>1.0788/F101</f>
        <v>#DIV/0!</v>
      </c>
      <c r="G104" s="1089" t="e">
        <f>1.0788/G101</f>
        <v>#DIV/0!</v>
      </c>
      <c r="H104" s="1089" t="e">
        <f>1.0788/H101</f>
        <v>#DIV/0!</v>
      </c>
      <c r="I104" s="1089" t="e">
        <f>1.0788/I101</f>
        <v>#DIV/0!</v>
      </c>
      <c r="J104" s="1089" t="e">
        <f>1.0072/J101</f>
        <v>#DIV/0!</v>
      </c>
      <c r="K104" s="1089" t="e">
        <f>1.0072/K101</f>
        <v>#DIV/0!</v>
      </c>
      <c r="L104" s="1089" t="e">
        <f>1.0072/L101</f>
        <v>#DIV/0!</v>
      </c>
      <c r="M104" s="1089" t="e">
        <f>1.0072/M101</f>
        <v>#DIV/0!</v>
      </c>
      <c r="N104" s="1089" t="e">
        <f>1.0072/N101</f>
        <v>#DIV/0!</v>
      </c>
    </row>
    <row r="105" spans="1:14">
      <c r="A105" s="3729"/>
      <c r="B105" s="1088">
        <v>4</v>
      </c>
      <c r="C105" s="1089" t="e">
        <f>0.9622/C101</f>
        <v>#DIV/0!</v>
      </c>
      <c r="D105" s="1089" t="e">
        <f>0.9622/D101</f>
        <v>#DIV/0!</v>
      </c>
      <c r="E105" s="1089" t="e">
        <f>0.8656/E101</f>
        <v>#DIV/0!</v>
      </c>
      <c r="F105" s="1089" t="e">
        <f>0.8656/F101</f>
        <v>#DIV/0!</v>
      </c>
      <c r="G105" s="1089" t="e">
        <f>0.8656/G101</f>
        <v>#DIV/0!</v>
      </c>
      <c r="H105" s="1089" t="e">
        <f>0.8656/H101</f>
        <v>#DIV/0!</v>
      </c>
      <c r="I105" s="1089" t="e">
        <f>0.8656/I101</f>
        <v>#DIV/0!</v>
      </c>
      <c r="J105" s="1089" t="e">
        <f>0.7525/J101</f>
        <v>#DIV/0!</v>
      </c>
      <c r="K105" s="1089" t="e">
        <f>0.7525/K101</f>
        <v>#DIV/0!</v>
      </c>
      <c r="L105" s="1089" t="e">
        <f>0.7525/L101</f>
        <v>#DIV/0!</v>
      </c>
      <c r="M105" s="1089" t="e">
        <f>0.7525/M101</f>
        <v>#DIV/0!</v>
      </c>
      <c r="N105" s="1089" t="e">
        <f>0.7525/N101</f>
        <v>#DIV/0!</v>
      </c>
    </row>
    <row r="106" spans="1:14">
      <c r="A106" s="3729"/>
      <c r="B106" s="1088">
        <v>5</v>
      </c>
      <c r="C106" s="1089" t="e">
        <f>0.8417/C101</f>
        <v>#DIV/0!</v>
      </c>
      <c r="D106" s="1089" t="e">
        <f>0.8417/D101</f>
        <v>#DIV/0!</v>
      </c>
      <c r="E106" s="1089" t="e">
        <f>0.7371/E101</f>
        <v>#DIV/0!</v>
      </c>
      <c r="F106" s="1089" t="e">
        <f>0.7371/F101</f>
        <v>#DIV/0!</v>
      </c>
      <c r="G106" s="1089" t="e">
        <f>0.7371/G101</f>
        <v>#DIV/0!</v>
      </c>
      <c r="H106" s="1089" t="e">
        <f>0.7371/H101</f>
        <v>#DIV/0!</v>
      </c>
      <c r="I106" s="1089" t="e">
        <f>0.7371/I101</f>
        <v>#DIV/0!</v>
      </c>
      <c r="J106" s="1089" t="e">
        <f>0.5659/J101</f>
        <v>#DIV/0!</v>
      </c>
      <c r="K106" s="1089" t="e">
        <f>0.5659/K101</f>
        <v>#DIV/0!</v>
      </c>
      <c r="L106" s="1089" t="e">
        <f>0.5659/L101</f>
        <v>#DIV/0!</v>
      </c>
      <c r="M106" s="1089" t="e">
        <f>0.5659/M101</f>
        <v>#DIV/0!</v>
      </c>
      <c r="N106" s="1089" t="e">
        <f>0.5659/N101</f>
        <v>#DIV/0!</v>
      </c>
    </row>
    <row r="107" spans="1:14">
      <c r="A107" s="3729"/>
      <c r="B107" s="1088">
        <v>6</v>
      </c>
      <c r="C107" s="1089" t="e">
        <f>0.7608/C101</f>
        <v>#DIV/0!</v>
      </c>
      <c r="D107" s="1089" t="e">
        <f>0.7608/D101</f>
        <v>#DIV/0!</v>
      </c>
      <c r="E107" s="1089" t="e">
        <f>0.6482/E101</f>
        <v>#DIV/0!</v>
      </c>
      <c r="F107" s="1089" t="e">
        <f>0.6482/F101</f>
        <v>#DIV/0!</v>
      </c>
      <c r="G107" s="1089" t="e">
        <f>0.6482/G101</f>
        <v>#DIV/0!</v>
      </c>
      <c r="H107" s="1089" t="e">
        <f>0.6482/H101</f>
        <v>#DIV/0!</v>
      </c>
      <c r="I107" s="1089" t="e">
        <f>0.6482/I101</f>
        <v>#DIV/0!</v>
      </c>
      <c r="J107" s="1089" t="e">
        <f>0.4525/J101</f>
        <v>#DIV/0!</v>
      </c>
      <c r="K107" s="1089" t="e">
        <f>0.4525/K101</f>
        <v>#DIV/0!</v>
      </c>
      <c r="L107" s="1089" t="e">
        <f>0.4525/L101</f>
        <v>#DIV/0!</v>
      </c>
      <c r="M107" s="1089" t="e">
        <f>0.4525/M101</f>
        <v>#DIV/0!</v>
      </c>
      <c r="N107" s="1089" t="e">
        <f>0.4525/N101</f>
        <v>#DIV/0!</v>
      </c>
    </row>
    <row r="108" spans="1:14">
      <c r="A108" s="3729"/>
      <c r="B108" s="3731" t="s">
        <v>1438</v>
      </c>
      <c r="C108" s="1090">
        <f>C99</f>
        <v>8</v>
      </c>
      <c r="D108" s="1090">
        <f t="shared" ref="D108:N108" si="32">D99</f>
        <v>8</v>
      </c>
      <c r="E108" s="1090">
        <f t="shared" si="32"/>
        <v>8</v>
      </c>
      <c r="F108" s="1090">
        <f t="shared" si="32"/>
        <v>8</v>
      </c>
      <c r="G108" s="1090">
        <f t="shared" si="32"/>
        <v>8</v>
      </c>
      <c r="H108" s="1090">
        <f t="shared" si="32"/>
        <v>8</v>
      </c>
      <c r="I108" s="1090">
        <f t="shared" si="32"/>
        <v>8</v>
      </c>
      <c r="J108" s="1090">
        <f t="shared" si="32"/>
        <v>8</v>
      </c>
      <c r="K108" s="1090">
        <f t="shared" si="32"/>
        <v>8</v>
      </c>
      <c r="L108" s="1090">
        <f t="shared" si="32"/>
        <v>8</v>
      </c>
      <c r="M108" s="1090">
        <f t="shared" si="32"/>
        <v>8</v>
      </c>
      <c r="N108" s="1090">
        <f t="shared" si="32"/>
        <v>8</v>
      </c>
    </row>
    <row r="109" spans="1:14">
      <c r="A109" s="3730"/>
      <c r="B109" s="3732"/>
      <c r="C109" s="1091" t="e">
        <f>(-0.163*(C108^2)-0.59*C108+7617)*(10^(-4))/C101</f>
        <v>#DIV/0!</v>
      </c>
      <c r="D109" s="1091" t="e">
        <f>(-0.163*(D108^2)-0.59*D108+7617)*(10^(-4))/D101</f>
        <v>#DIV/0!</v>
      </c>
      <c r="E109" s="1091" t="e">
        <f>(-0.161*(E108^2)-7.509*E108+6533)*(10^(-4))/E101</f>
        <v>#DIV/0!</v>
      </c>
      <c r="F109" s="1091" t="e">
        <f>(-0.161*(F108^2)-7.509*F108+6533)*(10^(-4))/F101</f>
        <v>#DIV/0!</v>
      </c>
      <c r="G109" s="1091" t="e">
        <f>(-0.161*(G108^2)-7.509*G108+6533)*(10^(-4))/G101</f>
        <v>#DIV/0!</v>
      </c>
      <c r="H109" s="1091" t="e">
        <f>(-0.161*(H108^2)-7.509*H108+6533)*(10^(-4))/H101</f>
        <v>#DIV/0!</v>
      </c>
      <c r="I109" s="1091" t="e">
        <f>(-0.161*(I108^2)-7.509*I108+6533)*(10^(-4))/I101</f>
        <v>#DIV/0!</v>
      </c>
      <c r="J109" s="1091" t="e">
        <f>(-0.214*(J108^2)-21.991*J108+4665)*(10^(-4))/J101</f>
        <v>#DIV/0!</v>
      </c>
      <c r="K109" s="1091" t="e">
        <f>(-0.214*(K108^2)-21.991*K108+4665)*(10^(-4))/K101</f>
        <v>#DIV/0!</v>
      </c>
      <c r="L109" s="1091" t="e">
        <f>(-0.214*(L108^2)-21.991*L108+4665)*(10^(-4))/L101</f>
        <v>#DIV/0!</v>
      </c>
      <c r="M109" s="1091" t="e">
        <f>(-0.214*(M108^2)-21.991*M108+4665)*(10^(-4))/M101</f>
        <v>#DIV/0!</v>
      </c>
      <c r="N109" s="1091" t="e">
        <f>(-0.214*(N108^2)-21.991*N108+4665)*(10^(-4))/N101</f>
        <v>#DIV/0!</v>
      </c>
    </row>
    <row r="110" spans="1:14">
      <c r="A110" s="3738" t="s">
        <v>1439</v>
      </c>
      <c r="B110" s="3738"/>
      <c r="C110" s="3738"/>
      <c r="D110" s="3738"/>
      <c r="E110" s="3738"/>
      <c r="F110" s="3738"/>
      <c r="G110" s="3738"/>
      <c r="H110" s="3738"/>
      <c r="I110" s="3738"/>
      <c r="J110" s="3738"/>
      <c r="K110" s="2255"/>
      <c r="L110" s="2255"/>
      <c r="M110" s="2255"/>
      <c r="N110" s="2255"/>
    </row>
    <row r="112" spans="1:14" ht="12.75" thickBot="1"/>
    <row r="113" spans="1:13" ht="25.5" thickBot="1">
      <c r="A113" s="984" t="s">
        <v>874</v>
      </c>
      <c r="B113" s="2258">
        <f>G3</f>
        <v>0</v>
      </c>
      <c r="C113" s="985" t="s">
        <v>875</v>
      </c>
      <c r="D113" s="986">
        <f>SUMPRODUCT((A115:A118=F113)*(B114:M114=H113)*B115:M118)</f>
        <v>0</v>
      </c>
      <c r="E113" s="987" t="s">
        <v>876</v>
      </c>
      <c r="F113" s="988">
        <f>E2</f>
        <v>0</v>
      </c>
      <c r="G113" s="987" t="s">
        <v>877</v>
      </c>
      <c r="H113" s="988">
        <f>G2</f>
        <v>0</v>
      </c>
      <c r="I113" s="987"/>
      <c r="J113" s="979"/>
      <c r="K113" s="979"/>
      <c r="L113" s="979"/>
      <c r="M113" s="979"/>
    </row>
    <row r="114" spans="1:13" ht="12.75">
      <c r="A114" s="991"/>
      <c r="B114" s="992" t="s">
        <v>862</v>
      </c>
      <c r="C114" s="992" t="s">
        <v>863</v>
      </c>
      <c r="D114" s="992" t="s">
        <v>864</v>
      </c>
      <c r="E114" s="993" t="s">
        <v>865</v>
      </c>
      <c r="F114" s="993" t="s">
        <v>866</v>
      </c>
      <c r="G114" s="993" t="s">
        <v>867</v>
      </c>
      <c r="H114" s="994" t="s">
        <v>868</v>
      </c>
      <c r="I114" s="994" t="s">
        <v>869</v>
      </c>
      <c r="J114" s="995" t="s">
        <v>870</v>
      </c>
      <c r="K114" s="995" t="s">
        <v>871</v>
      </c>
      <c r="L114" s="995" t="s">
        <v>872</v>
      </c>
      <c r="M114" s="996" t="s">
        <v>873</v>
      </c>
    </row>
    <row r="115" spans="1:13" ht="12.75">
      <c r="A115" s="997" t="s">
        <v>878</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3">I115</f>
        <v>0.68899999999999995</v>
      </c>
      <c r="K115" s="998">
        <f t="shared" si="33"/>
        <v>0.68899999999999995</v>
      </c>
      <c r="L115" s="998">
        <f t="shared" si="33"/>
        <v>0.68899999999999995</v>
      </c>
      <c r="M115" s="999">
        <f t="shared" si="33"/>
        <v>0.68899999999999995</v>
      </c>
    </row>
    <row r="116" spans="1:13" ht="12.75">
      <c r="A116" s="997" t="s">
        <v>879</v>
      </c>
      <c r="B116" s="998">
        <f>ROUND(0.949-0.012*B113,4)</f>
        <v>0.94899999999999995</v>
      </c>
      <c r="C116" s="998">
        <f>B116</f>
        <v>0.94899999999999995</v>
      </c>
      <c r="D116" s="998">
        <f>ROUND(0.8567-0.013*B113,4)</f>
        <v>0.85670000000000002</v>
      </c>
      <c r="E116" s="998">
        <f t="shared" ref="E116:H117" si="34">D116</f>
        <v>0.85670000000000002</v>
      </c>
      <c r="F116" s="998">
        <f t="shared" si="34"/>
        <v>0.85670000000000002</v>
      </c>
      <c r="G116" s="998">
        <f t="shared" si="34"/>
        <v>0.85670000000000002</v>
      </c>
      <c r="H116" s="998">
        <f t="shared" si="34"/>
        <v>0.85670000000000002</v>
      </c>
      <c r="I116" s="998">
        <f>ROUND(0.7694-0.014*B113,4)</f>
        <v>0.76939999999999997</v>
      </c>
      <c r="J116" s="998">
        <f t="shared" si="33"/>
        <v>0.76939999999999997</v>
      </c>
      <c r="K116" s="998">
        <f t="shared" si="33"/>
        <v>0.76939999999999997</v>
      </c>
      <c r="L116" s="998">
        <f t="shared" si="33"/>
        <v>0.76939999999999997</v>
      </c>
      <c r="M116" s="999">
        <f t="shared" si="33"/>
        <v>0.76939999999999997</v>
      </c>
    </row>
    <row r="117" spans="1:13" ht="12.75">
      <c r="A117" s="1000" t="s">
        <v>880</v>
      </c>
      <c r="B117" s="998">
        <f>ROUND(0.8808-0.006*B113,4)</f>
        <v>0.88080000000000003</v>
      </c>
      <c r="C117" s="998">
        <f>B117</f>
        <v>0.88080000000000003</v>
      </c>
      <c r="D117" s="998">
        <f>ROUND(0.8748-0.008*B113,4)</f>
        <v>0.87480000000000002</v>
      </c>
      <c r="E117" s="998">
        <f t="shared" si="34"/>
        <v>0.87480000000000002</v>
      </c>
      <c r="F117" s="998">
        <f t="shared" si="34"/>
        <v>0.87480000000000002</v>
      </c>
      <c r="G117" s="998">
        <f t="shared" si="34"/>
        <v>0.87480000000000002</v>
      </c>
      <c r="H117" s="998">
        <f t="shared" si="34"/>
        <v>0.87480000000000002</v>
      </c>
      <c r="I117" s="998">
        <f>ROUND(0.7412-0.0095*B113,4)</f>
        <v>0.74119999999999997</v>
      </c>
      <c r="J117" s="998">
        <f t="shared" si="33"/>
        <v>0.74119999999999997</v>
      </c>
      <c r="K117" s="998">
        <f t="shared" si="33"/>
        <v>0.74119999999999997</v>
      </c>
      <c r="L117" s="998">
        <f t="shared" si="33"/>
        <v>0.74119999999999997</v>
      </c>
      <c r="M117" s="999">
        <f t="shared" si="33"/>
        <v>0.74119999999999997</v>
      </c>
    </row>
    <row r="118" spans="1:13" ht="13.5" thickBot="1">
      <c r="A118" s="1001" t="s">
        <v>881</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3"/>
        <v>0.56669999999999998</v>
      </c>
      <c r="K118" s="1002">
        <f t="shared" si="33"/>
        <v>0.56669999999999998</v>
      </c>
      <c r="L118" s="1002">
        <f t="shared" si="33"/>
        <v>0.56669999999999998</v>
      </c>
      <c r="M118" s="1003">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0" priority="5" stopIfTrue="1" operator="notEqual">
      <formula>"——"</formula>
    </cfRule>
  </conditionalFormatting>
  <conditionalFormatting sqref="F58">
    <cfRule type="cellIs" dxfId="149" priority="4" stopIfTrue="1" operator="notEqual">
      <formula>"——"</formula>
    </cfRule>
  </conditionalFormatting>
  <conditionalFormatting sqref="F69">
    <cfRule type="cellIs" dxfId="148" priority="3" stopIfTrue="1" operator="notEqual">
      <formula>"——"</formula>
    </cfRule>
  </conditionalFormatting>
  <conditionalFormatting sqref="F80">
    <cfRule type="cellIs" dxfId="147" priority="2" stopIfTrue="1" operator="notEqual">
      <formula>"——"</formula>
    </cfRule>
  </conditionalFormatting>
  <conditionalFormatting sqref="H58:H66 H47:H55 H69:H77 H80:H87">
    <cfRule type="cellIs" dxfId="14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0"/>
    <col min="2" max="9" width="13.875" style="1069"/>
    <col min="10" max="16384" width="13.875" style="1030"/>
  </cols>
  <sheetData>
    <row r="1" spans="1:13" ht="14.25" thickBot="1">
      <c r="A1" s="1070" t="s">
        <v>1409</v>
      </c>
      <c r="B1" s="1036" t="s">
        <v>885</v>
      </c>
      <c r="C1" s="1036" t="s">
        <v>886</v>
      </c>
      <c r="D1" s="1036" t="s">
        <v>887</v>
      </c>
      <c r="E1" s="1036" t="s">
        <v>888</v>
      </c>
      <c r="F1" s="1036" t="s">
        <v>889</v>
      </c>
      <c r="G1" s="1036" t="s">
        <v>890</v>
      </c>
      <c r="H1" s="1036" t="s">
        <v>891</v>
      </c>
      <c r="I1" s="1036" t="s">
        <v>892</v>
      </c>
      <c r="J1" s="1036" t="s">
        <v>893</v>
      </c>
      <c r="K1" s="1036" t="s">
        <v>894</v>
      </c>
      <c r="L1" s="1036" t="s">
        <v>895</v>
      </c>
      <c r="M1" s="1037" t="s">
        <v>896</v>
      </c>
    </row>
    <row r="2" spans="1:13">
      <c r="A2" s="3397" t="s">
        <v>2893</v>
      </c>
      <c r="B2" s="3398">
        <v>3.5</v>
      </c>
      <c r="C2" s="3398">
        <v>3.5</v>
      </c>
      <c r="D2" s="3399">
        <v>2.5</v>
      </c>
      <c r="E2" s="3399">
        <v>2.5</v>
      </c>
      <c r="F2" s="3399">
        <v>2.5</v>
      </c>
      <c r="G2" s="3399">
        <v>2.5</v>
      </c>
      <c r="H2" s="3399">
        <v>2.5</v>
      </c>
      <c r="I2" s="3398">
        <v>2</v>
      </c>
      <c r="J2" s="3398">
        <v>2</v>
      </c>
      <c r="K2" s="3398">
        <v>2</v>
      </c>
      <c r="L2" s="3398">
        <v>2</v>
      </c>
      <c r="M2" s="3400">
        <v>2</v>
      </c>
    </row>
    <row r="3" spans="1:13">
      <c r="A3" s="3401" t="s">
        <v>2894</v>
      </c>
      <c r="B3" s="3402">
        <v>3.5</v>
      </c>
      <c r="C3" s="3402">
        <v>3.5</v>
      </c>
      <c r="D3" s="3403">
        <v>2.5</v>
      </c>
      <c r="E3" s="3403">
        <v>2.5</v>
      </c>
      <c r="F3" s="3403">
        <v>2.5</v>
      </c>
      <c r="G3" s="3403">
        <v>2.5</v>
      </c>
      <c r="H3" s="3403">
        <v>2.5</v>
      </c>
      <c r="I3" s="3402">
        <v>2</v>
      </c>
      <c r="J3" s="3402">
        <v>2</v>
      </c>
      <c r="K3" s="3402">
        <v>2</v>
      </c>
      <c r="L3" s="3402">
        <v>2</v>
      </c>
      <c r="M3" s="3404">
        <v>2</v>
      </c>
    </row>
    <row r="4" spans="1:13">
      <c r="A4" s="3401" t="s">
        <v>2895</v>
      </c>
      <c r="B4" s="3403">
        <v>2.5</v>
      </c>
      <c r="C4" s="3403">
        <v>2.5</v>
      </c>
      <c r="D4" s="3403">
        <v>2.5</v>
      </c>
      <c r="E4" s="3403">
        <v>2.5</v>
      </c>
      <c r="F4" s="3403">
        <v>2.5</v>
      </c>
      <c r="G4" s="3403">
        <v>2.5</v>
      </c>
      <c r="H4" s="3403">
        <v>2.5</v>
      </c>
      <c r="I4" s="3402">
        <v>1.5</v>
      </c>
      <c r="J4" s="3402">
        <v>1.5</v>
      </c>
      <c r="K4" s="3402">
        <v>1.5</v>
      </c>
      <c r="L4" s="3402">
        <v>1.5</v>
      </c>
      <c r="M4" s="3404">
        <v>1.5</v>
      </c>
    </row>
    <row r="5" spans="1:13">
      <c r="A5" s="3405" t="s">
        <v>2896</v>
      </c>
      <c r="B5" s="3402">
        <v>1.5</v>
      </c>
      <c r="C5" s="3402">
        <v>1.5</v>
      </c>
      <c r="D5" s="3402">
        <v>1.5</v>
      </c>
      <c r="E5" s="3402">
        <v>1.5</v>
      </c>
      <c r="F5" s="3402">
        <v>1.5</v>
      </c>
      <c r="G5" s="3402">
        <v>1.2</v>
      </c>
      <c r="H5" s="3402">
        <v>1.2</v>
      </c>
      <c r="I5" s="3402">
        <v>1</v>
      </c>
      <c r="J5" s="3402">
        <v>1</v>
      </c>
      <c r="K5" s="3402">
        <v>1</v>
      </c>
      <c r="L5" s="3402">
        <v>1</v>
      </c>
      <c r="M5" s="3404">
        <v>1</v>
      </c>
    </row>
    <row r="6" spans="1:13">
      <c r="A6" s="3406" t="s">
        <v>2897</v>
      </c>
      <c r="B6" s="3407">
        <v>2.5</v>
      </c>
      <c r="C6" s="3407">
        <v>2.5</v>
      </c>
      <c r="D6" s="3407">
        <v>2</v>
      </c>
      <c r="E6" s="3407">
        <v>2</v>
      </c>
      <c r="F6" s="3407">
        <v>2</v>
      </c>
      <c r="G6" s="3407">
        <v>2</v>
      </c>
      <c r="H6" s="3407">
        <v>2</v>
      </c>
      <c r="I6" s="3408">
        <v>1.5</v>
      </c>
      <c r="J6" s="3408">
        <v>1.5</v>
      </c>
      <c r="K6" s="3408">
        <v>1.5</v>
      </c>
      <c r="L6" s="3408">
        <v>1.5</v>
      </c>
      <c r="M6" s="3409">
        <v>1.5</v>
      </c>
    </row>
    <row r="7" spans="1:13" ht="14.25" thickBot="1">
      <c r="A7" s="3410" t="s">
        <v>2898</v>
      </c>
      <c r="B7" s="3411">
        <v>2.5</v>
      </c>
      <c r="C7" s="3411">
        <v>2.5</v>
      </c>
      <c r="D7" s="3411">
        <v>2</v>
      </c>
      <c r="E7" s="3411">
        <v>2</v>
      </c>
      <c r="F7" s="3411">
        <v>2</v>
      </c>
      <c r="G7" s="3411">
        <v>2</v>
      </c>
      <c r="H7" s="3411">
        <v>2</v>
      </c>
      <c r="I7" s="3412">
        <v>1.5</v>
      </c>
      <c r="J7" s="3412">
        <v>1.5</v>
      </c>
      <c r="K7" s="3412">
        <v>1.5</v>
      </c>
      <c r="L7" s="3412">
        <v>1.5</v>
      </c>
      <c r="M7" s="3413">
        <v>1.5</v>
      </c>
    </row>
    <row r="8" spans="1:13">
      <c r="A8" s="1071" t="s">
        <v>1411</v>
      </c>
      <c r="B8" s="3414">
        <v>80</v>
      </c>
      <c r="C8" s="3414">
        <v>80</v>
      </c>
      <c r="D8" s="3414">
        <v>70</v>
      </c>
      <c r="E8" s="3414">
        <v>70</v>
      </c>
      <c r="F8" s="3414">
        <v>70</v>
      </c>
      <c r="G8" s="3414">
        <v>70</v>
      </c>
      <c r="H8" s="3414">
        <v>70</v>
      </c>
      <c r="I8" s="3414">
        <v>60</v>
      </c>
      <c r="J8" s="3414">
        <v>60</v>
      </c>
      <c r="K8" s="3414">
        <v>60</v>
      </c>
      <c r="L8" s="3414">
        <v>60</v>
      </c>
      <c r="M8" s="3415">
        <v>60</v>
      </c>
    </row>
    <row r="9" spans="1:13">
      <c r="A9" s="1031" t="s">
        <v>1412</v>
      </c>
      <c r="B9" s="3416">
        <v>70</v>
      </c>
      <c r="C9" s="3416">
        <v>70</v>
      </c>
      <c r="D9" s="3416">
        <v>60</v>
      </c>
      <c r="E9" s="3416">
        <v>60</v>
      </c>
      <c r="F9" s="3416">
        <v>60</v>
      </c>
      <c r="G9" s="3416">
        <v>60</v>
      </c>
      <c r="H9" s="3416">
        <v>60</v>
      </c>
      <c r="I9" s="3416">
        <v>50</v>
      </c>
      <c r="J9" s="3416">
        <v>50</v>
      </c>
      <c r="K9" s="3416">
        <v>50</v>
      </c>
      <c r="L9" s="3416">
        <v>50</v>
      </c>
      <c r="M9" s="3417">
        <v>50</v>
      </c>
    </row>
    <row r="10" spans="1:13">
      <c r="A10" s="1031" t="s">
        <v>1413</v>
      </c>
      <c r="B10" s="3416">
        <v>20</v>
      </c>
      <c r="C10" s="3416">
        <v>20</v>
      </c>
      <c r="D10" s="3416">
        <v>15</v>
      </c>
      <c r="E10" s="3416">
        <v>15</v>
      </c>
      <c r="F10" s="3416">
        <v>15</v>
      </c>
      <c r="G10" s="3416">
        <v>15</v>
      </c>
      <c r="H10" s="3416">
        <v>15</v>
      </c>
      <c r="I10" s="3416">
        <v>10</v>
      </c>
      <c r="J10" s="3416">
        <v>10</v>
      </c>
      <c r="K10" s="3416">
        <v>10</v>
      </c>
      <c r="L10" s="3416">
        <v>10</v>
      </c>
      <c r="M10" s="3417">
        <v>10</v>
      </c>
    </row>
    <row r="11" spans="1:13">
      <c r="A11" s="1031" t="s">
        <v>1414</v>
      </c>
      <c r="B11" s="3416">
        <v>30</v>
      </c>
      <c r="C11" s="3416">
        <v>30</v>
      </c>
      <c r="D11" s="3416">
        <v>25</v>
      </c>
      <c r="E11" s="3416">
        <v>25</v>
      </c>
      <c r="F11" s="3416">
        <v>25</v>
      </c>
      <c r="G11" s="3416">
        <v>25</v>
      </c>
      <c r="H11" s="3416">
        <v>25</v>
      </c>
      <c r="I11" s="3416">
        <v>20</v>
      </c>
      <c r="J11" s="3416">
        <v>20</v>
      </c>
      <c r="K11" s="3416">
        <v>20</v>
      </c>
      <c r="L11" s="3416">
        <v>20</v>
      </c>
      <c r="M11" s="3417">
        <v>20</v>
      </c>
    </row>
    <row r="12" spans="1:13">
      <c r="A12" s="1031" t="s">
        <v>1415</v>
      </c>
      <c r="B12" s="3416">
        <v>45</v>
      </c>
      <c r="C12" s="3416">
        <v>45</v>
      </c>
      <c r="D12" s="3416">
        <v>40</v>
      </c>
      <c r="E12" s="3416">
        <v>40</v>
      </c>
      <c r="F12" s="3416">
        <v>40</v>
      </c>
      <c r="G12" s="3416">
        <v>40</v>
      </c>
      <c r="H12" s="3416">
        <v>40</v>
      </c>
      <c r="I12" s="3416">
        <v>35</v>
      </c>
      <c r="J12" s="3416">
        <v>35</v>
      </c>
      <c r="K12" s="3416">
        <v>35</v>
      </c>
      <c r="L12" s="3416">
        <v>35</v>
      </c>
      <c r="M12" s="3417">
        <v>35</v>
      </c>
    </row>
    <row r="13" spans="1:13">
      <c r="A13" s="1031" t="s">
        <v>1416</v>
      </c>
      <c r="B13" s="3416">
        <v>60</v>
      </c>
      <c r="C13" s="3416">
        <v>60</v>
      </c>
      <c r="D13" s="3416">
        <v>50</v>
      </c>
      <c r="E13" s="3416">
        <v>50</v>
      </c>
      <c r="F13" s="3416">
        <v>50</v>
      </c>
      <c r="G13" s="3416">
        <v>50</v>
      </c>
      <c r="H13" s="3416">
        <v>50</v>
      </c>
      <c r="I13" s="3416">
        <v>40</v>
      </c>
      <c r="J13" s="3416">
        <v>40</v>
      </c>
      <c r="K13" s="3416">
        <v>40</v>
      </c>
      <c r="L13" s="3416">
        <v>40</v>
      </c>
      <c r="M13" s="3417">
        <v>40</v>
      </c>
    </row>
    <row r="14" spans="1:13">
      <c r="A14" s="1031" t="s">
        <v>1417</v>
      </c>
      <c r="B14" s="3416">
        <v>50</v>
      </c>
      <c r="C14" s="3416">
        <v>50</v>
      </c>
      <c r="D14" s="3416">
        <v>40</v>
      </c>
      <c r="E14" s="3416">
        <v>40</v>
      </c>
      <c r="F14" s="3416">
        <v>40</v>
      </c>
      <c r="G14" s="3416">
        <v>40</v>
      </c>
      <c r="H14" s="3416">
        <v>40</v>
      </c>
      <c r="I14" s="3416">
        <v>30</v>
      </c>
      <c r="J14" s="3416">
        <v>30</v>
      </c>
      <c r="K14" s="3416">
        <v>30</v>
      </c>
      <c r="L14" s="3416">
        <v>30</v>
      </c>
      <c r="M14" s="3417">
        <v>30</v>
      </c>
    </row>
    <row r="15" spans="1:13">
      <c r="A15" s="1072" t="s">
        <v>1418</v>
      </c>
      <c r="B15" s="3418">
        <v>20</v>
      </c>
      <c r="C15" s="3418">
        <v>20</v>
      </c>
      <c r="D15" s="3418">
        <v>15</v>
      </c>
      <c r="E15" s="3418">
        <v>15</v>
      </c>
      <c r="F15" s="3418">
        <v>15</v>
      </c>
      <c r="G15" s="3418">
        <v>15</v>
      </c>
      <c r="H15" s="3418">
        <v>15</v>
      </c>
      <c r="I15" s="3418">
        <v>10</v>
      </c>
      <c r="J15" s="3418">
        <v>10</v>
      </c>
      <c r="K15" s="3418">
        <v>10</v>
      </c>
      <c r="L15" s="3418">
        <v>10</v>
      </c>
      <c r="M15" s="3419">
        <v>10</v>
      </c>
    </row>
    <row r="16" spans="1:13">
      <c r="A16" s="1032" t="s">
        <v>1419</v>
      </c>
      <c r="B16" s="1073">
        <v>0</v>
      </c>
      <c r="C16" s="1073">
        <v>0</v>
      </c>
      <c r="D16" s="1073">
        <v>0</v>
      </c>
      <c r="E16" s="1073">
        <v>0</v>
      </c>
      <c r="F16" s="1073">
        <v>0</v>
      </c>
      <c r="G16" s="1073">
        <v>0</v>
      </c>
      <c r="H16" s="1073">
        <v>0</v>
      </c>
      <c r="I16" s="1073">
        <v>0</v>
      </c>
      <c r="J16" s="1073">
        <v>0</v>
      </c>
      <c r="K16" s="1073">
        <v>0</v>
      </c>
      <c r="L16" s="1073">
        <v>0</v>
      </c>
      <c r="M16" s="1073">
        <v>0</v>
      </c>
    </row>
    <row r="17" spans="1:13">
      <c r="A17" s="2760" t="s">
        <v>2683</v>
      </c>
      <c r="B17" s="2706">
        <f>SUM(B8:B15)</f>
        <v>375</v>
      </c>
      <c r="C17" s="2706">
        <f t="shared" ref="C17:H17" si="0">SUM(C8:C15)</f>
        <v>375</v>
      </c>
      <c r="D17" s="2706">
        <f t="shared" si="0"/>
        <v>315</v>
      </c>
      <c r="E17" s="2706">
        <f t="shared" si="0"/>
        <v>315</v>
      </c>
      <c r="F17" s="2706">
        <f t="shared" si="0"/>
        <v>315</v>
      </c>
      <c r="G17" s="2706">
        <f t="shared" si="0"/>
        <v>315</v>
      </c>
      <c r="H17" s="2706">
        <f t="shared" si="0"/>
        <v>315</v>
      </c>
      <c r="I17" s="2706">
        <f>SUM(I8:I12,I15)</f>
        <v>185</v>
      </c>
      <c r="J17" s="2706">
        <f t="shared" ref="J17:M17" si="1">SUM(J8:J12,J15)</f>
        <v>185</v>
      </c>
      <c r="K17" s="2706">
        <f t="shared" si="1"/>
        <v>185</v>
      </c>
      <c r="L17" s="2706">
        <f t="shared" si="1"/>
        <v>185</v>
      </c>
      <c r="M17" s="2706">
        <f t="shared" si="1"/>
        <v>185</v>
      </c>
    </row>
    <row r="18" spans="1:13">
      <c r="A18" s="1074" t="s">
        <v>1420</v>
      </c>
      <c r="B18" s="1074"/>
      <c r="C18" s="1075"/>
      <c r="D18" s="1075"/>
      <c r="E18" s="1074"/>
      <c r="F18" s="1075"/>
      <c r="G18" s="1075"/>
    </row>
    <row r="19" spans="1:13" ht="14.25" thickBot="1">
      <c r="A19" s="3418" t="s">
        <v>2899</v>
      </c>
      <c r="B19" s="3420" t="s">
        <v>2900</v>
      </c>
      <c r="C19" s="3421" t="s">
        <v>2901</v>
      </c>
      <c r="D19" s="3422"/>
      <c r="E19" s="3416" t="s">
        <v>2902</v>
      </c>
      <c r="F19" s="1077"/>
      <c r="G19" s="1077"/>
    </row>
    <row r="20" spans="1:13" s="1483" customFormat="1">
      <c r="A20" s="3746" t="s">
        <v>2893</v>
      </c>
      <c r="B20" s="3749" t="s">
        <v>2903</v>
      </c>
      <c r="C20" s="3423" t="s">
        <v>2904</v>
      </c>
      <c r="D20" s="3424"/>
      <c r="E20" s="3425">
        <v>1</v>
      </c>
      <c r="F20" s="3426" t="s">
        <v>2905</v>
      </c>
      <c r="G20" s="1079"/>
      <c r="H20" s="1069"/>
      <c r="I20" s="1069"/>
    </row>
    <row r="21" spans="1:13" s="1483" customFormat="1">
      <c r="A21" s="3747"/>
      <c r="B21" s="3750"/>
      <c r="C21" s="3427" t="s">
        <v>2906</v>
      </c>
      <c r="D21" s="3428"/>
      <c r="E21" s="3429">
        <v>1</v>
      </c>
      <c r="F21" s="3426" t="s">
        <v>2907</v>
      </c>
      <c r="G21" s="1079"/>
      <c r="H21" s="1069"/>
      <c r="I21" s="1069"/>
    </row>
    <row r="22" spans="1:13" s="1483" customFormat="1">
      <c r="A22" s="3747"/>
      <c r="B22" s="3750"/>
      <c r="C22" s="3427" t="s">
        <v>2908</v>
      </c>
      <c r="D22" s="3428"/>
      <c r="E22" s="3429">
        <v>0.9</v>
      </c>
      <c r="F22" s="3426" t="s">
        <v>2909</v>
      </c>
      <c r="G22" s="1079"/>
      <c r="H22" s="1069"/>
      <c r="I22" s="1069"/>
    </row>
    <row r="23" spans="1:13" s="1483" customFormat="1">
      <c r="A23" s="3747"/>
      <c r="B23" s="3750"/>
      <c r="C23" s="3427" t="s">
        <v>2910</v>
      </c>
      <c r="D23" s="3428"/>
      <c r="E23" s="3429">
        <v>0.9</v>
      </c>
      <c r="F23" s="3426" t="s">
        <v>2911</v>
      </c>
      <c r="G23" s="1079"/>
      <c r="H23" s="1069"/>
      <c r="I23" s="1069"/>
    </row>
    <row r="24" spans="1:13" s="1483" customFormat="1">
      <c r="A24" s="3747"/>
      <c r="B24" s="3750"/>
      <c r="C24" s="3427" t="s">
        <v>2912</v>
      </c>
      <c r="D24" s="3428"/>
      <c r="E24" s="3429">
        <v>0.8</v>
      </c>
      <c r="F24" s="3426" t="s">
        <v>2913</v>
      </c>
      <c r="G24" s="1079"/>
      <c r="H24" s="1069"/>
      <c r="I24" s="1069"/>
    </row>
    <row r="25" spans="1:13" s="1483" customFormat="1" ht="14.25" thickBot="1">
      <c r="A25" s="3748"/>
      <c r="B25" s="3751"/>
      <c r="C25" s="3430" t="s">
        <v>2914</v>
      </c>
      <c r="D25" s="3431"/>
      <c r="E25" s="3432">
        <v>0.8</v>
      </c>
      <c r="F25" s="3426" t="s">
        <v>2915</v>
      </c>
      <c r="G25" s="1079"/>
      <c r="H25" s="1069"/>
      <c r="I25" s="1069"/>
    </row>
    <row r="26" spans="1:13" s="1483" customFormat="1" ht="14.25" thickBot="1">
      <c r="A26" s="3433" t="s">
        <v>2894</v>
      </c>
      <c r="B26" s="3434" t="s">
        <v>2903</v>
      </c>
      <c r="C26" s="3435" t="s">
        <v>2916</v>
      </c>
      <c r="D26" s="3436"/>
      <c r="E26" s="3437">
        <v>1</v>
      </c>
      <c r="F26" s="3426" t="s">
        <v>2917</v>
      </c>
      <c r="G26" s="1079"/>
      <c r="H26" s="1069"/>
      <c r="I26" s="1069"/>
    </row>
    <row r="27" spans="1:13" s="1483" customFormat="1">
      <c r="A27" s="3752" t="s">
        <v>2898</v>
      </c>
      <c r="B27" s="3749" t="s">
        <v>2898</v>
      </c>
      <c r="C27" s="3423" t="s">
        <v>2918</v>
      </c>
      <c r="D27" s="3424"/>
      <c r="E27" s="3425">
        <v>1</v>
      </c>
      <c r="F27" s="3426" t="s">
        <v>2919</v>
      </c>
      <c r="G27" s="1079"/>
      <c r="H27" s="1069"/>
      <c r="I27" s="1069"/>
    </row>
    <row r="28" spans="1:13" s="1483" customFormat="1">
      <c r="A28" s="3753"/>
      <c r="B28" s="3750"/>
      <c r="C28" s="3427" t="s">
        <v>2920</v>
      </c>
      <c r="D28" s="3428"/>
      <c r="E28" s="3429">
        <v>1</v>
      </c>
      <c r="F28" s="3426" t="s">
        <v>2921</v>
      </c>
      <c r="G28" s="1079"/>
      <c r="H28" s="1069"/>
      <c r="I28" s="1069"/>
    </row>
    <row r="29" spans="1:13" s="1483" customFormat="1">
      <c r="A29" s="3753"/>
      <c r="B29" s="3750"/>
      <c r="C29" s="3427" t="s">
        <v>2922</v>
      </c>
      <c r="D29" s="3428"/>
      <c r="E29" s="3429">
        <v>0.8</v>
      </c>
      <c r="F29" s="3426" t="s">
        <v>2923</v>
      </c>
      <c r="G29" s="1079"/>
      <c r="H29" s="1069"/>
      <c r="I29" s="1069"/>
    </row>
    <row r="30" spans="1:13" s="1483" customFormat="1">
      <c r="A30" s="3753"/>
      <c r="B30" s="3750"/>
      <c r="C30" s="3427" t="s">
        <v>2924</v>
      </c>
      <c r="D30" s="3428"/>
      <c r="E30" s="3429">
        <v>0.8</v>
      </c>
      <c r="F30" s="3426" t="s">
        <v>2925</v>
      </c>
      <c r="G30" s="1079"/>
      <c r="H30" s="1069"/>
      <c r="I30" s="1069"/>
    </row>
    <row r="31" spans="1:13" s="1483" customFormat="1">
      <c r="A31" s="3753"/>
      <c r="B31" s="3750"/>
      <c r="C31" s="3427" t="s">
        <v>2926</v>
      </c>
      <c r="D31" s="3428"/>
      <c r="E31" s="3429">
        <v>0.8</v>
      </c>
      <c r="F31" s="3426" t="s">
        <v>2927</v>
      </c>
      <c r="G31" s="1079"/>
      <c r="H31" s="1069"/>
      <c r="I31" s="1069"/>
    </row>
    <row r="32" spans="1:13" s="1483" customFormat="1">
      <c r="A32" s="3753"/>
      <c r="B32" s="3750"/>
      <c r="C32" s="3427" t="s">
        <v>2928</v>
      </c>
      <c r="D32" s="3428"/>
      <c r="E32" s="3429">
        <v>0.7</v>
      </c>
      <c r="F32" s="3426" t="s">
        <v>2929</v>
      </c>
      <c r="G32" s="1079"/>
      <c r="H32" s="1069"/>
      <c r="I32" s="1069"/>
    </row>
    <row r="33" spans="1:9" s="1483" customFormat="1">
      <c r="A33" s="3753"/>
      <c r="B33" s="3750"/>
      <c r="C33" s="3427" t="s">
        <v>2930</v>
      </c>
      <c r="D33" s="3428"/>
      <c r="E33" s="3429">
        <v>0.8</v>
      </c>
      <c r="F33" s="3426" t="s">
        <v>2931</v>
      </c>
      <c r="G33" s="1079"/>
      <c r="H33" s="1069"/>
      <c r="I33" s="1069"/>
    </row>
    <row r="34" spans="1:9" s="1483" customFormat="1">
      <c r="A34" s="3753"/>
      <c r="B34" s="3750"/>
      <c r="C34" s="3427" t="s">
        <v>2932</v>
      </c>
      <c r="D34" s="3428"/>
      <c r="E34" s="3429">
        <v>0.6</v>
      </c>
      <c r="F34" s="3426" t="s">
        <v>2933</v>
      </c>
      <c r="G34" s="1079"/>
      <c r="H34" s="1069"/>
      <c r="I34" s="1069"/>
    </row>
    <row r="35" spans="1:9" s="1483" customFormat="1">
      <c r="A35" s="3753"/>
      <c r="B35" s="3750"/>
      <c r="C35" s="3427" t="s">
        <v>2934</v>
      </c>
      <c r="D35" s="3428"/>
      <c r="E35" s="3429">
        <v>0.2</v>
      </c>
      <c r="F35" s="3426" t="s">
        <v>2935</v>
      </c>
      <c r="G35" s="1079"/>
      <c r="H35" s="1069"/>
      <c r="I35" s="1069"/>
    </row>
    <row r="36" spans="1:9" s="1483" customFormat="1">
      <c r="A36" s="3753"/>
      <c r="B36" s="3750"/>
      <c r="C36" s="3427" t="s">
        <v>2936</v>
      </c>
      <c r="D36" s="3428"/>
      <c r="E36" s="3429">
        <v>0.2</v>
      </c>
      <c r="F36" s="3426" t="s">
        <v>2937</v>
      </c>
      <c r="G36" s="1079"/>
      <c r="H36" s="1069"/>
      <c r="I36" s="1069"/>
    </row>
    <row r="37" spans="1:9" s="1483" customFormat="1">
      <c r="A37" s="3753"/>
      <c r="B37" s="3755" t="s">
        <v>2938</v>
      </c>
      <c r="C37" s="3427" t="s">
        <v>2939</v>
      </c>
      <c r="D37" s="3428"/>
      <c r="E37" s="3429">
        <v>0.6</v>
      </c>
      <c r="F37" s="3426" t="s">
        <v>2940</v>
      </c>
      <c r="G37" s="1079"/>
      <c r="H37" s="1069"/>
      <c r="I37" s="1069"/>
    </row>
    <row r="38" spans="1:9" s="1483" customFormat="1">
      <c r="A38" s="3753"/>
      <c r="B38" s="3750"/>
      <c r="C38" s="3427" t="s">
        <v>2941</v>
      </c>
      <c r="D38" s="3428"/>
      <c r="E38" s="3429">
        <v>0.6</v>
      </c>
      <c r="F38" s="3426" t="s">
        <v>2942</v>
      </c>
      <c r="G38" s="1079"/>
      <c r="H38" s="1069"/>
      <c r="I38" s="1069"/>
    </row>
    <row r="39" spans="1:9" s="1483" customFormat="1" ht="14.25" thickBot="1">
      <c r="A39" s="3754"/>
      <c r="B39" s="3751"/>
      <c r="C39" s="3430" t="s">
        <v>2943</v>
      </c>
      <c r="D39" s="3431"/>
      <c r="E39" s="3432">
        <v>0.6</v>
      </c>
      <c r="F39" s="3426" t="s">
        <v>2944</v>
      </c>
      <c r="G39" s="1079"/>
      <c r="H39" s="1069"/>
      <c r="I39" s="1069"/>
    </row>
    <row r="40" spans="1:9" s="1483" customFormat="1" ht="14.25" thickBot="1">
      <c r="A40" s="3433" t="s">
        <v>2895</v>
      </c>
      <c r="B40" s="3434" t="s">
        <v>2895</v>
      </c>
      <c r="C40" s="3435" t="s">
        <v>2945</v>
      </c>
      <c r="D40" s="3436"/>
      <c r="E40" s="3437">
        <v>1</v>
      </c>
      <c r="F40" s="3426" t="s">
        <v>2946</v>
      </c>
      <c r="G40" s="1079"/>
      <c r="H40" s="1069"/>
      <c r="I40" s="1069"/>
    </row>
    <row r="41" spans="1:9" s="1483" customFormat="1">
      <c r="A41" s="3746" t="s">
        <v>2896</v>
      </c>
      <c r="B41" s="3749" t="s">
        <v>2947</v>
      </c>
      <c r="C41" s="3423" t="s">
        <v>2948</v>
      </c>
      <c r="D41" s="3424"/>
      <c r="E41" s="3425">
        <v>1</v>
      </c>
      <c r="F41" s="3426" t="s">
        <v>2949</v>
      </c>
      <c r="G41" s="1079"/>
      <c r="H41" s="1069"/>
      <c r="I41" s="1069"/>
    </row>
    <row r="42" spans="1:9" s="1483" customFormat="1">
      <c r="A42" s="3747"/>
      <c r="B42" s="3750"/>
      <c r="C42" s="3427" t="s">
        <v>2950</v>
      </c>
      <c r="D42" s="3428"/>
      <c r="E42" s="3429">
        <v>1</v>
      </c>
      <c r="F42" s="3426" t="s">
        <v>2951</v>
      </c>
      <c r="G42" s="1079"/>
      <c r="H42" s="1069"/>
      <c r="I42" s="1069"/>
    </row>
    <row r="43" spans="1:9" s="1483" customFormat="1">
      <c r="A43" s="3747"/>
      <c r="B43" s="3756"/>
      <c r="C43" s="3427" t="s">
        <v>2952</v>
      </c>
      <c r="D43" s="3428"/>
      <c r="E43" s="3429">
        <v>1.5</v>
      </c>
      <c r="F43" s="3426" t="s">
        <v>2953</v>
      </c>
      <c r="G43" s="1079"/>
      <c r="H43" s="1069"/>
      <c r="I43" s="1069"/>
    </row>
    <row r="44" spans="1:9" s="1483" customFormat="1">
      <c r="A44" s="3747"/>
      <c r="B44" s="3438" t="s">
        <v>2898</v>
      </c>
      <c r="C44" s="3427" t="s">
        <v>2897</v>
      </c>
      <c r="D44" s="3428"/>
      <c r="E44" s="3429">
        <v>2</v>
      </c>
      <c r="F44" s="3426" t="s">
        <v>2954</v>
      </c>
      <c r="G44" s="1079"/>
      <c r="H44" s="1069"/>
      <c r="I44" s="1069"/>
    </row>
    <row r="45" spans="1:9" s="1483" customFormat="1">
      <c r="A45" s="3747"/>
      <c r="B45" s="3755" t="s">
        <v>2955</v>
      </c>
      <c r="C45" s="3427" t="s">
        <v>2956</v>
      </c>
      <c r="D45" s="3428"/>
      <c r="E45" s="3429">
        <v>1</v>
      </c>
      <c r="F45" s="3426" t="s">
        <v>2957</v>
      </c>
      <c r="G45" s="1079"/>
      <c r="H45" s="1069"/>
      <c r="I45" s="1069"/>
    </row>
    <row r="46" spans="1:9" s="1483" customFormat="1">
      <c r="A46" s="3747"/>
      <c r="B46" s="3750"/>
      <c r="C46" s="3427" t="s">
        <v>2958</v>
      </c>
      <c r="D46" s="3428"/>
      <c r="E46" s="3429">
        <v>1</v>
      </c>
      <c r="F46" s="3426" t="s">
        <v>2959</v>
      </c>
      <c r="G46" s="1079"/>
      <c r="H46" s="1069"/>
      <c r="I46" s="1069"/>
    </row>
    <row r="47" spans="1:9" s="1483" customFormat="1">
      <c r="A47" s="3747"/>
      <c r="B47" s="3750"/>
      <c r="C47" s="3427" t="s">
        <v>2960</v>
      </c>
      <c r="D47" s="3428"/>
      <c r="E47" s="3429">
        <v>1</v>
      </c>
      <c r="F47" s="3426" t="s">
        <v>2961</v>
      </c>
      <c r="G47" s="1079"/>
      <c r="H47" s="1069"/>
      <c r="I47" s="1069"/>
    </row>
    <row r="48" spans="1:9" s="1483" customFormat="1">
      <c r="A48" s="3747"/>
      <c r="B48" s="3750"/>
      <c r="C48" s="3427" t="s">
        <v>2962</v>
      </c>
      <c r="D48" s="3428"/>
      <c r="E48" s="3429">
        <v>1</v>
      </c>
      <c r="F48" s="3426" t="s">
        <v>2963</v>
      </c>
      <c r="G48" s="1079"/>
      <c r="H48" s="1069"/>
      <c r="I48" s="1069"/>
    </row>
    <row r="49" spans="1:9" s="1483" customFormat="1">
      <c r="A49" s="3747"/>
      <c r="B49" s="3750"/>
      <c r="C49" s="3427" t="s">
        <v>2964</v>
      </c>
      <c r="D49" s="3428"/>
      <c r="E49" s="3429">
        <v>1</v>
      </c>
      <c r="F49" s="3426" t="s">
        <v>2965</v>
      </c>
      <c r="G49" s="1079"/>
      <c r="H49" s="1069"/>
      <c r="I49" s="1069"/>
    </row>
    <row r="50" spans="1:9" s="1483" customFormat="1">
      <c r="A50" s="3747"/>
      <c r="B50" s="3750"/>
      <c r="C50" s="3427" t="s">
        <v>2966</v>
      </c>
      <c r="D50" s="3428"/>
      <c r="E50" s="3429">
        <v>1</v>
      </c>
      <c r="F50" s="3426" t="s">
        <v>2967</v>
      </c>
      <c r="G50" s="1079"/>
      <c r="H50" s="1069"/>
      <c r="I50" s="1069"/>
    </row>
    <row r="51" spans="1:9" s="1483" customFormat="1" ht="14.25" thickBot="1">
      <c r="A51" s="3748"/>
      <c r="B51" s="3751"/>
      <c r="C51" s="3430" t="s">
        <v>2968</v>
      </c>
      <c r="D51" s="3431"/>
      <c r="E51" s="3432">
        <v>1</v>
      </c>
      <c r="F51" s="3426" t="s">
        <v>2969</v>
      </c>
      <c r="G51" s="1079"/>
      <c r="H51" s="1069"/>
      <c r="I51" s="1069"/>
    </row>
    <row r="52" spans="1:9" s="1483" customFormat="1">
      <c r="A52" s="1484"/>
      <c r="B52" s="1484"/>
      <c r="C52" s="1484"/>
      <c r="D52" s="1484"/>
      <c r="E52" s="1484"/>
      <c r="F52" s="1078"/>
      <c r="G52" s="1078"/>
      <c r="H52" s="1069"/>
      <c r="I52" s="1069"/>
    </row>
    <row r="54" spans="1:9">
      <c r="A54" s="1080"/>
      <c r="B54" s="1032" t="s">
        <v>1422</v>
      </c>
      <c r="C54" s="1032" t="s">
        <v>1422</v>
      </c>
      <c r="D54" s="1032" t="s">
        <v>1422</v>
      </c>
      <c r="E54" s="1098" t="s">
        <v>1422</v>
      </c>
      <c r="F54" s="1098" t="s">
        <v>1423</v>
      </c>
      <c r="G54" s="1098" t="s">
        <v>1422</v>
      </c>
      <c r="I54" s="1030"/>
    </row>
    <row r="55" spans="1:9">
      <c r="A55" s="1081"/>
      <c r="B55" s="1098" t="s">
        <v>985</v>
      </c>
      <c r="C55" s="1098" t="s">
        <v>985</v>
      </c>
      <c r="D55" s="1098" t="s">
        <v>985</v>
      </c>
      <c r="E55" s="1032" t="s">
        <v>1007</v>
      </c>
      <c r="F55" s="1032" t="s">
        <v>1410</v>
      </c>
      <c r="G55" s="1032" t="s">
        <v>1424</v>
      </c>
      <c r="I55" s="1030"/>
    </row>
    <row r="56" spans="1:9">
      <c r="A56" s="1082"/>
      <c r="B56" s="1032">
        <v>1</v>
      </c>
      <c r="C56" s="1032">
        <v>2</v>
      </c>
      <c r="D56" s="1032">
        <v>3</v>
      </c>
      <c r="E56" s="1076" t="s">
        <v>1425</v>
      </c>
      <c r="F56" s="1076" t="s">
        <v>1425</v>
      </c>
      <c r="G56" s="1076" t="s">
        <v>1425</v>
      </c>
      <c r="I56" s="1030"/>
    </row>
    <row r="57" spans="1:9">
      <c r="A57" s="1097" t="s">
        <v>885</v>
      </c>
      <c r="B57" s="3416">
        <v>0.7</v>
      </c>
      <c r="C57" s="3416">
        <v>0.4</v>
      </c>
      <c r="D57" s="3416">
        <v>0.3</v>
      </c>
      <c r="E57" s="3422">
        <v>0.3</v>
      </c>
      <c r="F57" s="3416">
        <v>0.3</v>
      </c>
      <c r="G57" s="3416">
        <v>0.2</v>
      </c>
      <c r="I57" s="1030"/>
    </row>
    <row r="58" spans="1:9">
      <c r="A58" s="1097" t="s">
        <v>886</v>
      </c>
      <c r="B58" s="3416">
        <v>0.7</v>
      </c>
      <c r="C58" s="3416">
        <v>0.4</v>
      </c>
      <c r="D58" s="3416">
        <v>0.3</v>
      </c>
      <c r="E58" s="3416">
        <v>0.3</v>
      </c>
      <c r="F58" s="3416">
        <v>0.3</v>
      </c>
      <c r="G58" s="3416">
        <v>0.2</v>
      </c>
      <c r="I58" s="1030"/>
    </row>
    <row r="59" spans="1:9">
      <c r="A59" s="1097" t="s">
        <v>887</v>
      </c>
      <c r="B59" s="3416">
        <v>0.6</v>
      </c>
      <c r="C59" s="3416">
        <v>0.3</v>
      </c>
      <c r="D59" s="3416">
        <v>0.25</v>
      </c>
      <c r="E59" s="3416">
        <v>0.25</v>
      </c>
      <c r="F59" s="3416">
        <v>0.25</v>
      </c>
      <c r="G59" s="3416">
        <v>0.15</v>
      </c>
      <c r="I59" s="1030"/>
    </row>
    <row r="60" spans="1:9">
      <c r="A60" s="1097" t="s">
        <v>888</v>
      </c>
      <c r="B60" s="3416">
        <v>0.6</v>
      </c>
      <c r="C60" s="3416">
        <v>0.3</v>
      </c>
      <c r="D60" s="3416">
        <v>0.25</v>
      </c>
      <c r="E60" s="3416">
        <v>0.25</v>
      </c>
      <c r="F60" s="3416">
        <v>0.25</v>
      </c>
      <c r="G60" s="3416">
        <v>0.15</v>
      </c>
      <c r="I60" s="1030"/>
    </row>
    <row r="61" spans="1:9" s="1069" customFormat="1">
      <c r="A61" s="1097" t="s">
        <v>889</v>
      </c>
      <c r="B61" s="3416">
        <v>0.6</v>
      </c>
      <c r="C61" s="3416">
        <v>0.3</v>
      </c>
      <c r="D61" s="3416">
        <v>0.25</v>
      </c>
      <c r="E61" s="3416">
        <v>0.25</v>
      </c>
      <c r="F61" s="3416">
        <v>0.25</v>
      </c>
      <c r="G61" s="3416">
        <v>0.15</v>
      </c>
    </row>
    <row r="62" spans="1:9" s="1069" customFormat="1">
      <c r="A62" s="1097" t="s">
        <v>890</v>
      </c>
      <c r="B62" s="3416">
        <v>0.6</v>
      </c>
      <c r="C62" s="3416">
        <v>0.3</v>
      </c>
      <c r="D62" s="3416">
        <v>0.25</v>
      </c>
      <c r="E62" s="3416">
        <v>0.25</v>
      </c>
      <c r="F62" s="3416">
        <v>0.25</v>
      </c>
      <c r="G62" s="3416">
        <v>0.15</v>
      </c>
    </row>
    <row r="63" spans="1:9" s="1069" customFormat="1">
      <c r="A63" s="1097" t="s">
        <v>891</v>
      </c>
      <c r="B63" s="3416">
        <v>0.6</v>
      </c>
      <c r="C63" s="3416">
        <v>0.3</v>
      </c>
      <c r="D63" s="3416">
        <v>0.25</v>
      </c>
      <c r="E63" s="3416">
        <v>0.25</v>
      </c>
      <c r="F63" s="3416">
        <v>0.25</v>
      </c>
      <c r="G63" s="3416">
        <v>0.15</v>
      </c>
    </row>
    <row r="64" spans="1:9" s="1069" customFormat="1">
      <c r="A64" s="1097" t="s">
        <v>892</v>
      </c>
      <c r="B64" s="3416">
        <v>0.5</v>
      </c>
      <c r="C64" s="3416">
        <v>0.2</v>
      </c>
      <c r="D64" s="3416">
        <v>0.2</v>
      </c>
      <c r="E64" s="3416">
        <v>0.2</v>
      </c>
      <c r="F64" s="3416">
        <v>0.2</v>
      </c>
      <c r="G64" s="3416">
        <v>0.1</v>
      </c>
    </row>
    <row r="65" spans="1:8" s="1069" customFormat="1">
      <c r="A65" s="1097" t="s">
        <v>893</v>
      </c>
      <c r="B65" s="3416">
        <v>0.5</v>
      </c>
      <c r="C65" s="3416">
        <v>0.2</v>
      </c>
      <c r="D65" s="3416">
        <v>0.2</v>
      </c>
      <c r="E65" s="3416">
        <v>0.2</v>
      </c>
      <c r="F65" s="3416">
        <v>0.2</v>
      </c>
      <c r="G65" s="3416">
        <v>0.1</v>
      </c>
    </row>
    <row r="66" spans="1:8" s="1069" customFormat="1">
      <c r="A66" s="1097" t="s">
        <v>894</v>
      </c>
      <c r="B66" s="3416">
        <v>0.5</v>
      </c>
      <c r="C66" s="3416">
        <v>0.2</v>
      </c>
      <c r="D66" s="3416">
        <v>0.2</v>
      </c>
      <c r="E66" s="3416">
        <v>0.2</v>
      </c>
      <c r="F66" s="3416">
        <v>0.2</v>
      </c>
      <c r="G66" s="3416">
        <v>0.1</v>
      </c>
    </row>
    <row r="67" spans="1:8" s="1069" customFormat="1">
      <c r="A67" s="1097" t="s">
        <v>895</v>
      </c>
      <c r="B67" s="3416">
        <v>0.5</v>
      </c>
      <c r="C67" s="3416">
        <v>0.2</v>
      </c>
      <c r="D67" s="3416">
        <v>0.2</v>
      </c>
      <c r="E67" s="3416">
        <v>0.2</v>
      </c>
      <c r="F67" s="3416">
        <v>0.2</v>
      </c>
      <c r="G67" s="3416">
        <v>0.1</v>
      </c>
    </row>
    <row r="68" spans="1:8" s="1069" customFormat="1">
      <c r="A68" s="1097" t="s">
        <v>896</v>
      </c>
      <c r="B68" s="3416">
        <v>0.5</v>
      </c>
      <c r="C68" s="3416">
        <v>0.2</v>
      </c>
      <c r="D68" s="3416">
        <v>0.2</v>
      </c>
      <c r="E68" s="3416">
        <v>0.2</v>
      </c>
      <c r="F68" s="3416">
        <v>0.2</v>
      </c>
      <c r="G68" s="3416">
        <v>0.1</v>
      </c>
    </row>
    <row r="70" spans="1:8" s="1069" customFormat="1">
      <c r="A70" s="1083"/>
      <c r="B70" s="1074"/>
      <c r="C70" s="1074"/>
      <c r="D70" s="1074" t="s">
        <v>1426</v>
      </c>
      <c r="E70" s="1074"/>
      <c r="F70" s="1074"/>
    </row>
    <row r="71" spans="1:8" s="1069" customFormat="1">
      <c r="A71" s="1099" t="s">
        <v>1427</v>
      </c>
      <c r="B71" s="1099" t="s">
        <v>1428</v>
      </c>
      <c r="C71" s="1099" t="s">
        <v>1429</v>
      </c>
      <c r="D71" s="1099" t="s">
        <v>1430</v>
      </c>
      <c r="E71" s="1099" t="s">
        <v>1431</v>
      </c>
      <c r="F71" s="1099" t="s">
        <v>1432</v>
      </c>
    </row>
    <row r="72" spans="1:8" s="1069" customFormat="1">
      <c r="A72" s="1099"/>
      <c r="B72" s="1099"/>
      <c r="C72" s="1099" t="s">
        <v>2970</v>
      </c>
      <c r="D72" s="1099"/>
      <c r="E72" s="1084" t="s">
        <v>1419</v>
      </c>
      <c r="F72" s="1099" t="s">
        <v>1419</v>
      </c>
    </row>
    <row r="73" spans="1:8" s="1069" customFormat="1">
      <c r="A73" s="3438">
        <v>1</v>
      </c>
      <c r="B73" s="3755" t="s">
        <v>2971</v>
      </c>
      <c r="C73" s="3416" t="s">
        <v>2972</v>
      </c>
      <c r="D73" s="3416" t="s">
        <v>2973</v>
      </c>
      <c r="E73" s="3439">
        <v>0.2</v>
      </c>
      <c r="F73" s="3438">
        <v>25</v>
      </c>
      <c r="H73" s="1069">
        <f>SUMIF(C71:C139,基准地价!C8,E71:E139)</f>
        <v>0</v>
      </c>
    </row>
    <row r="74" spans="1:8" s="1069" customFormat="1" ht="24">
      <c r="A74" s="3438">
        <v>2</v>
      </c>
      <c r="B74" s="3750"/>
      <c r="C74" s="3416" t="s">
        <v>2974</v>
      </c>
      <c r="D74" s="3416" t="s">
        <v>2975</v>
      </c>
      <c r="E74" s="3439">
        <v>0.2</v>
      </c>
      <c r="F74" s="3438">
        <v>25</v>
      </c>
    </row>
    <row r="75" spans="1:8" s="1069" customFormat="1" ht="24">
      <c r="A75" s="3438">
        <v>3</v>
      </c>
      <c r="B75" s="3750"/>
      <c r="C75" s="3416" t="s">
        <v>2976</v>
      </c>
      <c r="D75" s="3416" t="s">
        <v>2977</v>
      </c>
      <c r="E75" s="3439">
        <v>0.2</v>
      </c>
      <c r="F75" s="3438">
        <v>25</v>
      </c>
    </row>
    <row r="76" spans="1:8" s="1069" customFormat="1">
      <c r="A76" s="3438">
        <v>4</v>
      </c>
      <c r="B76" s="3750"/>
      <c r="C76" s="3416" t="s">
        <v>2978</v>
      </c>
      <c r="D76" s="3416" t="s">
        <v>2979</v>
      </c>
      <c r="E76" s="3439">
        <v>0.15</v>
      </c>
      <c r="F76" s="3438">
        <v>20</v>
      </c>
    </row>
    <row r="77" spans="1:8" s="1069" customFormat="1" ht="24">
      <c r="A77" s="3438">
        <v>5</v>
      </c>
      <c r="B77" s="3750"/>
      <c r="C77" s="3416" t="s">
        <v>2980</v>
      </c>
      <c r="D77" s="3416" t="s">
        <v>2981</v>
      </c>
      <c r="E77" s="3439">
        <v>0.15</v>
      </c>
      <c r="F77" s="3438">
        <v>20</v>
      </c>
    </row>
    <row r="78" spans="1:8" s="1069" customFormat="1" ht="24">
      <c r="A78" s="3438">
        <v>6</v>
      </c>
      <c r="B78" s="3750"/>
      <c r="C78" s="3416" t="s">
        <v>2982</v>
      </c>
      <c r="D78" s="3416" t="s">
        <v>2983</v>
      </c>
      <c r="E78" s="3439">
        <v>0.15</v>
      </c>
      <c r="F78" s="3438">
        <v>20</v>
      </c>
    </row>
    <row r="79" spans="1:8" s="1069" customFormat="1" ht="24">
      <c r="A79" s="3438">
        <v>7</v>
      </c>
      <c r="B79" s="3750"/>
      <c r="C79" s="3416" t="s">
        <v>2984</v>
      </c>
      <c r="D79" s="3416" t="s">
        <v>2985</v>
      </c>
      <c r="E79" s="3439">
        <v>0.15</v>
      </c>
      <c r="F79" s="3438">
        <v>20</v>
      </c>
    </row>
    <row r="80" spans="1:8" s="1069" customFormat="1" ht="24">
      <c r="A80" s="3438">
        <v>8</v>
      </c>
      <c r="B80" s="3750"/>
      <c r="C80" s="3416" t="s">
        <v>2986</v>
      </c>
      <c r="D80" s="3416" t="s">
        <v>2987</v>
      </c>
      <c r="E80" s="3439">
        <v>0.1</v>
      </c>
      <c r="F80" s="3438">
        <v>15</v>
      </c>
    </row>
    <row r="81" spans="1:6" s="1069" customFormat="1" ht="24">
      <c r="A81" s="3438">
        <v>9</v>
      </c>
      <c r="B81" s="3750"/>
      <c r="C81" s="3416" t="s">
        <v>2988</v>
      </c>
      <c r="D81" s="3416" t="s">
        <v>2989</v>
      </c>
      <c r="E81" s="3439">
        <v>0.1</v>
      </c>
      <c r="F81" s="3438">
        <v>15</v>
      </c>
    </row>
    <row r="82" spans="1:6" s="1069" customFormat="1" ht="24">
      <c r="A82" s="3438">
        <v>10</v>
      </c>
      <c r="B82" s="3750"/>
      <c r="C82" s="3416" t="s">
        <v>2990</v>
      </c>
      <c r="D82" s="3416" t="s">
        <v>2991</v>
      </c>
      <c r="E82" s="3439">
        <v>0.1</v>
      </c>
      <c r="F82" s="3438">
        <v>15</v>
      </c>
    </row>
    <row r="83" spans="1:6" s="1069" customFormat="1" ht="24">
      <c r="A83" s="3438">
        <v>11</v>
      </c>
      <c r="B83" s="3750"/>
      <c r="C83" s="3416" t="s">
        <v>2992</v>
      </c>
      <c r="D83" s="3416" t="s">
        <v>2993</v>
      </c>
      <c r="E83" s="3439">
        <v>0.1</v>
      </c>
      <c r="F83" s="3438">
        <v>15</v>
      </c>
    </row>
    <row r="84" spans="1:6" s="1069" customFormat="1" ht="24">
      <c r="A84" s="3438">
        <v>12</v>
      </c>
      <c r="B84" s="3750"/>
      <c r="C84" s="3416" t="s">
        <v>2994</v>
      </c>
      <c r="D84" s="3416" t="s">
        <v>2995</v>
      </c>
      <c r="E84" s="3439">
        <v>0.1</v>
      </c>
      <c r="F84" s="3438">
        <v>15</v>
      </c>
    </row>
    <row r="85" spans="1:6" s="1069" customFormat="1">
      <c r="A85" s="3438">
        <v>13</v>
      </c>
      <c r="B85" s="3750"/>
      <c r="C85" s="3416" t="s">
        <v>2996</v>
      </c>
      <c r="D85" s="3416" t="s">
        <v>2997</v>
      </c>
      <c r="E85" s="3439">
        <v>0.1</v>
      </c>
      <c r="F85" s="3438">
        <v>15</v>
      </c>
    </row>
    <row r="86" spans="1:6" s="1069" customFormat="1">
      <c r="A86" s="3438">
        <v>14</v>
      </c>
      <c r="B86" s="3750"/>
      <c r="C86" s="3416" t="s">
        <v>2998</v>
      </c>
      <c r="D86" s="3416" t="s">
        <v>2999</v>
      </c>
      <c r="E86" s="3439">
        <v>0.1</v>
      </c>
      <c r="F86" s="3438">
        <v>15</v>
      </c>
    </row>
    <row r="87" spans="1:6" s="1069" customFormat="1">
      <c r="A87" s="3438">
        <v>15</v>
      </c>
      <c r="B87" s="3750"/>
      <c r="C87" s="3416" t="s">
        <v>3000</v>
      </c>
      <c r="D87" s="3416" t="s">
        <v>3001</v>
      </c>
      <c r="E87" s="3439">
        <v>0.1</v>
      </c>
      <c r="F87" s="3438">
        <v>15</v>
      </c>
    </row>
    <row r="88" spans="1:6" s="1069" customFormat="1" ht="24">
      <c r="A88" s="3438">
        <v>16</v>
      </c>
      <c r="B88" s="3750"/>
      <c r="C88" s="3416" t="s">
        <v>3002</v>
      </c>
      <c r="D88" s="3416" t="s">
        <v>3003</v>
      </c>
      <c r="E88" s="3439">
        <v>0.1</v>
      </c>
      <c r="F88" s="3438">
        <v>15</v>
      </c>
    </row>
    <row r="89" spans="1:6" s="1069" customFormat="1" ht="24">
      <c r="A89" s="3438">
        <v>17</v>
      </c>
      <c r="B89" s="3756"/>
      <c r="C89" s="3416" t="s">
        <v>3004</v>
      </c>
      <c r="D89" s="3416" t="s">
        <v>3005</v>
      </c>
      <c r="E89" s="3439">
        <v>0.1</v>
      </c>
      <c r="F89" s="3438">
        <v>15</v>
      </c>
    </row>
    <row r="90" spans="1:6" s="1069" customFormat="1">
      <c r="A90" s="3438">
        <v>18</v>
      </c>
      <c r="B90" s="3755" t="s">
        <v>3006</v>
      </c>
      <c r="C90" s="3416" t="s">
        <v>3007</v>
      </c>
      <c r="D90" s="3416" t="s">
        <v>3008</v>
      </c>
      <c r="E90" s="3439">
        <v>0.2</v>
      </c>
      <c r="F90" s="3438">
        <v>25</v>
      </c>
    </row>
    <row r="91" spans="1:6" s="1069" customFormat="1" ht="24">
      <c r="A91" s="3438">
        <v>19</v>
      </c>
      <c r="B91" s="3750"/>
      <c r="C91" s="3416" t="s">
        <v>3009</v>
      </c>
      <c r="D91" s="3416" t="s">
        <v>3010</v>
      </c>
      <c r="E91" s="3439">
        <v>0.2</v>
      </c>
      <c r="F91" s="3438">
        <v>25</v>
      </c>
    </row>
    <row r="92" spans="1:6" s="1069" customFormat="1">
      <c r="A92" s="3438">
        <v>20</v>
      </c>
      <c r="B92" s="3750"/>
      <c r="C92" s="3416" t="s">
        <v>3011</v>
      </c>
      <c r="D92" s="3416" t="s">
        <v>3012</v>
      </c>
      <c r="E92" s="3439">
        <v>0.15</v>
      </c>
      <c r="F92" s="3438">
        <v>20</v>
      </c>
    </row>
    <row r="93" spans="1:6" s="1069" customFormat="1" ht="24">
      <c r="A93" s="3438">
        <v>21</v>
      </c>
      <c r="B93" s="3750"/>
      <c r="C93" s="3416" t="s">
        <v>3013</v>
      </c>
      <c r="D93" s="3416" t="s">
        <v>3014</v>
      </c>
      <c r="E93" s="3439">
        <v>0.15</v>
      </c>
      <c r="F93" s="3438">
        <v>20</v>
      </c>
    </row>
    <row r="94" spans="1:6" s="1069" customFormat="1" ht="24">
      <c r="A94" s="3438">
        <v>22</v>
      </c>
      <c r="B94" s="3750"/>
      <c r="C94" s="3416" t="s">
        <v>3015</v>
      </c>
      <c r="D94" s="3416" t="s">
        <v>3016</v>
      </c>
      <c r="E94" s="3439">
        <v>0.15</v>
      </c>
      <c r="F94" s="3438">
        <v>20</v>
      </c>
    </row>
    <row r="95" spans="1:6" s="1069" customFormat="1" ht="36">
      <c r="A95" s="3438">
        <v>23</v>
      </c>
      <c r="B95" s="3750"/>
      <c r="C95" s="3416" t="s">
        <v>3017</v>
      </c>
      <c r="D95" s="3416" t="s">
        <v>3018</v>
      </c>
      <c r="E95" s="3439">
        <v>0.15</v>
      </c>
      <c r="F95" s="3438">
        <v>20</v>
      </c>
    </row>
    <row r="96" spans="1:6" s="1069" customFormat="1">
      <c r="A96" s="3438">
        <v>24</v>
      </c>
      <c r="B96" s="3750"/>
      <c r="C96" s="3416" t="s">
        <v>3019</v>
      </c>
      <c r="D96" s="3416" t="s">
        <v>3020</v>
      </c>
      <c r="E96" s="3439">
        <v>0.1</v>
      </c>
      <c r="F96" s="3438">
        <v>15</v>
      </c>
    </row>
    <row r="97" spans="1:6" s="1069" customFormat="1" ht="24">
      <c r="A97" s="3438">
        <v>25</v>
      </c>
      <c r="B97" s="3750"/>
      <c r="C97" s="3416" t="s">
        <v>3021</v>
      </c>
      <c r="D97" s="3416" t="s">
        <v>3022</v>
      </c>
      <c r="E97" s="3439">
        <v>0.1</v>
      </c>
      <c r="F97" s="3438">
        <v>15</v>
      </c>
    </row>
    <row r="98" spans="1:6" s="1069" customFormat="1" ht="24">
      <c r="A98" s="3438">
        <v>26</v>
      </c>
      <c r="B98" s="3750"/>
      <c r="C98" s="3416" t="s">
        <v>3023</v>
      </c>
      <c r="D98" s="3416" t="s">
        <v>3024</v>
      </c>
      <c r="E98" s="3439">
        <v>0.1</v>
      </c>
      <c r="F98" s="3438">
        <v>15</v>
      </c>
    </row>
    <row r="99" spans="1:6" s="1069" customFormat="1" ht="24">
      <c r="A99" s="3438">
        <v>27</v>
      </c>
      <c r="B99" s="3750"/>
      <c r="C99" s="3416" t="s">
        <v>3025</v>
      </c>
      <c r="D99" s="3416" t="s">
        <v>3026</v>
      </c>
      <c r="E99" s="3439">
        <v>0.1</v>
      </c>
      <c r="F99" s="3438">
        <v>15</v>
      </c>
    </row>
    <row r="100" spans="1:6" s="1069" customFormat="1" ht="24">
      <c r="A100" s="3438">
        <v>28</v>
      </c>
      <c r="B100" s="3750"/>
      <c r="C100" s="3416" t="s">
        <v>3027</v>
      </c>
      <c r="D100" s="3416" t="s">
        <v>3028</v>
      </c>
      <c r="E100" s="3439">
        <v>0.1</v>
      </c>
      <c r="F100" s="3438">
        <v>15</v>
      </c>
    </row>
    <row r="101" spans="1:6" s="1069" customFormat="1" ht="24">
      <c r="A101" s="3438">
        <v>29</v>
      </c>
      <c r="B101" s="3750"/>
      <c r="C101" s="3416" t="s">
        <v>3029</v>
      </c>
      <c r="D101" s="3416" t="s">
        <v>3030</v>
      </c>
      <c r="E101" s="3439">
        <v>0.1</v>
      </c>
      <c r="F101" s="3438">
        <v>15</v>
      </c>
    </row>
    <row r="102" spans="1:6" s="1069" customFormat="1" ht="24">
      <c r="A102" s="3438">
        <v>30</v>
      </c>
      <c r="B102" s="3750"/>
      <c r="C102" s="3416" t="s">
        <v>3031</v>
      </c>
      <c r="D102" s="3416" t="s">
        <v>3032</v>
      </c>
      <c r="E102" s="3439">
        <v>0.1</v>
      </c>
      <c r="F102" s="3438">
        <v>15</v>
      </c>
    </row>
    <row r="103" spans="1:6" s="1069" customFormat="1" ht="24">
      <c r="A103" s="3438">
        <v>31</v>
      </c>
      <c r="B103" s="3750"/>
      <c r="C103" s="3416" t="s">
        <v>3033</v>
      </c>
      <c r="D103" s="3416" t="s">
        <v>3034</v>
      </c>
      <c r="E103" s="3439">
        <v>0.1</v>
      </c>
      <c r="F103" s="3438">
        <v>15</v>
      </c>
    </row>
    <row r="104" spans="1:6" s="1069" customFormat="1" ht="24">
      <c r="A104" s="3438">
        <v>32</v>
      </c>
      <c r="B104" s="3750"/>
      <c r="C104" s="3416" t="s">
        <v>3035</v>
      </c>
      <c r="D104" s="3416" t="s">
        <v>3036</v>
      </c>
      <c r="E104" s="3439">
        <v>0.1</v>
      </c>
      <c r="F104" s="3438">
        <v>15</v>
      </c>
    </row>
    <row r="105" spans="1:6" s="1069" customFormat="1" ht="24">
      <c r="A105" s="3438">
        <v>33</v>
      </c>
      <c r="B105" s="3750"/>
      <c r="C105" s="3416" t="s">
        <v>3037</v>
      </c>
      <c r="D105" s="3416" t="s">
        <v>3038</v>
      </c>
      <c r="E105" s="3439">
        <v>0.1</v>
      </c>
      <c r="F105" s="3438">
        <v>15</v>
      </c>
    </row>
    <row r="106" spans="1:6" s="1069" customFormat="1" ht="24">
      <c r="A106" s="3438">
        <v>34</v>
      </c>
      <c r="B106" s="3756"/>
      <c r="C106" s="3416" t="s">
        <v>3039</v>
      </c>
      <c r="D106" s="3416" t="s">
        <v>3040</v>
      </c>
      <c r="E106" s="3439">
        <v>0.1</v>
      </c>
      <c r="F106" s="3438">
        <v>15</v>
      </c>
    </row>
    <row r="107" spans="1:6" s="1069" customFormat="1" ht="24">
      <c r="A107" s="3438">
        <v>35</v>
      </c>
      <c r="B107" s="3755" t="s">
        <v>3041</v>
      </c>
      <c r="C107" s="3438" t="s">
        <v>3042</v>
      </c>
      <c r="D107" s="3416" t="s">
        <v>3043</v>
      </c>
      <c r="E107" s="3439">
        <v>0.15</v>
      </c>
      <c r="F107" s="3438">
        <v>20</v>
      </c>
    </row>
    <row r="108" spans="1:6" s="1069" customFormat="1" ht="24">
      <c r="A108" s="3438">
        <v>36</v>
      </c>
      <c r="B108" s="3750"/>
      <c r="C108" s="3438" t="s">
        <v>3044</v>
      </c>
      <c r="D108" s="3416" t="s">
        <v>3045</v>
      </c>
      <c r="E108" s="3439">
        <v>0.15</v>
      </c>
      <c r="F108" s="3438">
        <v>20</v>
      </c>
    </row>
    <row r="109" spans="1:6" s="1069" customFormat="1" ht="24">
      <c r="A109" s="3438">
        <v>37</v>
      </c>
      <c r="B109" s="3750"/>
      <c r="C109" s="3438" t="s">
        <v>3046</v>
      </c>
      <c r="D109" s="3416" t="s">
        <v>3047</v>
      </c>
      <c r="E109" s="3439">
        <v>0.15</v>
      </c>
      <c r="F109" s="3438">
        <v>20</v>
      </c>
    </row>
    <row r="110" spans="1:6" s="1069" customFormat="1">
      <c r="A110" s="3438">
        <v>38</v>
      </c>
      <c r="B110" s="3750"/>
      <c r="C110" s="3438" t="s">
        <v>3048</v>
      </c>
      <c r="D110" s="3416" t="s">
        <v>3049</v>
      </c>
      <c r="E110" s="3439">
        <v>0.1</v>
      </c>
      <c r="F110" s="3438">
        <v>15</v>
      </c>
    </row>
    <row r="111" spans="1:6" s="1069" customFormat="1" ht="24">
      <c r="A111" s="3438">
        <v>39</v>
      </c>
      <c r="B111" s="3750"/>
      <c r="C111" s="3438" t="s">
        <v>3050</v>
      </c>
      <c r="D111" s="3416" t="s">
        <v>3051</v>
      </c>
      <c r="E111" s="3439">
        <v>0.1</v>
      </c>
      <c r="F111" s="3438">
        <v>15</v>
      </c>
    </row>
    <row r="112" spans="1:6" s="1069" customFormat="1" ht="24">
      <c r="A112" s="3438">
        <v>40</v>
      </c>
      <c r="B112" s="3756"/>
      <c r="C112" s="3438" t="s">
        <v>3052</v>
      </c>
      <c r="D112" s="3416" t="s">
        <v>3053</v>
      </c>
      <c r="E112" s="3439">
        <v>0.1</v>
      </c>
      <c r="F112" s="3438">
        <v>15</v>
      </c>
    </row>
    <row r="113" spans="1:6" s="1069" customFormat="1" ht="24">
      <c r="A113" s="3438">
        <v>41</v>
      </c>
      <c r="B113" s="3757" t="s">
        <v>3054</v>
      </c>
      <c r="C113" s="3438" t="s">
        <v>3055</v>
      </c>
      <c r="D113" s="3416" t="s">
        <v>3056</v>
      </c>
      <c r="E113" s="3439">
        <v>0.1</v>
      </c>
      <c r="F113" s="3438">
        <v>15</v>
      </c>
    </row>
    <row r="114" spans="1:6" s="1069" customFormat="1">
      <c r="A114" s="3438">
        <v>42</v>
      </c>
      <c r="B114" s="3757"/>
      <c r="C114" s="3438" t="s">
        <v>3057</v>
      </c>
      <c r="D114" s="3416" t="s">
        <v>3058</v>
      </c>
      <c r="E114" s="3439">
        <v>0.1</v>
      </c>
      <c r="F114" s="3438">
        <v>15</v>
      </c>
    </row>
    <row r="115" spans="1:6" s="1069" customFormat="1" ht="24">
      <c r="A115" s="3438">
        <v>43</v>
      </c>
      <c r="B115" s="3757"/>
      <c r="C115" s="3438" t="s">
        <v>3059</v>
      </c>
      <c r="D115" s="3416" t="s">
        <v>3060</v>
      </c>
      <c r="E115" s="3439">
        <v>0.1</v>
      </c>
      <c r="F115" s="3438">
        <v>15</v>
      </c>
    </row>
    <row r="116" spans="1:6" s="1069" customFormat="1" ht="24">
      <c r="A116" s="3438">
        <v>44</v>
      </c>
      <c r="B116" s="3755" t="s">
        <v>3061</v>
      </c>
      <c r="C116" s="3438" t="s">
        <v>3062</v>
      </c>
      <c r="D116" s="3416" t="s">
        <v>3063</v>
      </c>
      <c r="E116" s="3439">
        <v>0.1</v>
      </c>
      <c r="F116" s="3438">
        <v>15</v>
      </c>
    </row>
    <row r="117" spans="1:6" s="1069" customFormat="1" ht="24">
      <c r="A117" s="3438">
        <v>45</v>
      </c>
      <c r="B117" s="3756"/>
      <c r="C117" s="3416" t="s">
        <v>3064</v>
      </c>
      <c r="D117" s="3416" t="s">
        <v>3065</v>
      </c>
      <c r="E117" s="3439">
        <v>0.1</v>
      </c>
      <c r="F117" s="3438">
        <v>15</v>
      </c>
    </row>
    <row r="118" spans="1:6" s="1069" customFormat="1" ht="24">
      <c r="A118" s="3438">
        <v>46</v>
      </c>
      <c r="B118" s="3755" t="s">
        <v>3066</v>
      </c>
      <c r="C118" s="3438" t="s">
        <v>3067</v>
      </c>
      <c r="D118" s="3416" t="s">
        <v>3068</v>
      </c>
      <c r="E118" s="3439">
        <v>0.1</v>
      </c>
      <c r="F118" s="3438">
        <v>15</v>
      </c>
    </row>
    <row r="119" spans="1:6" s="1069" customFormat="1" ht="24">
      <c r="A119" s="3438">
        <v>47</v>
      </c>
      <c r="B119" s="3756"/>
      <c r="C119" s="3438" t="s">
        <v>3069</v>
      </c>
      <c r="D119" s="3416" t="s">
        <v>3070</v>
      </c>
      <c r="E119" s="3439">
        <v>0.1</v>
      </c>
      <c r="F119" s="3438">
        <v>15</v>
      </c>
    </row>
    <row r="120" spans="1:6" s="1069" customFormat="1" ht="24">
      <c r="A120" s="3438">
        <v>48</v>
      </c>
      <c r="B120" s="3755" t="s">
        <v>3071</v>
      </c>
      <c r="C120" s="3438" t="s">
        <v>3072</v>
      </c>
      <c r="D120" s="3416" t="s">
        <v>3073</v>
      </c>
      <c r="E120" s="3439">
        <v>0.1</v>
      </c>
      <c r="F120" s="3438">
        <v>15</v>
      </c>
    </row>
    <row r="121" spans="1:6" s="1069" customFormat="1">
      <c r="A121" s="3438">
        <v>49</v>
      </c>
      <c r="B121" s="3756"/>
      <c r="C121" s="3438" t="s">
        <v>3074</v>
      </c>
      <c r="D121" s="3416" t="s">
        <v>3075</v>
      </c>
      <c r="E121" s="3439">
        <v>0.1</v>
      </c>
      <c r="F121" s="3438">
        <v>15</v>
      </c>
    </row>
    <row r="122" spans="1:6" s="1069" customFormat="1" ht="24">
      <c r="A122" s="3438">
        <v>50</v>
      </c>
      <c r="B122" s="3757" t="s">
        <v>3076</v>
      </c>
      <c r="C122" s="3438" t="s">
        <v>3077</v>
      </c>
      <c r="D122" s="3416" t="s">
        <v>3078</v>
      </c>
      <c r="E122" s="3439">
        <v>0.1</v>
      </c>
      <c r="F122" s="3438">
        <v>15</v>
      </c>
    </row>
    <row r="123" spans="1:6" s="1069" customFormat="1" ht="24">
      <c r="A123" s="3438">
        <v>51</v>
      </c>
      <c r="B123" s="3757"/>
      <c r="C123" s="3438" t="s">
        <v>3079</v>
      </c>
      <c r="D123" s="3416" t="s">
        <v>3080</v>
      </c>
      <c r="E123" s="3439">
        <v>0.1</v>
      </c>
      <c r="F123" s="3438">
        <v>15</v>
      </c>
    </row>
    <row r="124" spans="1:6" s="1069" customFormat="1" ht="24">
      <c r="A124" s="3438">
        <v>52</v>
      </c>
      <c r="B124" s="3757" t="s">
        <v>3081</v>
      </c>
      <c r="C124" s="3438" t="s">
        <v>3082</v>
      </c>
      <c r="D124" s="3416" t="s">
        <v>3083</v>
      </c>
      <c r="E124" s="3439">
        <v>0.1</v>
      </c>
      <c r="F124" s="3438">
        <v>15</v>
      </c>
    </row>
    <row r="125" spans="1:6" s="1069" customFormat="1" ht="24">
      <c r="A125" s="3438">
        <v>53</v>
      </c>
      <c r="B125" s="3757"/>
      <c r="C125" s="3438" t="s">
        <v>3084</v>
      </c>
      <c r="D125" s="3416" t="s">
        <v>3085</v>
      </c>
      <c r="E125" s="3439">
        <v>0.1</v>
      </c>
      <c r="F125" s="3438">
        <v>15</v>
      </c>
    </row>
    <row r="126" spans="1:6" ht="24">
      <c r="A126" s="3438">
        <v>54</v>
      </c>
      <c r="B126" s="3438" t="s">
        <v>3086</v>
      </c>
      <c r="C126" s="3438" t="s">
        <v>3087</v>
      </c>
      <c r="D126" s="3416" t="s">
        <v>3088</v>
      </c>
      <c r="E126" s="3439">
        <v>0.1</v>
      </c>
      <c r="F126" s="3438">
        <v>15</v>
      </c>
    </row>
    <row r="127" spans="1:6">
      <c r="A127" s="3438">
        <v>55</v>
      </c>
      <c r="B127" s="3757" t="s">
        <v>3089</v>
      </c>
      <c r="C127" s="3438" t="s">
        <v>3090</v>
      </c>
      <c r="D127" s="3416" t="s">
        <v>3091</v>
      </c>
      <c r="E127" s="3439">
        <v>0.1</v>
      </c>
      <c r="F127" s="3438">
        <v>15</v>
      </c>
    </row>
    <row r="128" spans="1:6">
      <c r="A128" s="3438">
        <v>56</v>
      </c>
      <c r="B128" s="3757"/>
      <c r="C128" s="3438" t="s">
        <v>3092</v>
      </c>
      <c r="D128" s="3416" t="s">
        <v>3093</v>
      </c>
      <c r="E128" s="3439">
        <v>0.1</v>
      </c>
      <c r="F128" s="3438">
        <v>15</v>
      </c>
    </row>
    <row r="129" spans="1:14" ht="24">
      <c r="A129" s="3438">
        <v>57</v>
      </c>
      <c r="B129" s="3757"/>
      <c r="C129" s="3438" t="s">
        <v>3094</v>
      </c>
      <c r="D129" s="3416" t="s">
        <v>3095</v>
      </c>
      <c r="E129" s="3439">
        <v>0.1</v>
      </c>
      <c r="F129" s="3438">
        <v>15</v>
      </c>
    </row>
    <row r="130" spans="1:14" ht="24">
      <c r="A130" s="3438">
        <v>58</v>
      </c>
      <c r="B130" s="3757" t="s">
        <v>3096</v>
      </c>
      <c r="C130" s="3438" t="s">
        <v>3097</v>
      </c>
      <c r="D130" s="3416" t="s">
        <v>3098</v>
      </c>
      <c r="E130" s="3439">
        <v>0.1</v>
      </c>
      <c r="F130" s="3438">
        <v>15</v>
      </c>
    </row>
    <row r="131" spans="1:14" ht="24">
      <c r="A131" s="3438">
        <v>59</v>
      </c>
      <c r="B131" s="3757"/>
      <c r="C131" s="3438" t="s">
        <v>3099</v>
      </c>
      <c r="D131" s="3416" t="s">
        <v>3100</v>
      </c>
      <c r="E131" s="3439">
        <v>0.1</v>
      </c>
      <c r="F131" s="3438">
        <v>15</v>
      </c>
    </row>
    <row r="132" spans="1:14" ht="24">
      <c r="A132" s="3438">
        <v>60</v>
      </c>
      <c r="B132" s="3755" t="s">
        <v>3101</v>
      </c>
      <c r="C132" s="3438" t="s">
        <v>3102</v>
      </c>
      <c r="D132" s="3416" t="s">
        <v>3103</v>
      </c>
      <c r="E132" s="3439">
        <v>0.1</v>
      </c>
      <c r="F132" s="3438">
        <v>15</v>
      </c>
    </row>
    <row r="133" spans="1:14" ht="24">
      <c r="A133" s="3438">
        <v>61</v>
      </c>
      <c r="B133" s="3756"/>
      <c r="C133" s="3438" t="s">
        <v>3104</v>
      </c>
      <c r="D133" s="3416" t="s">
        <v>3105</v>
      </c>
      <c r="E133" s="3439">
        <v>0.1</v>
      </c>
      <c r="F133" s="3438">
        <v>15</v>
      </c>
    </row>
    <row r="134" spans="1:14" ht="24">
      <c r="A134" s="3438">
        <v>62</v>
      </c>
      <c r="B134" s="3438" t="s">
        <v>3106</v>
      </c>
      <c r="C134" s="3438" t="s">
        <v>3107</v>
      </c>
      <c r="D134" s="3416" t="s">
        <v>3108</v>
      </c>
      <c r="E134" s="3439">
        <v>0.1</v>
      </c>
      <c r="F134" s="3438">
        <v>15</v>
      </c>
    </row>
    <row r="135" spans="1:14" ht="24">
      <c r="A135" s="3438">
        <v>63</v>
      </c>
      <c r="B135" s="3757" t="s">
        <v>3109</v>
      </c>
      <c r="C135" s="3438" t="s">
        <v>3110</v>
      </c>
      <c r="D135" s="3416" t="s">
        <v>3111</v>
      </c>
      <c r="E135" s="3439">
        <v>0.1</v>
      </c>
      <c r="F135" s="3438">
        <v>15</v>
      </c>
    </row>
    <row r="136" spans="1:14">
      <c r="A136" s="3438">
        <v>64</v>
      </c>
      <c r="B136" s="3757"/>
      <c r="C136" s="3438" t="s">
        <v>3112</v>
      </c>
      <c r="D136" s="3416" t="s">
        <v>3113</v>
      </c>
      <c r="E136" s="3439">
        <v>0.1</v>
      </c>
      <c r="F136" s="3438">
        <v>15</v>
      </c>
    </row>
    <row r="137" spans="1:14" ht="24">
      <c r="A137" s="3438">
        <v>65</v>
      </c>
      <c r="B137" s="3438" t="s">
        <v>3114</v>
      </c>
      <c r="C137" s="3438" t="s">
        <v>3115</v>
      </c>
      <c r="D137" s="3416" t="s">
        <v>3116</v>
      </c>
      <c r="E137" s="3439">
        <v>0.1</v>
      </c>
      <c r="F137" s="3438">
        <v>15</v>
      </c>
    </row>
    <row r="138" spans="1:14">
      <c r="A138" s="1099"/>
      <c r="B138" s="3396"/>
      <c r="C138" s="1099"/>
      <c r="D138" s="1032"/>
      <c r="E138" s="1084"/>
      <c r="F138" s="1099"/>
    </row>
    <row r="139" spans="1:14">
      <c r="A139" s="1099"/>
      <c r="B139" s="1099"/>
      <c r="C139" s="1099"/>
      <c r="D139" s="1099"/>
      <c r="E139" s="1084"/>
      <c r="F139" s="1099"/>
    </row>
    <row r="141" spans="1:14">
      <c r="A141" s="3744" t="s">
        <v>1433</v>
      </c>
      <c r="B141" s="3744"/>
      <c r="C141" s="3744"/>
      <c r="D141" s="3744"/>
      <c r="E141" s="3744"/>
      <c r="F141" s="3744"/>
      <c r="G141" s="3744"/>
      <c r="H141" s="3744"/>
      <c r="I141" s="3744"/>
      <c r="J141" s="3744"/>
      <c r="K141" s="1100"/>
      <c r="L141" s="1100"/>
      <c r="M141" s="1100"/>
      <c r="N141" s="1100"/>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58" t="s">
        <v>1017</v>
      </c>
      <c r="B1" s="3758"/>
      <c r="C1" s="3758"/>
      <c r="D1" s="3758"/>
      <c r="E1" s="3758"/>
      <c r="F1" s="3758"/>
      <c r="H1" s="1034"/>
      <c r="I1" s="1035" t="s">
        <v>1018</v>
      </c>
      <c r="J1" s="1036" t="s">
        <v>1019</v>
      </c>
      <c r="K1" s="1036" t="s">
        <v>1020</v>
      </c>
      <c r="L1" s="1036" t="s">
        <v>1021</v>
      </c>
      <c r="M1" s="1036" t="s">
        <v>1022</v>
      </c>
      <c r="N1" s="1036" t="s">
        <v>1023</v>
      </c>
      <c r="O1" s="1036" t="s">
        <v>1024</v>
      </c>
      <c r="P1" s="1036" t="s">
        <v>1025</v>
      </c>
      <c r="Q1" s="1036" t="s">
        <v>1026</v>
      </c>
      <c r="R1" s="1036" t="s">
        <v>1027</v>
      </c>
      <c r="S1" s="1036" t="s">
        <v>1028</v>
      </c>
      <c r="T1" s="1037" t="s">
        <v>1029</v>
      </c>
    </row>
    <row r="2" spans="1:20" ht="14.25" thickBot="1">
      <c r="A2" s="3759" t="s">
        <v>1030</v>
      </c>
      <c r="B2" s="3759"/>
      <c r="C2" s="3759"/>
      <c r="D2" s="3759"/>
      <c r="E2" s="3759"/>
      <c r="F2" s="3759"/>
      <c r="I2" s="1038" t="s">
        <v>1031</v>
      </c>
      <c r="J2" s="1039" t="s">
        <v>1032</v>
      </c>
      <c r="K2" s="1039" t="s">
        <v>1033</v>
      </c>
      <c r="L2" s="1039" t="s">
        <v>1034</v>
      </c>
      <c r="M2" s="1039" t="s">
        <v>1035</v>
      </c>
      <c r="N2" s="1039" t="s">
        <v>1036</v>
      </c>
      <c r="O2" s="1039" t="s">
        <v>1037</v>
      </c>
      <c r="P2" s="1039" t="s">
        <v>1038</v>
      </c>
      <c r="Q2" s="1039" t="s">
        <v>1039</v>
      </c>
      <c r="R2" s="1039" t="s">
        <v>1040</v>
      </c>
      <c r="S2" s="1039" t="s">
        <v>1041</v>
      </c>
      <c r="T2" s="1039" t="s">
        <v>1042</v>
      </c>
    </row>
    <row r="3" spans="1:20" s="1034" customFormat="1" ht="19.5" customHeight="1">
      <c r="A3" s="3760" t="s">
        <v>1043</v>
      </c>
      <c r="B3" s="1040"/>
      <c r="C3" s="1041" t="s">
        <v>1044</v>
      </c>
      <c r="D3" s="1041" t="s">
        <v>1045</v>
      </c>
      <c r="E3" s="1041" t="s">
        <v>1046</v>
      </c>
      <c r="F3" s="1041" t="s">
        <v>1047</v>
      </c>
      <c r="G3" s="1042"/>
      <c r="I3" s="1038" t="s">
        <v>1048</v>
      </c>
      <c r="J3" s="1039" t="s">
        <v>1049</v>
      </c>
      <c r="K3" s="1039" t="s">
        <v>1050</v>
      </c>
      <c r="L3" s="1039" t="s">
        <v>1051</v>
      </c>
      <c r="M3" s="1039" t="s">
        <v>1052</v>
      </c>
      <c r="N3" s="1039" t="s">
        <v>1053</v>
      </c>
      <c r="O3" s="1039" t="s">
        <v>1054</v>
      </c>
      <c r="P3" s="1039" t="s">
        <v>1055</v>
      </c>
      <c r="Q3" s="1039" t="s">
        <v>1056</v>
      </c>
      <c r="R3" s="1039" t="s">
        <v>1057</v>
      </c>
      <c r="S3" s="1039" t="s">
        <v>1058</v>
      </c>
      <c r="T3" s="1039" t="s">
        <v>1059</v>
      </c>
    </row>
    <row r="4" spans="1:20" s="1034" customFormat="1" ht="19.5" customHeight="1" thickBot="1">
      <c r="A4" s="3761"/>
      <c r="B4" s="1043" t="s">
        <v>1060</v>
      </c>
      <c r="C4" s="1043" t="s">
        <v>1061</v>
      </c>
      <c r="D4" s="1043" t="s">
        <v>1061</v>
      </c>
      <c r="E4" s="1043" t="s">
        <v>1061</v>
      </c>
      <c r="F4" s="1044" t="s">
        <v>1061</v>
      </c>
      <c r="G4" s="1042"/>
      <c r="I4" s="1038" t="s">
        <v>1062</v>
      </c>
      <c r="J4" s="1039" t="s">
        <v>1063</v>
      </c>
      <c r="K4" s="1039" t="s">
        <v>1064</v>
      </c>
      <c r="L4" s="1039" t="s">
        <v>1065</v>
      </c>
      <c r="M4" s="1039" t="s">
        <v>1066</v>
      </c>
      <c r="N4" s="1039" t="s">
        <v>1067</v>
      </c>
      <c r="O4" s="1039" t="s">
        <v>1068</v>
      </c>
      <c r="P4" s="1039" t="s">
        <v>1069</v>
      </c>
      <c r="Q4" s="1039" t="s">
        <v>1070</v>
      </c>
      <c r="R4" s="1039" t="s">
        <v>1071</v>
      </c>
      <c r="S4" s="1039" t="s">
        <v>1072</v>
      </c>
      <c r="T4" s="1039" t="s">
        <v>1073</v>
      </c>
    </row>
    <row r="5" spans="1:20" ht="14.25" customHeight="1" thickBot="1">
      <c r="A5" s="1045" t="s">
        <v>1074</v>
      </c>
      <c r="B5" s="1046" t="s">
        <v>1031</v>
      </c>
      <c r="C5" s="1046">
        <v>29530</v>
      </c>
      <c r="D5" s="1046">
        <v>28130</v>
      </c>
      <c r="E5" s="1046">
        <v>27930</v>
      </c>
      <c r="F5" s="1047">
        <v>11300</v>
      </c>
      <c r="G5" s="1048" t="s">
        <v>1018</v>
      </c>
      <c r="H5" s="1049">
        <f>SUMPRODUCT((B5:B9=基准地价!I2)*(C3:F3=基准地价!E2)*(C5:F9))</f>
        <v>0</v>
      </c>
      <c r="I5" s="1038" t="s">
        <v>1075</v>
      </c>
      <c r="J5" s="1039" t="s">
        <v>1076</v>
      </c>
      <c r="K5" s="1039" t="s">
        <v>1077</v>
      </c>
      <c r="L5" s="1039" t="s">
        <v>1078</v>
      </c>
      <c r="M5" s="1039" t="s">
        <v>1079</v>
      </c>
      <c r="N5" s="1039" t="s">
        <v>1080</v>
      </c>
      <c r="O5" s="1039" t="s">
        <v>1081</v>
      </c>
      <c r="P5" s="1039" t="s">
        <v>1082</v>
      </c>
      <c r="Q5" s="1039" t="s">
        <v>1083</v>
      </c>
      <c r="R5" s="1039" t="s">
        <v>1084</v>
      </c>
      <c r="S5" s="1039" t="s">
        <v>1085</v>
      </c>
      <c r="T5" s="1039" t="s">
        <v>1086</v>
      </c>
    </row>
    <row r="6" spans="1:20" ht="14.25" customHeight="1" thickBot="1">
      <c r="A6" s="1045" t="s">
        <v>1074</v>
      </c>
      <c r="B6" s="1039" t="s">
        <v>1087</v>
      </c>
      <c r="C6" s="1039">
        <v>30290</v>
      </c>
      <c r="D6" s="1039">
        <v>29210</v>
      </c>
      <c r="E6" s="1039">
        <v>28860</v>
      </c>
      <c r="F6" s="1050">
        <v>12600</v>
      </c>
      <c r="G6" s="1051" t="s">
        <v>1088</v>
      </c>
      <c r="H6" s="1052">
        <f>SUMPRODUCT((B10:B28=基准地价!I2)*(C3:F3=基准地价!E2)*(C10:F28))</f>
        <v>0</v>
      </c>
      <c r="I6" s="1038" t="s">
        <v>1089</v>
      </c>
      <c r="J6" s="1039" t="s">
        <v>1090</v>
      </c>
      <c r="K6" s="1039" t="s">
        <v>1091</v>
      </c>
      <c r="L6" s="1039" t="s">
        <v>1092</v>
      </c>
      <c r="M6" s="1039" t="s">
        <v>1093</v>
      </c>
      <c r="N6" s="1039" t="s">
        <v>1094</v>
      </c>
      <c r="O6" s="1039" t="s">
        <v>1095</v>
      </c>
      <c r="P6" s="1039" t="s">
        <v>1096</v>
      </c>
      <c r="Q6" s="1039" t="s">
        <v>1097</v>
      </c>
      <c r="R6" s="1039" t="s">
        <v>1098</v>
      </c>
      <c r="S6" s="1039" t="s">
        <v>1099</v>
      </c>
      <c r="T6" s="1039" t="s">
        <v>1100</v>
      </c>
    </row>
    <row r="7" spans="1:20" ht="14.25" customHeight="1" thickBot="1">
      <c r="A7" s="1045" t="s">
        <v>1074</v>
      </c>
      <c r="B7" s="1053" t="s">
        <v>1062</v>
      </c>
      <c r="C7" s="1039">
        <v>29350</v>
      </c>
      <c r="D7" s="1039">
        <v>28410</v>
      </c>
      <c r="E7" s="1039">
        <v>27990</v>
      </c>
      <c r="F7" s="1050">
        <v>12300</v>
      </c>
      <c r="G7" s="1051" t="s">
        <v>887</v>
      </c>
      <c r="H7" s="1052">
        <f>SUMPRODUCT((B29:B48=基准地价!I2)*(C3:F3=基准地价!E2)*(C29:F48))</f>
        <v>0</v>
      </c>
      <c r="J7" s="1039" t="s">
        <v>1101</v>
      </c>
      <c r="K7" s="1039" t="s">
        <v>1102</v>
      </c>
      <c r="L7" s="1039" t="s">
        <v>1103</v>
      </c>
      <c r="M7" s="1039" t="s">
        <v>1104</v>
      </c>
      <c r="N7" s="1039" t="s">
        <v>1105</v>
      </c>
      <c r="O7" s="1039" t="s">
        <v>1106</v>
      </c>
      <c r="P7" s="1039" t="s">
        <v>1107</v>
      </c>
      <c r="Q7" s="1039" t="s">
        <v>1108</v>
      </c>
      <c r="R7" s="1039" t="s">
        <v>1109</v>
      </c>
      <c r="S7" s="1039" t="s">
        <v>1110</v>
      </c>
      <c r="T7" s="1053" t="s">
        <v>1111</v>
      </c>
    </row>
    <row r="8" spans="1:20" ht="14.25" customHeight="1" thickBot="1">
      <c r="A8" s="1045" t="s">
        <v>1074</v>
      </c>
      <c r="B8" s="1039" t="s">
        <v>1075</v>
      </c>
      <c r="C8" s="1039">
        <v>30890</v>
      </c>
      <c r="D8" s="1039">
        <v>29780</v>
      </c>
      <c r="E8" s="1039">
        <v>29270</v>
      </c>
      <c r="F8" s="1050">
        <v>11600</v>
      </c>
      <c r="G8" s="1051" t="s">
        <v>888</v>
      </c>
      <c r="H8" s="1052">
        <f>SUMPRODUCT((B49:B75=基准地价!I2)*(C3:F3=基准地价!E2)*(C49:F75))</f>
        <v>0</v>
      </c>
      <c r="J8" s="1039" t="s">
        <v>1112</v>
      </c>
      <c r="K8" s="1039" t="s">
        <v>1113</v>
      </c>
      <c r="L8" s="1039" t="s">
        <v>1114</v>
      </c>
      <c r="M8" s="1039" t="s">
        <v>1115</v>
      </c>
      <c r="N8" s="1039" t="s">
        <v>1116</v>
      </c>
      <c r="O8" s="1039" t="s">
        <v>1117</v>
      </c>
      <c r="P8" s="1039" t="s">
        <v>1118</v>
      </c>
      <c r="Q8" s="1039" t="s">
        <v>1119</v>
      </c>
      <c r="R8" s="1039" t="s">
        <v>1120</v>
      </c>
      <c r="S8" s="1039" t="s">
        <v>1121</v>
      </c>
      <c r="T8" s="1039" t="s">
        <v>1122</v>
      </c>
    </row>
    <row r="9" spans="1:20" ht="14.25" customHeight="1" thickBot="1">
      <c r="A9" s="1045" t="s">
        <v>1074</v>
      </c>
      <c r="B9" s="1054" t="s">
        <v>1089</v>
      </c>
      <c r="C9" s="1055">
        <v>28140</v>
      </c>
      <c r="D9" s="1055"/>
      <c r="E9" s="1055"/>
      <c r="F9" s="1056"/>
      <c r="G9" s="1051" t="s">
        <v>889</v>
      </c>
      <c r="H9" s="1052">
        <f>SUMPRODUCT((B76:B109=基准地价!I2)*(C3:F3=基准地价!E2)*(C76:F109))</f>
        <v>0</v>
      </c>
      <c r="J9" s="1039" t="s">
        <v>1123</v>
      </c>
      <c r="K9" s="1039" t="s">
        <v>1124</v>
      </c>
      <c r="L9" s="1039" t="s">
        <v>1125</v>
      </c>
      <c r="M9" s="1039" t="s">
        <v>1126</v>
      </c>
      <c r="N9" s="1039" t="s">
        <v>1127</v>
      </c>
      <c r="O9" s="1039" t="s">
        <v>1128</v>
      </c>
      <c r="P9" s="1039" t="s">
        <v>1129</v>
      </c>
      <c r="Q9" s="1039" t="s">
        <v>1130</v>
      </c>
      <c r="R9" s="1039" t="s">
        <v>1131</v>
      </c>
      <c r="S9" s="1039" t="s">
        <v>1132</v>
      </c>
    </row>
    <row r="10" spans="1:20" ht="14.25" customHeight="1" thickBot="1">
      <c r="A10" s="1045" t="s">
        <v>1133</v>
      </c>
      <c r="B10" s="1046" t="s">
        <v>1134</v>
      </c>
      <c r="C10" s="1046">
        <v>27450</v>
      </c>
      <c r="D10" s="1046">
        <v>26180</v>
      </c>
      <c r="E10" s="1046">
        <v>25980</v>
      </c>
      <c r="F10" s="1047">
        <v>8910</v>
      </c>
      <c r="G10" s="1051" t="s">
        <v>890</v>
      </c>
      <c r="H10" s="1052">
        <f>SUMPRODUCT((B110:B157=基准地价!I2)*(C3:F3=基准地价!E2)*(C110:F157))</f>
        <v>0</v>
      </c>
      <c r="J10" s="1039" t="s">
        <v>1135</v>
      </c>
      <c r="K10" s="1039" t="s">
        <v>1136</v>
      </c>
      <c r="L10" s="1039" t="s">
        <v>1137</v>
      </c>
      <c r="M10" s="1039" t="s">
        <v>1138</v>
      </c>
      <c r="N10" s="1039" t="s">
        <v>1139</v>
      </c>
      <c r="O10" s="1039" t="s">
        <v>1140</v>
      </c>
      <c r="P10" s="1039" t="s">
        <v>1141</v>
      </c>
      <c r="Q10" s="1039" t="s">
        <v>1142</v>
      </c>
      <c r="R10" s="1039" t="s">
        <v>1143</v>
      </c>
      <c r="S10" s="1039" t="s">
        <v>1144</v>
      </c>
    </row>
    <row r="11" spans="1:20" ht="14.25" customHeight="1" thickBot="1">
      <c r="A11" s="1045" t="s">
        <v>1133</v>
      </c>
      <c r="B11" s="1053" t="s">
        <v>1049</v>
      </c>
      <c r="C11" s="1039">
        <v>22950</v>
      </c>
      <c r="D11" s="1039">
        <v>22630</v>
      </c>
      <c r="E11" s="1039">
        <v>22030</v>
      </c>
      <c r="F11" s="1057">
        <v>8330</v>
      </c>
      <c r="G11" s="1051" t="s">
        <v>891</v>
      </c>
      <c r="H11" s="1052">
        <f>SUMPRODUCT((B158:B205=基准地价!I2)*(C3:F3=基准地价!E2)*(C158:F205))</f>
        <v>0</v>
      </c>
      <c r="J11" s="1039" t="s">
        <v>1145</v>
      </c>
      <c r="K11" s="1039" t="s">
        <v>1146</v>
      </c>
      <c r="L11" s="1039" t="s">
        <v>1147</v>
      </c>
      <c r="M11" s="1039" t="s">
        <v>1148</v>
      </c>
      <c r="N11" s="1039" t="s">
        <v>1149</v>
      </c>
      <c r="O11" s="1039" t="s">
        <v>1150</v>
      </c>
      <c r="P11" s="1039" t="s">
        <v>1151</v>
      </c>
      <c r="Q11" s="1039" t="s">
        <v>1152</v>
      </c>
      <c r="R11" s="1039" t="s">
        <v>1153</v>
      </c>
      <c r="S11" s="1039" t="s">
        <v>1154</v>
      </c>
    </row>
    <row r="12" spans="1:20" ht="14.25" customHeight="1" thickBot="1">
      <c r="A12" s="1045" t="s">
        <v>1133</v>
      </c>
      <c r="B12" s="1053" t="s">
        <v>1063</v>
      </c>
      <c r="C12" s="1039">
        <v>24940</v>
      </c>
      <c r="D12" s="1039">
        <v>23180</v>
      </c>
      <c r="E12" s="1039">
        <v>22910</v>
      </c>
      <c r="F12" s="1057">
        <v>7180</v>
      </c>
      <c r="G12" s="1051" t="s">
        <v>892</v>
      </c>
      <c r="H12" s="1052">
        <f>SUMPRODUCT((B206:B244=基准地价!I2)*(C3:F3=基准地价!E2)*(C206:F244))</f>
        <v>0</v>
      </c>
      <c r="J12" s="1039" t="s">
        <v>1155</v>
      </c>
      <c r="K12" s="1039" t="s">
        <v>1156</v>
      </c>
      <c r="L12" s="1039" t="s">
        <v>1157</v>
      </c>
      <c r="M12" s="1039" t="s">
        <v>1158</v>
      </c>
      <c r="N12" s="1039" t="s">
        <v>1159</v>
      </c>
      <c r="O12" s="1039" t="s">
        <v>1160</v>
      </c>
      <c r="P12" s="1039" t="s">
        <v>1161</v>
      </c>
      <c r="Q12" s="1039" t="s">
        <v>1162</v>
      </c>
      <c r="R12" s="1039" t="s">
        <v>1163</v>
      </c>
      <c r="S12" s="1039" t="s">
        <v>1164</v>
      </c>
    </row>
    <row r="13" spans="1:20" ht="14.25" customHeight="1" thickBot="1">
      <c r="A13" s="1045" t="s">
        <v>1133</v>
      </c>
      <c r="B13" s="1053" t="s">
        <v>1076</v>
      </c>
      <c r="C13" s="1039">
        <v>24140</v>
      </c>
      <c r="D13" s="1039">
        <v>22270</v>
      </c>
      <c r="E13" s="1039">
        <v>21950</v>
      </c>
      <c r="F13" s="1057">
        <v>7600</v>
      </c>
      <c r="G13" s="1051" t="s">
        <v>893</v>
      </c>
      <c r="H13" s="1052">
        <f>SUMPRODUCT((B245:B289=基准地价!I2)*(C3:F3=基准地价!E2)*(C245:F289))</f>
        <v>0</v>
      </c>
      <c r="J13" s="1039" t="s">
        <v>1165</v>
      </c>
      <c r="K13" s="1039" t="s">
        <v>1166</v>
      </c>
      <c r="L13" s="1039" t="s">
        <v>1167</v>
      </c>
      <c r="M13" s="1039" t="s">
        <v>1168</v>
      </c>
      <c r="N13" s="1039" t="s">
        <v>1169</v>
      </c>
      <c r="O13" s="1039" t="s">
        <v>1170</v>
      </c>
      <c r="P13" s="1039" t="s">
        <v>1171</v>
      </c>
      <c r="Q13" s="1039" t="s">
        <v>1172</v>
      </c>
      <c r="R13" s="1039" t="s">
        <v>1173</v>
      </c>
      <c r="S13" s="1039" t="s">
        <v>1174</v>
      </c>
    </row>
    <row r="14" spans="1:20" ht="14.25" customHeight="1" thickBot="1">
      <c r="A14" s="1045" t="s">
        <v>1133</v>
      </c>
      <c r="B14" s="1053" t="s">
        <v>1090</v>
      </c>
      <c r="C14" s="1039">
        <v>25600</v>
      </c>
      <c r="D14" s="1039">
        <v>22260</v>
      </c>
      <c r="E14" s="1039">
        <v>22110</v>
      </c>
      <c r="F14" s="1057">
        <v>7630</v>
      </c>
      <c r="G14" s="1051" t="s">
        <v>894</v>
      </c>
      <c r="H14" s="1052">
        <f>SUMPRODUCT((B290:B316=基准地价!I2)*(C3:F3=基准地价!E2)*(C290:F316))</f>
        <v>0</v>
      </c>
      <c r="J14" s="1039" t="s">
        <v>1175</v>
      </c>
      <c r="K14" s="1039" t="s">
        <v>1176</v>
      </c>
      <c r="L14" s="1039" t="s">
        <v>1177</v>
      </c>
      <c r="M14" s="1039" t="s">
        <v>1178</v>
      </c>
      <c r="N14" s="1039" t="s">
        <v>1179</v>
      </c>
      <c r="O14" s="1039" t="s">
        <v>1180</v>
      </c>
      <c r="P14" s="1039" t="s">
        <v>1181</v>
      </c>
      <c r="Q14" s="1039" t="s">
        <v>1182</v>
      </c>
      <c r="R14" s="1039" t="s">
        <v>1183</v>
      </c>
      <c r="S14" s="1039" t="s">
        <v>1184</v>
      </c>
    </row>
    <row r="15" spans="1:20" ht="14.25" customHeight="1" thickBot="1">
      <c r="A15" s="1045" t="s">
        <v>1133</v>
      </c>
      <c r="B15" s="1053" t="s">
        <v>1101</v>
      </c>
      <c r="C15" s="1039">
        <v>24760</v>
      </c>
      <c r="D15" s="1039">
        <v>24440</v>
      </c>
      <c r="E15" s="1039">
        <v>24130</v>
      </c>
      <c r="F15" s="1057">
        <v>9480</v>
      </c>
      <c r="G15" s="1051" t="s">
        <v>895</v>
      </c>
      <c r="H15" s="1052">
        <f>SUMPRODUCT((B317:B337=基准地价!I2)*(C3:F3=基准地价!E2)*(C317:F337))</f>
        <v>0</v>
      </c>
      <c r="J15" s="1039" t="s">
        <v>1185</v>
      </c>
      <c r="K15" s="1039" t="s">
        <v>1186</v>
      </c>
      <c r="L15" s="1039" t="s">
        <v>1187</v>
      </c>
      <c r="M15" s="1039" t="s">
        <v>1188</v>
      </c>
      <c r="N15" s="1039" t="s">
        <v>1189</v>
      </c>
      <c r="O15" s="1039" t="s">
        <v>1190</v>
      </c>
      <c r="P15" s="1039" t="s">
        <v>1191</v>
      </c>
      <c r="Q15" s="1039" t="s">
        <v>1192</v>
      </c>
      <c r="R15" s="1039" t="s">
        <v>1193</v>
      </c>
      <c r="S15" s="1039" t="s">
        <v>1194</v>
      </c>
    </row>
    <row r="16" spans="1:20" ht="14.25" customHeight="1" thickBot="1">
      <c r="A16" s="1045" t="s">
        <v>1133</v>
      </c>
      <c r="B16" s="1053" t="s">
        <v>1112</v>
      </c>
      <c r="C16" s="1039">
        <v>22220</v>
      </c>
      <c r="D16" s="1039">
        <v>22310</v>
      </c>
      <c r="E16" s="1039">
        <v>22000</v>
      </c>
      <c r="F16" s="1057">
        <v>8900</v>
      </c>
      <c r="G16" s="1058" t="s">
        <v>896</v>
      </c>
      <c r="H16" s="1059">
        <f>SUMPRODUCT((B338:B344=基准地价!I2)*(C3:F3=基准地价!E2)*(C338:F344))</f>
        <v>0</v>
      </c>
      <c r="J16" s="1039" t="s">
        <v>1195</v>
      </c>
      <c r="K16" s="1039" t="s">
        <v>1196</v>
      </c>
      <c r="L16" s="1039" t="s">
        <v>1197</v>
      </c>
      <c r="M16" s="1039" t="s">
        <v>1198</v>
      </c>
      <c r="N16" s="1039" t="s">
        <v>1199</v>
      </c>
      <c r="O16" s="1039" t="s">
        <v>1200</v>
      </c>
      <c r="P16" s="1039" t="s">
        <v>1201</v>
      </c>
      <c r="Q16" s="1039" t="s">
        <v>1202</v>
      </c>
      <c r="R16" s="1039" t="s">
        <v>1203</v>
      </c>
      <c r="S16" s="1039" t="s">
        <v>1204</v>
      </c>
    </row>
    <row r="17" spans="1:19" ht="14.25" customHeight="1" thickBot="1">
      <c r="A17" s="1045" t="s">
        <v>1133</v>
      </c>
      <c r="B17" s="1053" t="s">
        <v>1123</v>
      </c>
      <c r="C17" s="1039">
        <v>24700</v>
      </c>
      <c r="D17" s="1039">
        <v>25150</v>
      </c>
      <c r="E17" s="1039">
        <v>24700</v>
      </c>
      <c r="F17" s="1060"/>
      <c r="H17" s="1061"/>
      <c r="J17" s="1039" t="s">
        <v>1205</v>
      </c>
      <c r="K17" s="1039" t="s">
        <v>1206</v>
      </c>
      <c r="L17" s="1039" t="s">
        <v>1207</v>
      </c>
      <c r="M17" s="1039" t="s">
        <v>1208</v>
      </c>
      <c r="N17" s="1039" t="s">
        <v>1209</v>
      </c>
      <c r="O17" s="1039" t="s">
        <v>1210</v>
      </c>
      <c r="P17" s="1039" t="s">
        <v>1211</v>
      </c>
      <c r="Q17" s="1039" t="s">
        <v>1212</v>
      </c>
      <c r="R17" s="1039" t="s">
        <v>1213</v>
      </c>
      <c r="S17" s="1039" t="s">
        <v>1214</v>
      </c>
    </row>
    <row r="18" spans="1:19" ht="14.25" customHeight="1" thickBot="1">
      <c r="A18" s="1045" t="s">
        <v>1133</v>
      </c>
      <c r="B18" s="1053" t="s">
        <v>1135</v>
      </c>
      <c r="C18" s="1039">
        <v>22350</v>
      </c>
      <c r="D18" s="1039">
        <v>24340</v>
      </c>
      <c r="E18" s="1039">
        <v>24100</v>
      </c>
      <c r="F18" s="1060"/>
      <c r="H18" s="1061"/>
      <c r="J18" s="1039" t="s">
        <v>1215</v>
      </c>
      <c r="K18" s="1039" t="s">
        <v>1216</v>
      </c>
      <c r="L18" s="1039" t="s">
        <v>1217</v>
      </c>
      <c r="M18" s="1039" t="s">
        <v>1218</v>
      </c>
      <c r="N18" s="1039" t="s">
        <v>1219</v>
      </c>
      <c r="O18" s="1039" t="s">
        <v>1220</v>
      </c>
      <c r="P18" s="1039" t="s">
        <v>1221</v>
      </c>
      <c r="Q18" s="1039" t="s">
        <v>1222</v>
      </c>
      <c r="R18" s="1039" t="s">
        <v>1223</v>
      </c>
      <c r="S18" s="1039" t="s">
        <v>1224</v>
      </c>
    </row>
    <row r="19" spans="1:19" ht="14.25" customHeight="1" thickBot="1">
      <c r="A19" s="1045" t="s">
        <v>1133</v>
      </c>
      <c r="B19" s="1053" t="s">
        <v>1145</v>
      </c>
      <c r="C19" s="1039">
        <v>23430</v>
      </c>
      <c r="D19" s="1039">
        <v>21580</v>
      </c>
      <c r="E19" s="1039">
        <v>21350</v>
      </c>
      <c r="F19" s="1060"/>
      <c r="H19" s="1061"/>
      <c r="J19" s="1039" t="s">
        <v>1225</v>
      </c>
      <c r="K19" s="1039" t="s">
        <v>1226</v>
      </c>
      <c r="L19" s="1039" t="s">
        <v>1227</v>
      </c>
      <c r="M19" s="1039" t="s">
        <v>1228</v>
      </c>
      <c r="N19" s="1039" t="s">
        <v>1229</v>
      </c>
      <c r="O19" s="1039" t="s">
        <v>1230</v>
      </c>
      <c r="P19" s="1039" t="s">
        <v>1231</v>
      </c>
      <c r="Q19" s="1039" t="s">
        <v>1232</v>
      </c>
      <c r="R19" s="1039" t="s">
        <v>1233</v>
      </c>
      <c r="S19" s="1039" t="s">
        <v>1234</v>
      </c>
    </row>
    <row r="20" spans="1:19" ht="14.25" customHeight="1" thickBot="1">
      <c r="A20" s="1045" t="s">
        <v>1133</v>
      </c>
      <c r="B20" s="1053" t="s">
        <v>1155</v>
      </c>
      <c r="C20" s="1039">
        <v>27660</v>
      </c>
      <c r="D20" s="1039">
        <v>24240</v>
      </c>
      <c r="E20" s="1039">
        <v>24020</v>
      </c>
      <c r="F20" s="1060"/>
      <c r="J20" s="1039" t="s">
        <v>1235</v>
      </c>
      <c r="K20" s="1039" t="s">
        <v>1236</v>
      </c>
      <c r="L20" s="1039" t="s">
        <v>1237</v>
      </c>
      <c r="M20" s="1039" t="s">
        <v>1238</v>
      </c>
      <c r="N20" s="1039" t="s">
        <v>1239</v>
      </c>
      <c r="O20" s="1039" t="s">
        <v>1240</v>
      </c>
      <c r="P20" s="1039" t="s">
        <v>1241</v>
      </c>
      <c r="Q20" s="1039" t="s">
        <v>1242</v>
      </c>
      <c r="R20" s="1039" t="s">
        <v>1243</v>
      </c>
      <c r="S20" s="1039" t="s">
        <v>1244</v>
      </c>
    </row>
    <row r="21" spans="1:19" ht="14.25" customHeight="1" thickBot="1">
      <c r="A21" s="1045" t="s">
        <v>1133</v>
      </c>
      <c r="B21" s="1053" t="s">
        <v>1165</v>
      </c>
      <c r="C21" s="1039">
        <v>24720</v>
      </c>
      <c r="D21" s="1039">
        <v>21670</v>
      </c>
      <c r="E21" s="1039">
        <v>21510</v>
      </c>
      <c r="F21" s="1060"/>
      <c r="K21" s="1039" t="s">
        <v>1245</v>
      </c>
      <c r="L21" s="1039" t="s">
        <v>1246</v>
      </c>
      <c r="M21" s="1039" t="s">
        <v>1247</v>
      </c>
      <c r="N21" s="1039" t="s">
        <v>1248</v>
      </c>
      <c r="O21" s="1039" t="s">
        <v>1249</v>
      </c>
      <c r="P21" s="1039" t="s">
        <v>1250</v>
      </c>
      <c r="Q21" s="1039" t="s">
        <v>1251</v>
      </c>
      <c r="R21" s="1039" t="s">
        <v>1252</v>
      </c>
      <c r="S21" s="1039" t="s">
        <v>1253</v>
      </c>
    </row>
    <row r="22" spans="1:19" ht="14.25" customHeight="1" thickBot="1">
      <c r="A22" s="1045" t="s">
        <v>1133</v>
      </c>
      <c r="B22" s="1053" t="s">
        <v>1254</v>
      </c>
      <c r="C22" s="1039">
        <v>26530</v>
      </c>
      <c r="D22" s="1039">
        <v>22980</v>
      </c>
      <c r="E22" s="1039">
        <v>22650</v>
      </c>
      <c r="F22" s="1060"/>
      <c r="L22" s="1039" t="s">
        <v>1255</v>
      </c>
      <c r="M22" s="1039" t="s">
        <v>1256</v>
      </c>
      <c r="N22" s="1039" t="s">
        <v>1257</v>
      </c>
      <c r="O22" s="1039" t="s">
        <v>1258</v>
      </c>
      <c r="P22" s="1039" t="s">
        <v>1259</v>
      </c>
      <c r="Q22" s="1039" t="s">
        <v>1260</v>
      </c>
      <c r="R22" s="1039" t="s">
        <v>1261</v>
      </c>
      <c r="S22" s="1053" t="s">
        <v>1262</v>
      </c>
    </row>
    <row r="23" spans="1:19" ht="14.25" customHeight="1" thickBot="1">
      <c r="A23" s="1045" t="s">
        <v>1133</v>
      </c>
      <c r="B23" s="1053" t="s">
        <v>1185</v>
      </c>
      <c r="C23" s="1039">
        <v>24700</v>
      </c>
      <c r="D23" s="1039">
        <v>27290</v>
      </c>
      <c r="E23" s="1039">
        <v>26710</v>
      </c>
      <c r="F23" s="1060"/>
      <c r="L23" s="1039" t="s">
        <v>1263</v>
      </c>
      <c r="M23" s="1039" t="s">
        <v>1264</v>
      </c>
      <c r="N23" s="1039" t="s">
        <v>1265</v>
      </c>
      <c r="O23" s="1039" t="s">
        <v>1266</v>
      </c>
      <c r="P23" s="1039" t="s">
        <v>1267</v>
      </c>
      <c r="Q23" s="1039" t="s">
        <v>1268</v>
      </c>
      <c r="R23" s="1039" t="s">
        <v>1269</v>
      </c>
    </row>
    <row r="24" spans="1:19" ht="14.25" customHeight="1" thickBot="1">
      <c r="A24" s="1045" t="s">
        <v>1133</v>
      </c>
      <c r="B24" s="1053" t="s">
        <v>1195</v>
      </c>
      <c r="C24" s="1039">
        <v>23070</v>
      </c>
      <c r="D24" s="1039">
        <v>24130</v>
      </c>
      <c r="E24" s="1039">
        <v>23860</v>
      </c>
      <c r="F24" s="1060"/>
      <c r="L24" s="1039" t="s">
        <v>1270</v>
      </c>
      <c r="M24" s="1039" t="s">
        <v>1271</v>
      </c>
      <c r="N24" s="1039" t="s">
        <v>1272</v>
      </c>
      <c r="O24" s="1039" t="s">
        <v>1273</v>
      </c>
      <c r="P24" s="1039" t="s">
        <v>1274</v>
      </c>
      <c r="Q24" s="1039" t="s">
        <v>1275</v>
      </c>
      <c r="R24" s="1039" t="s">
        <v>1276</v>
      </c>
    </row>
    <row r="25" spans="1:19" ht="14.25" customHeight="1" thickBot="1">
      <c r="A25" s="1045" t="s">
        <v>1133</v>
      </c>
      <c r="B25" s="1053" t="s">
        <v>1205</v>
      </c>
      <c r="C25" s="1039">
        <v>27550</v>
      </c>
      <c r="D25" s="1039">
        <v>25850</v>
      </c>
      <c r="E25" s="1039">
        <v>25340</v>
      </c>
      <c r="F25" s="1060"/>
      <c r="L25" s="1039" t="s">
        <v>1277</v>
      </c>
      <c r="M25" s="1039" t="s">
        <v>1278</v>
      </c>
      <c r="N25" s="1039" t="s">
        <v>1279</v>
      </c>
      <c r="O25" s="1039" t="s">
        <v>1280</v>
      </c>
      <c r="P25" s="1039" t="s">
        <v>1281</v>
      </c>
      <c r="Q25" s="1039" t="s">
        <v>1282</v>
      </c>
      <c r="R25" s="1039" t="s">
        <v>1283</v>
      </c>
    </row>
    <row r="26" spans="1:19" ht="14.25" customHeight="1" thickBot="1">
      <c r="A26" s="1045" t="s">
        <v>1133</v>
      </c>
      <c r="B26" s="1053" t="s">
        <v>1215</v>
      </c>
      <c r="C26" s="1039"/>
      <c r="D26" s="1039">
        <v>23900</v>
      </c>
      <c r="E26" s="1039">
        <v>23590</v>
      </c>
      <c r="F26" s="1060"/>
      <c r="L26" s="1039" t="s">
        <v>1284</v>
      </c>
      <c r="M26" s="1039" t="s">
        <v>1285</v>
      </c>
      <c r="N26" s="1039" t="s">
        <v>1286</v>
      </c>
      <c r="O26" s="1039" t="s">
        <v>1287</v>
      </c>
      <c r="P26" s="1039" t="s">
        <v>1288</v>
      </c>
      <c r="Q26" s="1039" t="s">
        <v>1289</v>
      </c>
      <c r="R26" s="1039" t="s">
        <v>1290</v>
      </c>
    </row>
    <row r="27" spans="1:19" ht="14.25" customHeight="1" thickBot="1">
      <c r="A27" s="1045" t="s">
        <v>1133</v>
      </c>
      <c r="B27" s="1053" t="s">
        <v>1225</v>
      </c>
      <c r="C27" s="1039"/>
      <c r="D27" s="1039">
        <v>22850</v>
      </c>
      <c r="E27" s="1039">
        <v>21920</v>
      </c>
      <c r="F27" s="1060"/>
      <c r="L27" s="1039" t="s">
        <v>1291</v>
      </c>
      <c r="M27" s="1039" t="s">
        <v>1292</v>
      </c>
      <c r="N27" s="1039" t="s">
        <v>1293</v>
      </c>
      <c r="O27" s="1039" t="s">
        <v>1294</v>
      </c>
      <c r="P27" s="1039" t="s">
        <v>1295</v>
      </c>
      <c r="Q27" s="1039" t="s">
        <v>1296</v>
      </c>
      <c r="R27" s="1039" t="s">
        <v>1297</v>
      </c>
    </row>
    <row r="28" spans="1:19" ht="14.25" customHeight="1" thickBot="1">
      <c r="A28" s="1062" t="s">
        <v>1133</v>
      </c>
      <c r="B28" s="1054" t="s">
        <v>1235</v>
      </c>
      <c r="C28" s="1055"/>
      <c r="D28" s="1055">
        <v>26610</v>
      </c>
      <c r="E28" s="1055">
        <v>26370</v>
      </c>
      <c r="F28" s="1056"/>
      <c r="L28" s="1039" t="s">
        <v>1298</v>
      </c>
      <c r="M28" s="1039" t="s">
        <v>1299</v>
      </c>
      <c r="N28" s="1039" t="s">
        <v>1300</v>
      </c>
      <c r="O28" s="1039" t="s">
        <v>1301</v>
      </c>
      <c r="P28" s="1039" t="s">
        <v>1302</v>
      </c>
      <c r="Q28" s="1039" t="s">
        <v>1303</v>
      </c>
    </row>
    <row r="29" spans="1:19" ht="14.25" customHeight="1" thickBot="1">
      <c r="A29" s="1045" t="s">
        <v>1304</v>
      </c>
      <c r="B29" s="1046" t="s">
        <v>1305</v>
      </c>
      <c r="C29" s="1046">
        <v>22090</v>
      </c>
      <c r="D29" s="1046">
        <v>21860</v>
      </c>
      <c r="E29" s="1046">
        <v>19380</v>
      </c>
      <c r="F29" s="1047">
        <v>6610</v>
      </c>
      <c r="M29" s="1039" t="s">
        <v>1306</v>
      </c>
      <c r="N29" s="1039" t="s">
        <v>1307</v>
      </c>
      <c r="O29" s="1039" t="s">
        <v>1308</v>
      </c>
      <c r="P29" s="1039" t="s">
        <v>1309</v>
      </c>
      <c r="Q29" s="1039" t="s">
        <v>1310</v>
      </c>
    </row>
    <row r="30" spans="1:19" ht="14.25" customHeight="1" thickBot="1">
      <c r="A30" s="1045" t="s">
        <v>1304</v>
      </c>
      <c r="B30" s="1053" t="s">
        <v>1050</v>
      </c>
      <c r="C30" s="1039">
        <v>21380</v>
      </c>
      <c r="D30" s="1039">
        <v>19930</v>
      </c>
      <c r="E30" s="1039">
        <v>19860</v>
      </c>
      <c r="F30" s="1057">
        <v>6010</v>
      </c>
      <c r="H30" s="1061"/>
      <c r="M30" s="1039" t="s">
        <v>1311</v>
      </c>
      <c r="N30" s="1039" t="s">
        <v>1312</v>
      </c>
      <c r="O30" s="1039" t="s">
        <v>1313</v>
      </c>
      <c r="P30" s="1039" t="s">
        <v>2208</v>
      </c>
      <c r="Q30" s="1039" t="s">
        <v>1314</v>
      </c>
    </row>
    <row r="31" spans="1:19" ht="14.25" customHeight="1" thickBot="1">
      <c r="A31" s="1045" t="s">
        <v>1304</v>
      </c>
      <c r="B31" s="1053" t="s">
        <v>1064</v>
      </c>
      <c r="C31" s="1039">
        <v>21670</v>
      </c>
      <c r="D31" s="1039">
        <v>20660</v>
      </c>
      <c r="E31" s="1039">
        <v>20290</v>
      </c>
      <c r="F31" s="1057">
        <v>5840</v>
      </c>
      <c r="H31" s="1061"/>
      <c r="M31" s="1039" t="s">
        <v>1315</v>
      </c>
      <c r="N31" s="1039" t="s">
        <v>1316</v>
      </c>
      <c r="O31" s="1039" t="s">
        <v>1317</v>
      </c>
      <c r="P31" s="1039" t="s">
        <v>1318</v>
      </c>
      <c r="Q31" s="1039" t="s">
        <v>1319</v>
      </c>
    </row>
    <row r="32" spans="1:19" ht="14.25" customHeight="1" thickBot="1">
      <c r="A32" s="1045" t="s">
        <v>1304</v>
      </c>
      <c r="B32" s="1053" t="s">
        <v>1077</v>
      </c>
      <c r="C32" s="1039">
        <v>22280</v>
      </c>
      <c r="D32" s="1039">
        <v>21800</v>
      </c>
      <c r="E32" s="1039">
        <v>17650</v>
      </c>
      <c r="F32" s="1057">
        <v>4690</v>
      </c>
      <c r="H32" s="1061"/>
      <c r="M32" s="1039" t="s">
        <v>1320</v>
      </c>
      <c r="N32" s="1039" t="s">
        <v>1321</v>
      </c>
      <c r="O32" s="1039" t="s">
        <v>1322</v>
      </c>
      <c r="P32" s="1039" t="s">
        <v>1323</v>
      </c>
      <c r="Q32" s="1039" t="s">
        <v>1324</v>
      </c>
    </row>
    <row r="33" spans="1:17" ht="14.25" customHeight="1" thickBot="1">
      <c r="A33" s="1045" t="s">
        <v>1304</v>
      </c>
      <c r="B33" s="1053" t="s">
        <v>1091</v>
      </c>
      <c r="C33" s="1039">
        <v>22130</v>
      </c>
      <c r="D33" s="1039">
        <v>20460</v>
      </c>
      <c r="E33" s="1039">
        <v>18500</v>
      </c>
      <c r="F33" s="1057">
        <v>5340</v>
      </c>
      <c r="H33" s="1061"/>
      <c r="M33" s="1039" t="s">
        <v>1325</v>
      </c>
      <c r="N33" s="1039" t="s">
        <v>1326</v>
      </c>
      <c r="O33" s="1039" t="s">
        <v>1327</v>
      </c>
      <c r="P33" s="1039" t="s">
        <v>1328</v>
      </c>
      <c r="Q33" s="1039" t="s">
        <v>1329</v>
      </c>
    </row>
    <row r="34" spans="1:17" ht="14.25" customHeight="1" thickBot="1">
      <c r="A34" s="1045" t="s">
        <v>1304</v>
      </c>
      <c r="B34" s="1053" t="s">
        <v>1102</v>
      </c>
      <c r="C34" s="1039">
        <v>22070</v>
      </c>
      <c r="D34" s="1039">
        <v>20110</v>
      </c>
      <c r="E34" s="1039">
        <v>18830</v>
      </c>
      <c r="F34" s="1057">
        <v>5190</v>
      </c>
      <c r="H34" s="1061"/>
      <c r="M34" s="1039" t="s">
        <v>1330</v>
      </c>
      <c r="N34" s="1039" t="s">
        <v>1331</v>
      </c>
      <c r="O34" s="1039" t="s">
        <v>1332</v>
      </c>
      <c r="P34" s="1039" t="s">
        <v>1333</v>
      </c>
      <c r="Q34" s="1039" t="s">
        <v>1334</v>
      </c>
    </row>
    <row r="35" spans="1:17" ht="14.25" customHeight="1" thickBot="1">
      <c r="A35" s="1045" t="s">
        <v>1304</v>
      </c>
      <c r="B35" s="1053" t="s">
        <v>1113</v>
      </c>
      <c r="C35" s="1039">
        <v>22240</v>
      </c>
      <c r="D35" s="1039">
        <v>19550</v>
      </c>
      <c r="E35" s="1039">
        <v>19220</v>
      </c>
      <c r="F35" s="1057">
        <v>5800</v>
      </c>
      <c r="H35" s="1061"/>
      <c r="M35" s="1039" t="s">
        <v>1335</v>
      </c>
      <c r="N35" s="1039" t="s">
        <v>1336</v>
      </c>
      <c r="O35" s="1039" t="s">
        <v>1337</v>
      </c>
      <c r="P35" s="1039" t="s">
        <v>1338</v>
      </c>
      <c r="Q35" s="1039" t="s">
        <v>1339</v>
      </c>
    </row>
    <row r="36" spans="1:17" ht="14.25" customHeight="1" thickBot="1">
      <c r="A36" s="1045" t="s">
        <v>1304</v>
      </c>
      <c r="B36" s="1053" t="s">
        <v>1124</v>
      </c>
      <c r="C36" s="1039">
        <v>19750</v>
      </c>
      <c r="D36" s="1039">
        <v>19790</v>
      </c>
      <c r="E36" s="1039">
        <v>18510</v>
      </c>
      <c r="F36" s="1057">
        <v>6520</v>
      </c>
      <c r="H36" s="1061"/>
      <c r="N36" s="1039" t="s">
        <v>1340</v>
      </c>
      <c r="O36" s="1039" t="s">
        <v>1341</v>
      </c>
      <c r="P36" s="1039" t="s">
        <v>1342</v>
      </c>
      <c r="Q36" s="1039" t="s">
        <v>1343</v>
      </c>
    </row>
    <row r="37" spans="1:17" ht="14.25" customHeight="1" thickBot="1">
      <c r="A37" s="1045" t="s">
        <v>1304</v>
      </c>
      <c r="B37" s="1053" t="s">
        <v>1136</v>
      </c>
      <c r="C37" s="1039">
        <v>22380</v>
      </c>
      <c r="D37" s="1039">
        <v>18530</v>
      </c>
      <c r="E37" s="1039">
        <v>17930</v>
      </c>
      <c r="F37" s="1057">
        <v>6270</v>
      </c>
      <c r="H37" s="1063"/>
      <c r="N37" s="1039" t="s">
        <v>1344</v>
      </c>
      <c r="O37" s="1039" t="s">
        <v>1345</v>
      </c>
      <c r="P37" s="1039" t="s">
        <v>1346</v>
      </c>
      <c r="Q37" s="1039" t="s">
        <v>1347</v>
      </c>
    </row>
    <row r="38" spans="1:17" ht="14.25" customHeight="1" thickBot="1">
      <c r="A38" s="1045" t="s">
        <v>1304</v>
      </c>
      <c r="B38" s="1053" t="s">
        <v>1146</v>
      </c>
      <c r="C38" s="1039">
        <v>20200</v>
      </c>
      <c r="D38" s="1039">
        <v>20070</v>
      </c>
      <c r="E38" s="1039">
        <v>19950</v>
      </c>
      <c r="F38" s="1057"/>
      <c r="H38" s="1064"/>
      <c r="N38" s="1039" t="s">
        <v>1348</v>
      </c>
      <c r="O38" s="1039" t="s">
        <v>1349</v>
      </c>
      <c r="P38" s="1039" t="s">
        <v>1350</v>
      </c>
      <c r="Q38" s="1039" t="s">
        <v>1351</v>
      </c>
    </row>
    <row r="39" spans="1:17" ht="14.25" customHeight="1" thickBot="1">
      <c r="A39" s="1045" t="s">
        <v>1304</v>
      </c>
      <c r="B39" s="1053" t="s">
        <v>1156</v>
      </c>
      <c r="C39" s="1039">
        <v>19300</v>
      </c>
      <c r="D39" s="1039">
        <v>20360</v>
      </c>
      <c r="E39" s="1039">
        <v>20230</v>
      </c>
      <c r="F39" s="1057"/>
      <c r="H39" s="1064"/>
      <c r="N39" s="1039" t="s">
        <v>1352</v>
      </c>
      <c r="O39" s="1039" t="s">
        <v>1353</v>
      </c>
      <c r="P39" s="1039" t="s">
        <v>1354</v>
      </c>
      <c r="Q39" s="1039" t="s">
        <v>1355</v>
      </c>
    </row>
    <row r="40" spans="1:17" ht="14.25" customHeight="1" thickBot="1">
      <c r="A40" s="1045" t="s">
        <v>1304</v>
      </c>
      <c r="B40" s="1053" t="s">
        <v>1166</v>
      </c>
      <c r="C40" s="1039">
        <v>20210</v>
      </c>
      <c r="D40" s="1039">
        <v>19060</v>
      </c>
      <c r="E40" s="1039">
        <v>18890</v>
      </c>
      <c r="F40" s="1057"/>
      <c r="H40" s="1064"/>
      <c r="N40" s="1039" t="s">
        <v>1356</v>
      </c>
      <c r="O40" s="1039" t="s">
        <v>1357</v>
      </c>
      <c r="P40" s="1039" t="s">
        <v>1358</v>
      </c>
      <c r="Q40" s="1039" t="s">
        <v>1359</v>
      </c>
    </row>
    <row r="41" spans="1:17" ht="14.25" customHeight="1" thickBot="1">
      <c r="A41" s="1045" t="s">
        <v>1304</v>
      </c>
      <c r="B41" s="1053" t="s">
        <v>1176</v>
      </c>
      <c r="C41" s="1039">
        <v>20560</v>
      </c>
      <c r="D41" s="1039">
        <v>21040</v>
      </c>
      <c r="E41" s="1039">
        <v>20740</v>
      </c>
      <c r="F41" s="1057"/>
      <c r="H41" s="1064"/>
      <c r="N41" s="1053" t="s">
        <v>1360</v>
      </c>
      <c r="O41" s="1053" t="s">
        <v>1361</v>
      </c>
      <c r="Q41" s="1053" t="s">
        <v>1362</v>
      </c>
    </row>
    <row r="42" spans="1:17" ht="14.25" customHeight="1" thickBot="1">
      <c r="A42" s="1045" t="s">
        <v>1304</v>
      </c>
      <c r="B42" s="1053" t="s">
        <v>1186</v>
      </c>
      <c r="C42" s="1039">
        <v>19280</v>
      </c>
      <c r="D42" s="1039">
        <v>22940</v>
      </c>
      <c r="E42" s="1039">
        <v>22500</v>
      </c>
      <c r="F42" s="1057"/>
      <c r="H42" s="1064"/>
      <c r="N42" s="1039" t="s">
        <v>1363</v>
      </c>
      <c r="O42" s="1039" t="s">
        <v>1364</v>
      </c>
      <c r="Q42" s="1039" t="s">
        <v>1365</v>
      </c>
    </row>
    <row r="43" spans="1:17" ht="14.25" customHeight="1" thickBot="1">
      <c r="A43" s="1045" t="s">
        <v>1304</v>
      </c>
      <c r="B43" s="1053" t="s">
        <v>1196</v>
      </c>
      <c r="C43" s="1039">
        <v>21520</v>
      </c>
      <c r="D43" s="1039">
        <v>19230</v>
      </c>
      <c r="E43" s="1039">
        <v>18540</v>
      </c>
      <c r="F43" s="1057"/>
      <c r="H43" s="1064"/>
      <c r="N43" s="1039" t="s">
        <v>1366</v>
      </c>
      <c r="O43" s="1039" t="s">
        <v>1367</v>
      </c>
      <c r="Q43" s="1039" t="s">
        <v>1368</v>
      </c>
    </row>
    <row r="44" spans="1:17" ht="14.25" customHeight="1" thickBot="1">
      <c r="A44" s="1045" t="s">
        <v>1304</v>
      </c>
      <c r="B44" s="1053" t="s">
        <v>1206</v>
      </c>
      <c r="C44" s="1039">
        <v>23260</v>
      </c>
      <c r="D44" s="1039">
        <v>21180</v>
      </c>
      <c r="E44" s="1039">
        <v>20730</v>
      </c>
      <c r="F44" s="1057"/>
      <c r="H44" s="1064"/>
      <c r="N44" s="1039" t="s">
        <v>1369</v>
      </c>
      <c r="O44" s="1039" t="s">
        <v>1370</v>
      </c>
      <c r="Q44" s="1039" t="s">
        <v>1371</v>
      </c>
    </row>
    <row r="45" spans="1:17" ht="14.25" customHeight="1" thickBot="1">
      <c r="A45" s="1045" t="s">
        <v>1304</v>
      </c>
      <c r="B45" s="1053" t="s">
        <v>1216</v>
      </c>
      <c r="C45" s="1039">
        <v>19610</v>
      </c>
      <c r="D45" s="1039">
        <v>18090</v>
      </c>
      <c r="E45" s="1039">
        <v>17970</v>
      </c>
      <c r="F45" s="1057"/>
      <c r="H45" s="1061"/>
      <c r="N45" s="1039" t="s">
        <v>1372</v>
      </c>
      <c r="O45" s="1039" t="s">
        <v>1373</v>
      </c>
      <c r="Q45" s="1039" t="s">
        <v>1374</v>
      </c>
    </row>
    <row r="46" spans="1:17" ht="14.25" customHeight="1" thickBot="1">
      <c r="A46" s="1045" t="s">
        <v>1304</v>
      </c>
      <c r="B46" s="1053" t="s">
        <v>1226</v>
      </c>
      <c r="C46" s="1039">
        <v>21660</v>
      </c>
      <c r="D46" s="1039">
        <v>19190</v>
      </c>
      <c r="E46" s="1039">
        <v>19790</v>
      </c>
      <c r="F46" s="1057"/>
      <c r="H46" s="1064"/>
      <c r="N46" s="1039" t="s">
        <v>1375</v>
      </c>
      <c r="O46" s="1039" t="s">
        <v>1376</v>
      </c>
      <c r="Q46" s="1039" t="s">
        <v>1377</v>
      </c>
    </row>
    <row r="47" spans="1:17" ht="14.25" customHeight="1" thickBot="1">
      <c r="A47" s="1045" t="s">
        <v>1304</v>
      </c>
      <c r="B47" s="1053" t="s">
        <v>1236</v>
      </c>
      <c r="C47" s="1039">
        <v>18220</v>
      </c>
      <c r="D47" s="1039"/>
      <c r="E47" s="1039">
        <v>17220</v>
      </c>
      <c r="F47" s="1057"/>
      <c r="H47" s="1064"/>
      <c r="N47" s="1039" t="s">
        <v>1378</v>
      </c>
      <c r="O47" s="1039" t="s">
        <v>1379</v>
      </c>
    </row>
    <row r="48" spans="1:17" ht="14.25" customHeight="1" thickBot="1">
      <c r="A48" s="1045" t="s">
        <v>1304</v>
      </c>
      <c r="B48" s="1054" t="s">
        <v>1245</v>
      </c>
      <c r="C48" s="1055">
        <v>19430</v>
      </c>
      <c r="D48" s="1055"/>
      <c r="E48" s="1055">
        <v>17830</v>
      </c>
      <c r="F48" s="1065"/>
      <c r="H48" s="1061"/>
      <c r="N48" s="1039" t="s">
        <v>1380</v>
      </c>
      <c r="O48" s="1039" t="s">
        <v>1381</v>
      </c>
    </row>
    <row r="49" spans="1:15" ht="14.25" customHeight="1" thickBot="1">
      <c r="A49" s="1045" t="s">
        <v>903</v>
      </c>
      <c r="B49" s="1046" t="s">
        <v>1382</v>
      </c>
      <c r="C49" s="1046">
        <v>17090</v>
      </c>
      <c r="D49" s="1046">
        <v>16950</v>
      </c>
      <c r="E49" s="1046">
        <v>16310</v>
      </c>
      <c r="F49" s="1047">
        <v>4540</v>
      </c>
      <c r="H49" s="1064"/>
      <c r="N49" s="1039" t="s">
        <v>1383</v>
      </c>
      <c r="O49" s="1039" t="s">
        <v>1384</v>
      </c>
    </row>
    <row r="50" spans="1:15" ht="14.25" customHeight="1" thickBot="1">
      <c r="A50" s="1045" t="s">
        <v>903</v>
      </c>
      <c r="B50" s="1039" t="s">
        <v>1051</v>
      </c>
      <c r="C50" s="1039">
        <v>19040</v>
      </c>
      <c r="D50" s="1039">
        <v>16960</v>
      </c>
      <c r="E50" s="1039">
        <v>14800</v>
      </c>
      <c r="F50" s="1057">
        <v>3940</v>
      </c>
      <c r="H50" s="1064"/>
    </row>
    <row r="51" spans="1:15" ht="14.25" customHeight="1" thickBot="1">
      <c r="A51" s="1045" t="s">
        <v>903</v>
      </c>
      <c r="B51" s="1039" t="s">
        <v>1065</v>
      </c>
      <c r="C51" s="1039">
        <v>17040</v>
      </c>
      <c r="D51" s="1039">
        <v>16930</v>
      </c>
      <c r="E51" s="1039">
        <v>15030</v>
      </c>
      <c r="F51" s="1057">
        <v>4120</v>
      </c>
      <c r="H51" s="1064"/>
    </row>
    <row r="52" spans="1:15" ht="14.25" customHeight="1" thickBot="1">
      <c r="A52" s="1045" t="s">
        <v>903</v>
      </c>
      <c r="B52" s="1039" t="s">
        <v>1078</v>
      </c>
      <c r="C52" s="1039">
        <v>17110</v>
      </c>
      <c r="D52" s="1039">
        <v>17750</v>
      </c>
      <c r="E52" s="1039">
        <v>17310</v>
      </c>
      <c r="F52" s="1057">
        <v>3220</v>
      </c>
      <c r="H52" s="1064"/>
    </row>
    <row r="53" spans="1:15" ht="14.25" customHeight="1" thickBot="1">
      <c r="A53" s="1045" t="s">
        <v>903</v>
      </c>
      <c r="B53" s="1039" t="s">
        <v>1092</v>
      </c>
      <c r="C53" s="1039">
        <v>17810</v>
      </c>
      <c r="D53" s="1039">
        <v>17260</v>
      </c>
      <c r="E53" s="1039">
        <v>17090</v>
      </c>
      <c r="F53" s="1057">
        <v>3520</v>
      </c>
      <c r="H53" s="1064"/>
    </row>
    <row r="54" spans="1:15" ht="14.25" customHeight="1" thickBot="1">
      <c r="A54" s="1045" t="s">
        <v>903</v>
      </c>
      <c r="B54" s="1039" t="s">
        <v>1103</v>
      </c>
      <c r="C54" s="1039">
        <v>17410</v>
      </c>
      <c r="D54" s="1039">
        <v>16780</v>
      </c>
      <c r="E54" s="1039">
        <v>16370</v>
      </c>
      <c r="F54" s="1057">
        <v>3410</v>
      </c>
      <c r="H54" s="1064"/>
    </row>
    <row r="55" spans="1:15" ht="14.25" customHeight="1" thickBot="1">
      <c r="A55" s="1045" t="s">
        <v>903</v>
      </c>
      <c r="B55" s="1039" t="s">
        <v>1114</v>
      </c>
      <c r="C55" s="1039">
        <v>16930</v>
      </c>
      <c r="D55" s="1039">
        <v>14720</v>
      </c>
      <c r="E55" s="1039">
        <v>15000</v>
      </c>
      <c r="F55" s="1057">
        <v>3710</v>
      </c>
      <c r="H55" s="1064"/>
    </row>
    <row r="56" spans="1:15" ht="14.25" customHeight="1" thickBot="1">
      <c r="A56" s="1045" t="s">
        <v>903</v>
      </c>
      <c r="B56" s="1039" t="s">
        <v>1125</v>
      </c>
      <c r="C56" s="1039">
        <v>14930</v>
      </c>
      <c r="D56" s="1039">
        <v>15850</v>
      </c>
      <c r="E56" s="1039">
        <v>14320</v>
      </c>
      <c r="F56" s="1057">
        <v>3960</v>
      </c>
      <c r="H56" s="1064"/>
    </row>
    <row r="57" spans="1:15" ht="14.25" customHeight="1" thickBot="1">
      <c r="A57" s="1045" t="s">
        <v>903</v>
      </c>
      <c r="B57" s="1039" t="s">
        <v>1137</v>
      </c>
      <c r="C57" s="1039">
        <v>16160</v>
      </c>
      <c r="D57" s="1039">
        <v>16190</v>
      </c>
      <c r="E57" s="1039">
        <v>15650</v>
      </c>
      <c r="F57" s="1057">
        <v>4200</v>
      </c>
      <c r="H57" s="1064"/>
    </row>
    <row r="58" spans="1:15" ht="14.25" customHeight="1" thickBot="1">
      <c r="A58" s="1045" t="s">
        <v>903</v>
      </c>
      <c r="B58" s="1039" t="s">
        <v>1147</v>
      </c>
      <c r="C58" s="1039">
        <v>16360</v>
      </c>
      <c r="D58" s="1039">
        <v>14050</v>
      </c>
      <c r="E58" s="1039">
        <v>16070</v>
      </c>
      <c r="F58" s="1057">
        <v>3990</v>
      </c>
      <c r="H58" s="1064"/>
    </row>
    <row r="59" spans="1:15" ht="14.25" customHeight="1" thickBot="1">
      <c r="A59" s="1045" t="s">
        <v>903</v>
      </c>
      <c r="B59" s="1039" t="s">
        <v>1157</v>
      </c>
      <c r="C59" s="1039">
        <v>14160</v>
      </c>
      <c r="D59" s="1039">
        <v>16620</v>
      </c>
      <c r="E59" s="1039">
        <v>13940</v>
      </c>
      <c r="F59" s="1057">
        <v>4260</v>
      </c>
      <c r="H59" s="1064"/>
    </row>
    <row r="60" spans="1:15" ht="14.25" customHeight="1" thickBot="1">
      <c r="A60" s="1045" t="s">
        <v>903</v>
      </c>
      <c r="B60" s="1039" t="s">
        <v>1167</v>
      </c>
      <c r="C60" s="1039">
        <v>16750</v>
      </c>
      <c r="D60" s="1039">
        <v>13910</v>
      </c>
      <c r="E60" s="1039">
        <v>16550</v>
      </c>
      <c r="F60" s="1057">
        <v>4550</v>
      </c>
      <c r="H60" s="1064"/>
    </row>
    <row r="61" spans="1:15" ht="14.25" customHeight="1" thickBot="1">
      <c r="A61" s="1045" t="s">
        <v>903</v>
      </c>
      <c r="B61" s="1039" t="s">
        <v>1177</v>
      </c>
      <c r="C61" s="1039">
        <v>14000</v>
      </c>
      <c r="D61" s="1039">
        <v>14550</v>
      </c>
      <c r="E61" s="1039">
        <v>13860</v>
      </c>
      <c r="F61" s="1066"/>
      <c r="H61" s="1064"/>
    </row>
    <row r="62" spans="1:15" ht="14.25" customHeight="1" thickBot="1">
      <c r="A62" s="1045" t="s">
        <v>903</v>
      </c>
      <c r="B62" s="1039" t="s">
        <v>1187</v>
      </c>
      <c r="C62" s="1039">
        <v>14660</v>
      </c>
      <c r="D62" s="1039">
        <v>17450</v>
      </c>
      <c r="E62" s="1039">
        <v>14470</v>
      </c>
      <c r="F62" s="1066"/>
      <c r="H62" s="1064"/>
    </row>
    <row r="63" spans="1:15" ht="14.25" customHeight="1" thickBot="1">
      <c r="A63" s="1045" t="s">
        <v>903</v>
      </c>
      <c r="B63" s="1039" t="s">
        <v>1197</v>
      </c>
      <c r="C63" s="1039">
        <v>17610</v>
      </c>
      <c r="D63" s="1039">
        <v>16500</v>
      </c>
      <c r="E63" s="1039">
        <v>17330</v>
      </c>
      <c r="F63" s="1066"/>
      <c r="H63" s="1064"/>
    </row>
    <row r="64" spans="1:15" ht="14.25" customHeight="1" thickBot="1">
      <c r="A64" s="1045" t="s">
        <v>903</v>
      </c>
      <c r="B64" s="1039" t="s">
        <v>1207</v>
      </c>
      <c r="C64" s="1039">
        <v>16590</v>
      </c>
      <c r="D64" s="1039">
        <v>15130</v>
      </c>
      <c r="E64" s="1039">
        <v>16420</v>
      </c>
      <c r="F64" s="1066"/>
      <c r="H64" s="1064"/>
    </row>
    <row r="65" spans="1:8" s="1033" customFormat="1" ht="14.25" customHeight="1" thickBot="1">
      <c r="A65" s="1045" t="s">
        <v>903</v>
      </c>
      <c r="B65" s="1039" t="s">
        <v>1217</v>
      </c>
      <c r="C65" s="1039">
        <v>15220</v>
      </c>
      <c r="D65" s="1039">
        <v>14660</v>
      </c>
      <c r="E65" s="1039">
        <v>15060</v>
      </c>
      <c r="F65" s="1057"/>
      <c r="H65" s="1064"/>
    </row>
    <row r="66" spans="1:8" s="1033" customFormat="1" ht="14.25" customHeight="1" thickBot="1">
      <c r="A66" s="1045" t="s">
        <v>903</v>
      </c>
      <c r="B66" s="1039" t="s">
        <v>1227</v>
      </c>
      <c r="C66" s="1039">
        <v>14720</v>
      </c>
      <c r="D66" s="1039">
        <v>15970</v>
      </c>
      <c r="E66" s="1039">
        <v>14610</v>
      </c>
      <c r="F66" s="1057"/>
      <c r="H66" s="1064"/>
    </row>
    <row r="67" spans="1:8" s="1033" customFormat="1" ht="14.25" customHeight="1" thickBot="1">
      <c r="A67" s="1045" t="s">
        <v>903</v>
      </c>
      <c r="B67" s="1039" t="s">
        <v>1237</v>
      </c>
      <c r="C67" s="1039">
        <v>16080</v>
      </c>
      <c r="D67" s="1039">
        <v>14840</v>
      </c>
      <c r="E67" s="1039">
        <v>15630</v>
      </c>
      <c r="F67" s="1057"/>
      <c r="H67" s="1064"/>
    </row>
    <row r="68" spans="1:8" s="1033" customFormat="1" ht="14.25" customHeight="1" thickBot="1">
      <c r="A68" s="1045" t="s">
        <v>903</v>
      </c>
      <c r="B68" s="1039" t="s">
        <v>1246</v>
      </c>
      <c r="C68" s="1039">
        <v>14940</v>
      </c>
      <c r="D68" s="1039">
        <v>18000</v>
      </c>
      <c r="E68" s="1039">
        <v>14040</v>
      </c>
      <c r="F68" s="1057"/>
      <c r="H68" s="1064"/>
    </row>
    <row r="69" spans="1:8" s="1033" customFormat="1" ht="14.25" customHeight="1" thickBot="1">
      <c r="A69" s="1045" t="s">
        <v>903</v>
      </c>
      <c r="B69" s="1039" t="s">
        <v>1255</v>
      </c>
      <c r="C69" s="1039">
        <v>18810</v>
      </c>
      <c r="D69" s="1039">
        <v>15100</v>
      </c>
      <c r="E69" s="1039">
        <v>14710</v>
      </c>
      <c r="F69" s="1057"/>
      <c r="H69" s="1064"/>
    </row>
    <row r="70" spans="1:8" s="1033" customFormat="1" ht="14.25" customHeight="1" thickBot="1">
      <c r="A70" s="1045" t="s">
        <v>903</v>
      </c>
      <c r="B70" s="1039" t="s">
        <v>1263</v>
      </c>
      <c r="C70" s="1039">
        <v>18270</v>
      </c>
      <c r="D70" s="1039"/>
      <c r="E70" s="1039"/>
      <c r="F70" s="1057"/>
      <c r="H70" s="1064"/>
    </row>
    <row r="71" spans="1:8" s="1033" customFormat="1" ht="14.25" customHeight="1" thickBot="1">
      <c r="A71" s="1045" t="s">
        <v>903</v>
      </c>
      <c r="B71" s="1039" t="s">
        <v>1270</v>
      </c>
      <c r="C71" s="1039">
        <v>15230</v>
      </c>
      <c r="D71" s="1039"/>
      <c r="E71" s="1039"/>
      <c r="F71" s="1057"/>
      <c r="H71" s="1064"/>
    </row>
    <row r="72" spans="1:8" s="1033" customFormat="1" ht="14.25" customHeight="1" thickBot="1">
      <c r="A72" s="1045" t="s">
        <v>903</v>
      </c>
      <c r="B72" s="1039" t="s">
        <v>1277</v>
      </c>
      <c r="C72" s="1039"/>
      <c r="D72" s="1039"/>
      <c r="E72" s="1039"/>
      <c r="F72" s="1057">
        <v>4120</v>
      </c>
      <c r="H72" s="1064"/>
    </row>
    <row r="73" spans="1:8" s="1033" customFormat="1" ht="14.25" customHeight="1" thickBot="1">
      <c r="A73" s="1045" t="s">
        <v>903</v>
      </c>
      <c r="B73" s="1039" t="s">
        <v>1284</v>
      </c>
      <c r="C73" s="1039"/>
      <c r="D73" s="1039"/>
      <c r="E73" s="1039"/>
      <c r="F73" s="1057">
        <v>3930</v>
      </c>
      <c r="H73" s="1064"/>
    </row>
    <row r="74" spans="1:8" s="1033" customFormat="1" ht="14.25" customHeight="1" thickBot="1">
      <c r="A74" s="1045" t="s">
        <v>903</v>
      </c>
      <c r="B74" s="1039" t="s">
        <v>1291</v>
      </c>
      <c r="C74" s="1039"/>
      <c r="D74" s="1039"/>
      <c r="E74" s="1039"/>
      <c r="F74" s="1057">
        <v>4060</v>
      </c>
      <c r="H74" s="1064"/>
    </row>
    <row r="75" spans="1:8" s="1033" customFormat="1" ht="14.25" customHeight="1" thickBot="1">
      <c r="A75" s="1045" t="s">
        <v>903</v>
      </c>
      <c r="B75" s="1055" t="s">
        <v>1298</v>
      </c>
      <c r="C75" s="1055"/>
      <c r="D75" s="1055"/>
      <c r="E75" s="1055"/>
      <c r="F75" s="1065">
        <v>3750</v>
      </c>
      <c r="H75" s="1064"/>
    </row>
    <row r="76" spans="1:8" s="1033" customFormat="1" ht="14.25" customHeight="1" thickBot="1">
      <c r="A76" s="1045" t="s">
        <v>1385</v>
      </c>
      <c r="B76" s="1046" t="s">
        <v>1386</v>
      </c>
      <c r="C76" s="1046">
        <v>14690</v>
      </c>
      <c r="D76" s="1046">
        <v>14640</v>
      </c>
      <c r="E76" s="1046">
        <v>14590</v>
      </c>
      <c r="F76" s="1047">
        <v>3060</v>
      </c>
      <c r="H76" s="1064"/>
    </row>
    <row r="77" spans="1:8" s="1033" customFormat="1" ht="14.25" customHeight="1" thickBot="1">
      <c r="A77" s="1045" t="s">
        <v>1385</v>
      </c>
      <c r="B77" s="1039" t="s">
        <v>1052</v>
      </c>
      <c r="C77" s="1039">
        <v>12550</v>
      </c>
      <c r="D77" s="1039">
        <v>12480</v>
      </c>
      <c r="E77" s="1039">
        <v>12450</v>
      </c>
      <c r="F77" s="1057">
        <v>2590</v>
      </c>
      <c r="H77" s="1064"/>
    </row>
    <row r="78" spans="1:8" s="1033" customFormat="1" ht="14.25" customHeight="1" thickBot="1">
      <c r="A78" s="1045" t="s">
        <v>1385</v>
      </c>
      <c r="B78" s="1039" t="s">
        <v>1066</v>
      </c>
      <c r="C78" s="1039">
        <v>14360</v>
      </c>
      <c r="D78" s="1039">
        <v>14320</v>
      </c>
      <c r="E78" s="1039">
        <v>12510</v>
      </c>
      <c r="F78" s="1057">
        <v>2700</v>
      </c>
      <c r="H78" s="1064"/>
    </row>
    <row r="79" spans="1:8" s="1033" customFormat="1" ht="14.25" customHeight="1" thickBot="1">
      <c r="A79" s="1045" t="s">
        <v>1385</v>
      </c>
      <c r="B79" s="1039" t="s">
        <v>1079</v>
      </c>
      <c r="C79" s="1039">
        <v>12590</v>
      </c>
      <c r="D79" s="1039">
        <v>12540</v>
      </c>
      <c r="E79" s="1039">
        <v>12350</v>
      </c>
      <c r="F79" s="1057">
        <v>2740</v>
      </c>
      <c r="H79" s="1064"/>
    </row>
    <row r="80" spans="1:8" s="1033" customFormat="1" ht="14.25" customHeight="1" thickBot="1">
      <c r="A80" s="1045" t="s">
        <v>1385</v>
      </c>
      <c r="B80" s="1039" t="s">
        <v>1093</v>
      </c>
      <c r="C80" s="1039">
        <v>12450</v>
      </c>
      <c r="D80" s="1039">
        <v>12370</v>
      </c>
      <c r="E80" s="1039">
        <v>10790</v>
      </c>
      <c r="F80" s="1057">
        <v>2290</v>
      </c>
      <c r="H80" s="1064"/>
    </row>
    <row r="81" spans="1:8" s="1033" customFormat="1" ht="14.25" customHeight="1" thickBot="1">
      <c r="A81" s="1045" t="s">
        <v>1385</v>
      </c>
      <c r="B81" s="1039" t="s">
        <v>1104</v>
      </c>
      <c r="C81" s="1039">
        <v>14210</v>
      </c>
      <c r="D81" s="1039">
        <v>14150</v>
      </c>
      <c r="E81" s="1039">
        <v>12730</v>
      </c>
      <c r="F81" s="1057">
        <v>2240</v>
      </c>
      <c r="H81" s="1064"/>
    </row>
    <row r="82" spans="1:8" s="1033" customFormat="1" ht="14.25" customHeight="1" thickBot="1">
      <c r="A82" s="1045" t="s">
        <v>1385</v>
      </c>
      <c r="B82" s="1039" t="s">
        <v>1115</v>
      </c>
      <c r="C82" s="1039">
        <v>10860</v>
      </c>
      <c r="D82" s="1039">
        <v>10820</v>
      </c>
      <c r="E82" s="1039">
        <v>14720</v>
      </c>
      <c r="F82" s="1057">
        <v>2490</v>
      </c>
      <c r="H82" s="1064"/>
    </row>
    <row r="83" spans="1:8" s="1033" customFormat="1" ht="14.25" customHeight="1" thickBot="1">
      <c r="A83" s="1045" t="s">
        <v>1385</v>
      </c>
      <c r="B83" s="1039" t="s">
        <v>1126</v>
      </c>
      <c r="C83" s="1039">
        <v>12810</v>
      </c>
      <c r="D83" s="1039">
        <v>12760</v>
      </c>
      <c r="E83" s="1039">
        <v>14830</v>
      </c>
      <c r="F83" s="1057">
        <v>2450</v>
      </c>
      <c r="H83" s="1064"/>
    </row>
    <row r="84" spans="1:8" s="1033" customFormat="1" ht="14.25" customHeight="1" thickBot="1">
      <c r="A84" s="1045" t="s">
        <v>1385</v>
      </c>
      <c r="B84" s="1039" t="s">
        <v>1138</v>
      </c>
      <c r="C84" s="1039">
        <v>14950</v>
      </c>
      <c r="D84" s="1039">
        <v>14810</v>
      </c>
      <c r="E84" s="1039">
        <v>12590</v>
      </c>
      <c r="F84" s="1057">
        <v>2540</v>
      </c>
      <c r="H84" s="1064"/>
    </row>
    <row r="85" spans="1:8" s="1033" customFormat="1" ht="14.25" customHeight="1" thickBot="1">
      <c r="A85" s="1045" t="s">
        <v>1385</v>
      </c>
      <c r="B85" s="1039" t="s">
        <v>1148</v>
      </c>
      <c r="C85" s="1039">
        <v>14960</v>
      </c>
      <c r="D85" s="1039">
        <v>14890</v>
      </c>
      <c r="E85" s="1039">
        <v>12840</v>
      </c>
      <c r="F85" s="1057">
        <v>2840</v>
      </c>
      <c r="H85" s="1064"/>
    </row>
    <row r="86" spans="1:8" s="1033" customFormat="1" ht="14.25" customHeight="1" thickBot="1">
      <c r="A86" s="1045" t="s">
        <v>1385</v>
      </c>
      <c r="B86" s="1039" t="s">
        <v>1158</v>
      </c>
      <c r="C86" s="1039">
        <v>12730</v>
      </c>
      <c r="D86" s="1039">
        <v>12660</v>
      </c>
      <c r="E86" s="1039">
        <v>13310</v>
      </c>
      <c r="F86" s="1057">
        <v>3140</v>
      </c>
      <c r="H86" s="1064"/>
    </row>
    <row r="87" spans="1:8" s="1033" customFormat="1" ht="14.25" customHeight="1" thickBot="1">
      <c r="A87" s="1045" t="s">
        <v>1385</v>
      </c>
      <c r="B87" s="1039" t="s">
        <v>1168</v>
      </c>
      <c r="C87" s="1039">
        <v>12940</v>
      </c>
      <c r="D87" s="1039">
        <v>12890</v>
      </c>
      <c r="E87" s="1039">
        <v>11580</v>
      </c>
      <c r="F87" s="1066"/>
      <c r="H87" s="1064"/>
    </row>
    <row r="88" spans="1:8" s="1033" customFormat="1" ht="14.25" customHeight="1" thickBot="1">
      <c r="A88" s="1045" t="s">
        <v>1385</v>
      </c>
      <c r="B88" s="1039" t="s">
        <v>1178</v>
      </c>
      <c r="C88" s="1039">
        <v>13430</v>
      </c>
      <c r="D88" s="1039">
        <v>13360</v>
      </c>
      <c r="E88" s="1039">
        <v>12790</v>
      </c>
      <c r="F88" s="1066"/>
      <c r="H88" s="1064"/>
    </row>
    <row r="89" spans="1:8" s="1033" customFormat="1" ht="14.25" customHeight="1" thickBot="1">
      <c r="A89" s="1045" t="s">
        <v>1385</v>
      </c>
      <c r="B89" s="1039" t="s">
        <v>1188</v>
      </c>
      <c r="C89" s="1039">
        <v>11680</v>
      </c>
      <c r="D89" s="1039">
        <v>11630</v>
      </c>
      <c r="E89" s="1039">
        <v>11320</v>
      </c>
      <c r="F89" s="1066"/>
      <c r="H89" s="1064"/>
    </row>
    <row r="90" spans="1:8" s="1033" customFormat="1" ht="14.25" customHeight="1" thickBot="1">
      <c r="A90" s="1045" t="s">
        <v>1385</v>
      </c>
      <c r="B90" s="1039" t="s">
        <v>1198</v>
      </c>
      <c r="C90" s="1039">
        <v>12890</v>
      </c>
      <c r="D90" s="1039">
        <v>12820</v>
      </c>
      <c r="E90" s="1039">
        <v>12710</v>
      </c>
      <c r="F90" s="1066"/>
      <c r="H90" s="1064"/>
    </row>
    <row r="91" spans="1:8" s="1033" customFormat="1" ht="14.25" customHeight="1" thickBot="1">
      <c r="A91" s="1045" t="s">
        <v>1385</v>
      </c>
      <c r="B91" s="1039" t="s">
        <v>1208</v>
      </c>
      <c r="C91" s="1039">
        <v>11410</v>
      </c>
      <c r="D91" s="1039">
        <v>11360</v>
      </c>
      <c r="E91" s="1039">
        <v>12670</v>
      </c>
      <c r="F91" s="1066"/>
      <c r="H91" s="1064"/>
    </row>
    <row r="92" spans="1:8" s="1033" customFormat="1" ht="14.25" customHeight="1" thickBot="1">
      <c r="A92" s="1045" t="s">
        <v>1385</v>
      </c>
      <c r="B92" s="1039" t="s">
        <v>1218</v>
      </c>
      <c r="C92" s="1039">
        <v>12770</v>
      </c>
      <c r="D92" s="1039">
        <v>12740</v>
      </c>
      <c r="E92" s="1039">
        <v>11970</v>
      </c>
      <c r="F92" s="1066"/>
      <c r="H92" s="1064"/>
    </row>
    <row r="93" spans="1:8" s="1033" customFormat="1" ht="14.25" customHeight="1" thickBot="1">
      <c r="A93" s="1045" t="s">
        <v>1385</v>
      </c>
      <c r="B93" s="1039" t="s">
        <v>1228</v>
      </c>
      <c r="C93" s="1039">
        <v>12740</v>
      </c>
      <c r="D93" s="1039">
        <v>12700</v>
      </c>
      <c r="E93" s="1039">
        <v>12540</v>
      </c>
      <c r="F93" s="1066"/>
      <c r="H93" s="1064"/>
    </row>
    <row r="94" spans="1:8" s="1033" customFormat="1" ht="14.25" customHeight="1" thickBot="1">
      <c r="A94" s="1045" t="s">
        <v>1385</v>
      </c>
      <c r="B94" s="1039" t="s">
        <v>1238</v>
      </c>
      <c r="C94" s="1039">
        <v>12020</v>
      </c>
      <c r="D94" s="1039">
        <v>11990</v>
      </c>
      <c r="E94" s="1039">
        <v>13110</v>
      </c>
      <c r="F94" s="1066"/>
      <c r="H94" s="1064"/>
    </row>
    <row r="95" spans="1:8" s="1033" customFormat="1" ht="14.25" customHeight="1" thickBot="1">
      <c r="A95" s="1045" t="s">
        <v>1385</v>
      </c>
      <c r="B95" s="1039" t="s">
        <v>1247</v>
      </c>
      <c r="C95" s="1039">
        <v>12620</v>
      </c>
      <c r="D95" s="1039">
        <v>12580</v>
      </c>
      <c r="E95" s="1039">
        <v>13160</v>
      </c>
      <c r="F95" s="1057"/>
      <c r="H95" s="1064"/>
    </row>
    <row r="96" spans="1:8" s="1033" customFormat="1" ht="14.25" customHeight="1" thickBot="1">
      <c r="A96" s="1045" t="s">
        <v>1385</v>
      </c>
      <c r="B96" s="1039" t="s">
        <v>1256</v>
      </c>
      <c r="C96" s="1039">
        <v>13200</v>
      </c>
      <c r="D96" s="1039">
        <v>13150</v>
      </c>
      <c r="E96" s="1039">
        <v>12900</v>
      </c>
      <c r="F96" s="1057"/>
      <c r="H96" s="1064"/>
    </row>
    <row r="97" spans="1:8" s="1033" customFormat="1" ht="14.25" customHeight="1" thickBot="1">
      <c r="A97" s="1045" t="s">
        <v>1385</v>
      </c>
      <c r="B97" s="1039" t="s">
        <v>1264</v>
      </c>
      <c r="C97" s="1039">
        <v>13270</v>
      </c>
      <c r="D97" s="1039">
        <v>13210</v>
      </c>
      <c r="E97" s="1039">
        <v>11080</v>
      </c>
      <c r="F97" s="1057"/>
      <c r="H97" s="1064"/>
    </row>
    <row r="98" spans="1:8" s="1033" customFormat="1" ht="14.25" customHeight="1" thickBot="1">
      <c r="A98" s="1045" t="s">
        <v>1385</v>
      </c>
      <c r="B98" s="1039" t="s">
        <v>1271</v>
      </c>
      <c r="C98" s="1039">
        <v>13010</v>
      </c>
      <c r="D98" s="1039">
        <v>12930</v>
      </c>
      <c r="E98" s="1039">
        <v>12840</v>
      </c>
      <c r="F98" s="1057"/>
      <c r="H98" s="1064"/>
    </row>
    <row r="99" spans="1:8" s="1033" customFormat="1" ht="14.25" customHeight="1" thickBot="1">
      <c r="A99" s="1045" t="s">
        <v>1385</v>
      </c>
      <c r="B99" s="1039" t="s">
        <v>1278</v>
      </c>
      <c r="C99" s="1039">
        <v>11190</v>
      </c>
      <c r="D99" s="1039">
        <v>11130</v>
      </c>
      <c r="E99" s="1039"/>
      <c r="F99" s="1057"/>
      <c r="H99" s="1064"/>
    </row>
    <row r="100" spans="1:8" s="1033" customFormat="1" ht="14.25" customHeight="1" thickBot="1">
      <c r="A100" s="1045" t="s">
        <v>1385</v>
      </c>
      <c r="B100" s="1039" t="s">
        <v>1285</v>
      </c>
      <c r="C100" s="1039">
        <v>14280</v>
      </c>
      <c r="D100" s="1039">
        <v>14180</v>
      </c>
      <c r="E100" s="1039"/>
      <c r="F100" s="1057"/>
      <c r="H100" s="1064"/>
    </row>
    <row r="101" spans="1:8" s="1033" customFormat="1" ht="14.25" customHeight="1" thickBot="1">
      <c r="A101" s="1045" t="s">
        <v>1385</v>
      </c>
      <c r="B101" s="1039" t="s">
        <v>1292</v>
      </c>
      <c r="C101" s="1039">
        <v>12960</v>
      </c>
      <c r="D101" s="1039">
        <v>12890</v>
      </c>
      <c r="E101" s="1039"/>
      <c r="F101" s="1057"/>
      <c r="H101" s="1064"/>
    </row>
    <row r="102" spans="1:8" s="1033" customFormat="1" ht="14.25" customHeight="1" thickBot="1">
      <c r="A102" s="1045" t="s">
        <v>1385</v>
      </c>
      <c r="B102" s="1039" t="s">
        <v>1299</v>
      </c>
      <c r="C102" s="1039"/>
      <c r="D102" s="1039"/>
      <c r="E102" s="1039"/>
      <c r="F102" s="1057">
        <v>3100</v>
      </c>
      <c r="H102" s="1064"/>
    </row>
    <row r="103" spans="1:8" s="1033" customFormat="1" ht="14.25" customHeight="1" thickBot="1">
      <c r="A103" s="1045" t="s">
        <v>1385</v>
      </c>
      <c r="B103" s="1039" t="s">
        <v>1306</v>
      </c>
      <c r="C103" s="1039"/>
      <c r="D103" s="1039"/>
      <c r="E103" s="1039"/>
      <c r="F103" s="1057">
        <v>2320</v>
      </c>
      <c r="H103" s="1064"/>
    </row>
    <row r="104" spans="1:8" s="1033" customFormat="1" ht="14.25" customHeight="1" thickBot="1">
      <c r="A104" s="1045" t="s">
        <v>1385</v>
      </c>
      <c r="B104" s="1039" t="s">
        <v>1311</v>
      </c>
      <c r="C104" s="1039"/>
      <c r="D104" s="1039"/>
      <c r="E104" s="1039"/>
      <c r="F104" s="1057">
        <v>2320</v>
      </c>
      <c r="H104" s="1064"/>
    </row>
    <row r="105" spans="1:8" s="1033" customFormat="1" ht="14.25" customHeight="1" thickBot="1">
      <c r="A105" s="1045" t="s">
        <v>1385</v>
      </c>
      <c r="B105" s="1039" t="s">
        <v>1315</v>
      </c>
      <c r="C105" s="1039"/>
      <c r="D105" s="1039"/>
      <c r="E105" s="1039"/>
      <c r="F105" s="1057">
        <v>2320</v>
      </c>
      <c r="H105" s="1064"/>
    </row>
    <row r="106" spans="1:8" s="1033" customFormat="1" ht="14.25" customHeight="1" thickBot="1">
      <c r="A106" s="1045" t="s">
        <v>1385</v>
      </c>
      <c r="B106" s="1039" t="s">
        <v>1320</v>
      </c>
      <c r="C106" s="1039"/>
      <c r="D106" s="1039"/>
      <c r="E106" s="1039"/>
      <c r="F106" s="1057">
        <v>2320</v>
      </c>
      <c r="H106" s="1064"/>
    </row>
    <row r="107" spans="1:8" s="1033" customFormat="1" ht="14.25" customHeight="1" thickBot="1">
      <c r="A107" s="1045" t="s">
        <v>1385</v>
      </c>
      <c r="B107" s="1039" t="s">
        <v>1325</v>
      </c>
      <c r="C107" s="1039"/>
      <c r="D107" s="1039"/>
      <c r="E107" s="1039"/>
      <c r="F107" s="1057">
        <v>2280</v>
      </c>
      <c r="H107" s="1064"/>
    </row>
    <row r="108" spans="1:8" s="1033" customFormat="1" ht="14.25" customHeight="1" thickBot="1">
      <c r="A108" s="1045" t="s">
        <v>1385</v>
      </c>
      <c r="B108" s="1039" t="s">
        <v>1330</v>
      </c>
      <c r="C108" s="1039"/>
      <c r="D108" s="1039"/>
      <c r="E108" s="1039"/>
      <c r="F108" s="1057">
        <v>2280</v>
      </c>
      <c r="H108" s="1064"/>
    </row>
    <row r="109" spans="1:8" s="1033" customFormat="1" ht="14.25" customHeight="1" thickBot="1">
      <c r="A109" s="1045" t="s">
        <v>1385</v>
      </c>
      <c r="B109" s="1055" t="s">
        <v>1335</v>
      </c>
      <c r="C109" s="1055"/>
      <c r="D109" s="1055"/>
      <c r="E109" s="1055"/>
      <c r="F109" s="1065">
        <v>2280</v>
      </c>
      <c r="H109" s="1064"/>
    </row>
    <row r="110" spans="1:8" s="1033" customFormat="1" ht="14.25" customHeight="1" thickBot="1">
      <c r="A110" s="1045" t="s">
        <v>1387</v>
      </c>
      <c r="B110" s="1046" t="s">
        <v>1388</v>
      </c>
      <c r="C110" s="1046">
        <v>10520</v>
      </c>
      <c r="D110" s="1046">
        <v>10490</v>
      </c>
      <c r="E110" s="1046">
        <v>10760</v>
      </c>
      <c r="F110" s="1047">
        <v>2160</v>
      </c>
      <c r="H110" s="1064"/>
    </row>
    <row r="111" spans="1:8" s="1033" customFormat="1" ht="14.25" customHeight="1" thickBot="1">
      <c r="A111" s="1045" t="s">
        <v>1387</v>
      </c>
      <c r="B111" s="1039" t="s">
        <v>1053</v>
      </c>
      <c r="C111" s="1039">
        <v>10090</v>
      </c>
      <c r="D111" s="1039">
        <v>10060</v>
      </c>
      <c r="E111" s="1039">
        <v>10300</v>
      </c>
      <c r="F111" s="1057">
        <v>2010</v>
      </c>
      <c r="H111" s="1064"/>
    </row>
    <row r="112" spans="1:8" s="1033" customFormat="1" ht="14.25" customHeight="1" thickBot="1">
      <c r="A112" s="1045" t="s">
        <v>1387</v>
      </c>
      <c r="B112" s="1039" t="s">
        <v>1067</v>
      </c>
      <c r="C112" s="1039">
        <v>9910</v>
      </c>
      <c r="D112" s="1039">
        <v>9850</v>
      </c>
      <c r="E112" s="1039">
        <v>9960</v>
      </c>
      <c r="F112" s="1057">
        <v>2090</v>
      </c>
      <c r="H112" s="1064"/>
    </row>
    <row r="113" spans="1:8" s="1033" customFormat="1" ht="14.25" customHeight="1" thickBot="1">
      <c r="A113" s="1045" t="s">
        <v>1387</v>
      </c>
      <c r="B113" s="1039" t="s">
        <v>1080</v>
      </c>
      <c r="C113" s="1039">
        <v>11430</v>
      </c>
      <c r="D113" s="1039">
        <v>11400</v>
      </c>
      <c r="E113" s="1039">
        <v>11710</v>
      </c>
      <c r="F113" s="1057">
        <v>2050</v>
      </c>
      <c r="H113" s="1064"/>
    </row>
    <row r="114" spans="1:8" s="1033" customFormat="1" ht="14.25" customHeight="1" thickBot="1">
      <c r="A114" s="1045" t="s">
        <v>1387</v>
      </c>
      <c r="B114" s="1039" t="s">
        <v>1094</v>
      </c>
      <c r="C114" s="1039">
        <v>11390</v>
      </c>
      <c r="D114" s="1039">
        <v>11350</v>
      </c>
      <c r="E114" s="1039">
        <v>11640</v>
      </c>
      <c r="F114" s="1057">
        <v>1620</v>
      </c>
      <c r="H114" s="1064"/>
    </row>
    <row r="115" spans="1:8" s="1033" customFormat="1" ht="14.25" customHeight="1" thickBot="1">
      <c r="A115" s="1045" t="s">
        <v>1387</v>
      </c>
      <c r="B115" s="1039" t="s">
        <v>1105</v>
      </c>
      <c r="C115" s="1039">
        <v>9930</v>
      </c>
      <c r="D115" s="1039">
        <v>9900</v>
      </c>
      <c r="E115" s="1039">
        <v>10160</v>
      </c>
      <c r="F115" s="1057">
        <v>1580</v>
      </c>
      <c r="H115" s="1064"/>
    </row>
    <row r="116" spans="1:8" s="1033" customFormat="1" ht="14.25" customHeight="1" thickBot="1">
      <c r="A116" s="1045" t="s">
        <v>1387</v>
      </c>
      <c r="B116" s="1039" t="s">
        <v>1116</v>
      </c>
      <c r="C116" s="1039">
        <v>9150</v>
      </c>
      <c r="D116" s="1039">
        <v>9120</v>
      </c>
      <c r="E116" s="1039">
        <v>9380</v>
      </c>
      <c r="F116" s="1057">
        <v>1750</v>
      </c>
      <c r="H116" s="1064"/>
    </row>
    <row r="117" spans="1:8" s="1033" customFormat="1" ht="14.25" customHeight="1" thickBot="1">
      <c r="A117" s="1045" t="s">
        <v>1387</v>
      </c>
      <c r="B117" s="1039" t="s">
        <v>1127</v>
      </c>
      <c r="C117" s="1039">
        <v>10680</v>
      </c>
      <c r="D117" s="1039">
        <v>10650</v>
      </c>
      <c r="E117" s="1039">
        <v>10970</v>
      </c>
      <c r="F117" s="1057">
        <v>1730</v>
      </c>
      <c r="H117" s="1064"/>
    </row>
    <row r="118" spans="1:8" s="1033" customFormat="1" ht="14.25" customHeight="1" thickBot="1">
      <c r="A118" s="1045" t="s">
        <v>1387</v>
      </c>
      <c r="B118" s="1039" t="s">
        <v>1139</v>
      </c>
      <c r="C118" s="1039">
        <v>10080</v>
      </c>
      <c r="D118" s="1039">
        <v>10050</v>
      </c>
      <c r="E118" s="1039">
        <v>10350</v>
      </c>
      <c r="F118" s="1057">
        <v>1920</v>
      </c>
      <c r="H118" s="1064"/>
    </row>
    <row r="119" spans="1:8" s="1033" customFormat="1" ht="14.25" customHeight="1" thickBot="1">
      <c r="A119" s="1045" t="s">
        <v>1387</v>
      </c>
      <c r="B119" s="1039" t="s">
        <v>1149</v>
      </c>
      <c r="C119" s="1039">
        <v>9450</v>
      </c>
      <c r="D119" s="1039">
        <v>9410</v>
      </c>
      <c r="E119" s="1039">
        <v>9680</v>
      </c>
      <c r="F119" s="1057">
        <v>1880</v>
      </c>
      <c r="H119" s="1064"/>
    </row>
    <row r="120" spans="1:8" s="1033" customFormat="1" ht="14.25" customHeight="1" thickBot="1">
      <c r="A120" s="1045" t="s">
        <v>1387</v>
      </c>
      <c r="B120" s="1039" t="s">
        <v>1159</v>
      </c>
      <c r="C120" s="1039">
        <v>8730</v>
      </c>
      <c r="D120" s="1039">
        <v>8700</v>
      </c>
      <c r="E120" s="1039">
        <v>8950</v>
      </c>
      <c r="F120" s="1057">
        <v>1830</v>
      </c>
      <c r="H120" s="1064"/>
    </row>
    <row r="121" spans="1:8" s="1033" customFormat="1" ht="14.25" customHeight="1" thickBot="1">
      <c r="A121" s="1045" t="s">
        <v>1387</v>
      </c>
      <c r="B121" s="1039" t="s">
        <v>1169</v>
      </c>
      <c r="C121" s="1039">
        <v>10070</v>
      </c>
      <c r="D121" s="1039">
        <v>10040</v>
      </c>
      <c r="E121" s="1039">
        <v>10270</v>
      </c>
      <c r="F121" s="1057">
        <v>1960</v>
      </c>
      <c r="H121" s="1064"/>
    </row>
    <row r="122" spans="1:8" s="1033" customFormat="1" ht="14.25" customHeight="1" thickBot="1">
      <c r="A122" s="1045" t="s">
        <v>1387</v>
      </c>
      <c r="B122" s="1039" t="s">
        <v>1179</v>
      </c>
      <c r="C122" s="1039">
        <v>10500</v>
      </c>
      <c r="D122" s="1039">
        <v>10470</v>
      </c>
      <c r="E122" s="1039">
        <v>10780</v>
      </c>
      <c r="F122" s="1057">
        <v>2180</v>
      </c>
      <c r="H122" s="1064"/>
    </row>
    <row r="123" spans="1:8" s="1033" customFormat="1" ht="14.25" customHeight="1" thickBot="1">
      <c r="A123" s="1045" t="s">
        <v>1387</v>
      </c>
      <c r="B123" s="1039" t="s">
        <v>1189</v>
      </c>
      <c r="C123" s="1039">
        <v>10390</v>
      </c>
      <c r="D123" s="1039">
        <v>10360</v>
      </c>
      <c r="E123" s="1039">
        <v>10660</v>
      </c>
      <c r="F123" s="1057">
        <v>2040</v>
      </c>
      <c r="H123" s="1064"/>
    </row>
    <row r="124" spans="1:8" s="1033" customFormat="1" ht="14.25" customHeight="1" thickBot="1">
      <c r="A124" s="1045" t="s">
        <v>1387</v>
      </c>
      <c r="B124" s="1039" t="s">
        <v>1199</v>
      </c>
      <c r="C124" s="1039">
        <v>10390</v>
      </c>
      <c r="D124" s="1039">
        <v>10360</v>
      </c>
      <c r="E124" s="1039">
        <v>10680</v>
      </c>
      <c r="F124" s="1066"/>
      <c r="H124" s="1064"/>
    </row>
    <row r="125" spans="1:8" s="1033" customFormat="1" ht="14.25" customHeight="1" thickBot="1">
      <c r="A125" s="1045" t="s">
        <v>1387</v>
      </c>
      <c r="B125" s="1039" t="s">
        <v>1209</v>
      </c>
      <c r="C125" s="1039">
        <v>10440</v>
      </c>
      <c r="D125" s="1039">
        <v>10410</v>
      </c>
      <c r="E125" s="1039">
        <v>10710</v>
      </c>
      <c r="F125" s="1066"/>
      <c r="H125" s="1064"/>
    </row>
    <row r="126" spans="1:8" s="1033" customFormat="1" ht="14.25" customHeight="1" thickBot="1">
      <c r="A126" s="1045" t="s">
        <v>1387</v>
      </c>
      <c r="B126" s="1039" t="s">
        <v>1219</v>
      </c>
      <c r="C126" s="1039">
        <v>10780</v>
      </c>
      <c r="D126" s="1039">
        <v>10750</v>
      </c>
      <c r="E126" s="1039">
        <v>11080</v>
      </c>
      <c r="F126" s="1066"/>
      <c r="H126" s="1064"/>
    </row>
    <row r="127" spans="1:8" s="1033" customFormat="1" ht="14.25" customHeight="1" thickBot="1">
      <c r="A127" s="1045" t="s">
        <v>1387</v>
      </c>
      <c r="B127" s="1039" t="s">
        <v>1229</v>
      </c>
      <c r="C127" s="1039">
        <v>10100</v>
      </c>
      <c r="D127" s="1039">
        <v>10070</v>
      </c>
      <c r="E127" s="1039">
        <v>10350</v>
      </c>
      <c r="F127" s="1066"/>
      <c r="H127" s="1064"/>
    </row>
    <row r="128" spans="1:8" s="1033" customFormat="1" ht="14.25" customHeight="1" thickBot="1">
      <c r="A128" s="1045" t="s">
        <v>1387</v>
      </c>
      <c r="B128" s="1039" t="s">
        <v>1239</v>
      </c>
      <c r="C128" s="1039">
        <v>9200</v>
      </c>
      <c r="D128" s="1039">
        <v>9160</v>
      </c>
      <c r="E128" s="1039">
        <v>9660</v>
      </c>
      <c r="F128" s="1066"/>
      <c r="H128" s="1064"/>
    </row>
    <row r="129" spans="1:8" s="1033" customFormat="1" ht="14.25" customHeight="1" thickBot="1">
      <c r="A129" s="1045" t="s">
        <v>1387</v>
      </c>
      <c r="B129" s="1039" t="s">
        <v>1248</v>
      </c>
      <c r="C129" s="1039">
        <v>10340</v>
      </c>
      <c r="D129" s="1039">
        <v>10310</v>
      </c>
      <c r="E129" s="1039">
        <v>10580</v>
      </c>
      <c r="F129" s="1066"/>
      <c r="H129" s="1064"/>
    </row>
    <row r="130" spans="1:8" s="1033" customFormat="1" ht="14.25" customHeight="1" thickBot="1">
      <c r="A130" s="1045" t="s">
        <v>1387</v>
      </c>
      <c r="B130" s="1039" t="s">
        <v>1257</v>
      </c>
      <c r="C130" s="1039">
        <v>9680</v>
      </c>
      <c r="D130" s="1039">
        <v>9660</v>
      </c>
      <c r="E130" s="1039">
        <v>9950</v>
      </c>
      <c r="F130" s="1066"/>
      <c r="H130" s="1064"/>
    </row>
    <row r="131" spans="1:8" s="1033" customFormat="1" ht="14.25" customHeight="1" thickBot="1">
      <c r="A131" s="1045" t="s">
        <v>1387</v>
      </c>
      <c r="B131" s="1039" t="s">
        <v>1265</v>
      </c>
      <c r="C131" s="1039">
        <v>9540</v>
      </c>
      <c r="D131" s="1039">
        <v>9510</v>
      </c>
      <c r="E131" s="1039">
        <v>9790</v>
      </c>
      <c r="F131" s="1066"/>
      <c r="H131" s="1064"/>
    </row>
    <row r="132" spans="1:8" s="1033" customFormat="1" ht="14.25" customHeight="1" thickBot="1">
      <c r="A132" s="1045" t="s">
        <v>1387</v>
      </c>
      <c r="B132" s="1039" t="s">
        <v>1272</v>
      </c>
      <c r="C132" s="1039">
        <v>9320</v>
      </c>
      <c r="D132" s="1039">
        <v>9290</v>
      </c>
      <c r="E132" s="1039">
        <v>9570</v>
      </c>
      <c r="F132" s="1066"/>
      <c r="H132" s="1064"/>
    </row>
    <row r="133" spans="1:8" s="1033" customFormat="1" ht="14.25" customHeight="1" thickBot="1">
      <c r="A133" s="1045" t="s">
        <v>1387</v>
      </c>
      <c r="B133" s="1039" t="s">
        <v>1279</v>
      </c>
      <c r="C133" s="1039">
        <v>10310</v>
      </c>
      <c r="D133" s="1039">
        <v>10280</v>
      </c>
      <c r="E133" s="1039">
        <v>10530</v>
      </c>
      <c r="F133" s="1066"/>
      <c r="H133" s="1064"/>
    </row>
    <row r="134" spans="1:8" s="1033" customFormat="1" ht="14.25" customHeight="1" thickBot="1">
      <c r="A134" s="1045" t="s">
        <v>1387</v>
      </c>
      <c r="B134" s="1039" t="s">
        <v>1286</v>
      </c>
      <c r="C134" s="1039">
        <v>10370</v>
      </c>
      <c r="D134" s="1039">
        <v>10310</v>
      </c>
      <c r="E134" s="1039">
        <v>10240</v>
      </c>
      <c r="F134" s="1057">
        <v>2060</v>
      </c>
      <c r="H134" s="1064"/>
    </row>
    <row r="135" spans="1:8" s="1033" customFormat="1" ht="14.25" customHeight="1" thickBot="1">
      <c r="A135" s="1045" t="s">
        <v>1387</v>
      </c>
      <c r="B135" s="1039" t="s">
        <v>1293</v>
      </c>
      <c r="C135" s="1039">
        <v>9300</v>
      </c>
      <c r="D135" s="1039">
        <v>9270</v>
      </c>
      <c r="E135" s="1039">
        <v>9350</v>
      </c>
      <c r="F135" s="1066"/>
      <c r="H135" s="1064"/>
    </row>
    <row r="136" spans="1:8" s="1033" customFormat="1" ht="14.25" customHeight="1" thickBot="1">
      <c r="A136" s="1045" t="s">
        <v>1387</v>
      </c>
      <c r="B136" s="1039" t="s">
        <v>1300</v>
      </c>
      <c r="C136" s="1039">
        <v>10160</v>
      </c>
      <c r="D136" s="1039">
        <v>10110</v>
      </c>
      <c r="E136" s="1039">
        <v>10080</v>
      </c>
      <c r="F136" s="1066"/>
      <c r="H136" s="1064"/>
    </row>
    <row r="137" spans="1:8" s="1033" customFormat="1" ht="14.25" customHeight="1" thickBot="1">
      <c r="A137" s="1045" t="s">
        <v>1387</v>
      </c>
      <c r="B137" s="1039" t="s">
        <v>1307</v>
      </c>
      <c r="C137" s="1039">
        <v>9200</v>
      </c>
      <c r="D137" s="1039">
        <v>9170</v>
      </c>
      <c r="E137" s="1039">
        <v>9450</v>
      </c>
      <c r="F137" s="1066"/>
      <c r="H137" s="1064"/>
    </row>
    <row r="138" spans="1:8" s="1033" customFormat="1" ht="14.25" customHeight="1" thickBot="1">
      <c r="A138" s="1045" t="s">
        <v>1387</v>
      </c>
      <c r="B138" s="1039" t="s">
        <v>1312</v>
      </c>
      <c r="C138" s="1039">
        <v>9690</v>
      </c>
      <c r="D138" s="1039">
        <v>9660</v>
      </c>
      <c r="E138" s="1039">
        <v>9840</v>
      </c>
      <c r="F138" s="1066"/>
      <c r="H138" s="1064"/>
    </row>
    <row r="139" spans="1:8" s="1033" customFormat="1" ht="14.25" customHeight="1" thickBot="1">
      <c r="A139" s="1045" t="s">
        <v>1387</v>
      </c>
      <c r="B139" s="1039" t="s">
        <v>1316</v>
      </c>
      <c r="C139" s="1039">
        <v>10290</v>
      </c>
      <c r="D139" s="1039">
        <v>10260</v>
      </c>
      <c r="E139" s="1039">
        <v>10550</v>
      </c>
      <c r="F139" s="1057">
        <v>1700</v>
      </c>
      <c r="H139" s="1064"/>
    </row>
    <row r="140" spans="1:8" s="1033" customFormat="1" ht="14.25" customHeight="1" thickBot="1">
      <c r="A140" s="1045" t="s">
        <v>1387</v>
      </c>
      <c r="B140" s="1039" t="s">
        <v>1321</v>
      </c>
      <c r="C140" s="1039">
        <v>9740</v>
      </c>
      <c r="D140" s="1039">
        <v>9710</v>
      </c>
      <c r="E140" s="1039">
        <v>10000</v>
      </c>
      <c r="F140" s="1057">
        <v>2000</v>
      </c>
      <c r="H140" s="1064"/>
    </row>
    <row r="141" spans="1:8" s="1033" customFormat="1" ht="14.25" customHeight="1" thickBot="1">
      <c r="A141" s="1045" t="s">
        <v>1387</v>
      </c>
      <c r="B141" s="1039" t="s">
        <v>1326</v>
      </c>
      <c r="C141" s="1039">
        <v>9810</v>
      </c>
      <c r="D141" s="1039">
        <v>9770</v>
      </c>
      <c r="E141" s="1039">
        <v>10060</v>
      </c>
      <c r="F141" s="1066"/>
      <c r="H141" s="1064"/>
    </row>
    <row r="142" spans="1:8" s="1033" customFormat="1" ht="14.25" customHeight="1" thickBot="1">
      <c r="A142" s="1045" t="s">
        <v>1387</v>
      </c>
      <c r="B142" s="1039" t="s">
        <v>1331</v>
      </c>
      <c r="C142" s="1039">
        <v>9300</v>
      </c>
      <c r="D142" s="1039">
        <v>9270</v>
      </c>
      <c r="E142" s="1039">
        <v>9530</v>
      </c>
      <c r="F142" s="1066"/>
      <c r="H142" s="1064"/>
    </row>
    <row r="143" spans="1:8" s="1033" customFormat="1" ht="14.25" customHeight="1" thickBot="1">
      <c r="A143" s="1045" t="s">
        <v>1387</v>
      </c>
      <c r="B143" s="1039" t="s">
        <v>1336</v>
      </c>
      <c r="C143" s="1039">
        <v>10080</v>
      </c>
      <c r="D143" s="1039">
        <v>10050</v>
      </c>
      <c r="E143" s="1039">
        <v>10340</v>
      </c>
      <c r="F143" s="1066"/>
      <c r="H143" s="1064"/>
    </row>
    <row r="144" spans="1:8" s="1033" customFormat="1" ht="14.25" customHeight="1" thickBot="1">
      <c r="A144" s="1045" t="s">
        <v>1387</v>
      </c>
      <c r="B144" s="1039" t="s">
        <v>1340</v>
      </c>
      <c r="C144" s="1039">
        <v>9820</v>
      </c>
      <c r="D144" s="1039">
        <v>9750</v>
      </c>
      <c r="E144" s="1039">
        <v>9900</v>
      </c>
      <c r="F144" s="1066"/>
      <c r="H144" s="1064"/>
    </row>
    <row r="145" spans="1:8" s="1033" customFormat="1" ht="14.25" customHeight="1" thickBot="1">
      <c r="A145" s="1045" t="s">
        <v>1387</v>
      </c>
      <c r="B145" s="1039" t="s">
        <v>1344</v>
      </c>
      <c r="C145" s="1039"/>
      <c r="D145" s="1039"/>
      <c r="E145" s="1039"/>
      <c r="F145" s="1057">
        <v>1740</v>
      </c>
      <c r="H145" s="1064"/>
    </row>
    <row r="146" spans="1:8" s="1033" customFormat="1" ht="14.25" customHeight="1" thickBot="1">
      <c r="A146" s="1045" t="s">
        <v>1387</v>
      </c>
      <c r="B146" s="1039" t="s">
        <v>1348</v>
      </c>
      <c r="C146" s="1039"/>
      <c r="D146" s="1039"/>
      <c r="E146" s="1039"/>
      <c r="F146" s="1057">
        <v>1740</v>
      </c>
      <c r="H146" s="1064"/>
    </row>
    <row r="147" spans="1:8" s="1033" customFormat="1" ht="14.25" customHeight="1" thickBot="1">
      <c r="A147" s="1045" t="s">
        <v>1387</v>
      </c>
      <c r="B147" s="1039" t="s">
        <v>1352</v>
      </c>
      <c r="C147" s="1039"/>
      <c r="D147" s="1039"/>
      <c r="E147" s="1039"/>
      <c r="F147" s="1057">
        <v>1740</v>
      </c>
      <c r="H147" s="1064"/>
    </row>
    <row r="148" spans="1:8" s="1033" customFormat="1" ht="14.25" customHeight="1" thickBot="1">
      <c r="A148" s="1045" t="s">
        <v>1387</v>
      </c>
      <c r="B148" s="1039" t="s">
        <v>1356</v>
      </c>
      <c r="C148" s="1039"/>
      <c r="D148" s="1039"/>
      <c r="E148" s="1039"/>
      <c r="F148" s="1057">
        <v>1740</v>
      </c>
      <c r="H148" s="1064"/>
    </row>
    <row r="149" spans="1:8" s="1033" customFormat="1" ht="14.25" customHeight="1" thickBot="1">
      <c r="A149" s="1045" t="s">
        <v>1387</v>
      </c>
      <c r="B149" s="1039" t="s">
        <v>1360</v>
      </c>
      <c r="C149" s="1039"/>
      <c r="D149" s="1039"/>
      <c r="E149" s="1039"/>
      <c r="F149" s="1057">
        <v>1740</v>
      </c>
      <c r="H149" s="1064"/>
    </row>
    <row r="150" spans="1:8" s="1033" customFormat="1" ht="14.25" customHeight="1" thickBot="1">
      <c r="A150" s="1045" t="s">
        <v>1387</v>
      </c>
      <c r="B150" s="1039" t="s">
        <v>1363</v>
      </c>
      <c r="C150" s="1039"/>
      <c r="D150" s="1039"/>
      <c r="E150" s="1039"/>
      <c r="F150" s="1057">
        <v>1610</v>
      </c>
      <c r="H150" s="1064"/>
    </row>
    <row r="151" spans="1:8" s="1033" customFormat="1" ht="14.25" customHeight="1" thickBot="1">
      <c r="A151" s="1045" t="s">
        <v>1387</v>
      </c>
      <c r="B151" s="1039" t="s">
        <v>1366</v>
      </c>
      <c r="C151" s="1039"/>
      <c r="D151" s="1039"/>
      <c r="E151" s="1039"/>
      <c r="F151" s="1057">
        <v>1610</v>
      </c>
      <c r="H151" s="1064"/>
    </row>
    <row r="152" spans="1:8" s="1033" customFormat="1" ht="14.25" customHeight="1" thickBot="1">
      <c r="A152" s="1045" t="s">
        <v>1387</v>
      </c>
      <c r="B152" s="1039" t="s">
        <v>1369</v>
      </c>
      <c r="C152" s="1039"/>
      <c r="D152" s="1039"/>
      <c r="E152" s="1039"/>
      <c r="F152" s="1057">
        <v>1610</v>
      </c>
      <c r="H152" s="1064"/>
    </row>
    <row r="153" spans="1:8" s="1033" customFormat="1" ht="14.25" customHeight="1" thickBot="1">
      <c r="A153" s="1045" t="s">
        <v>1387</v>
      </c>
      <c r="B153" s="1039" t="s">
        <v>1372</v>
      </c>
      <c r="C153" s="1039"/>
      <c r="D153" s="1039"/>
      <c r="E153" s="1039"/>
      <c r="F153" s="1057">
        <v>1610</v>
      </c>
      <c r="H153" s="1064"/>
    </row>
    <row r="154" spans="1:8" s="1033" customFormat="1" ht="14.25" customHeight="1" thickBot="1">
      <c r="A154" s="1045" t="s">
        <v>1387</v>
      </c>
      <c r="B154" s="1039" t="s">
        <v>1375</v>
      </c>
      <c r="C154" s="1039"/>
      <c r="D154" s="1039"/>
      <c r="E154" s="1039"/>
      <c r="F154" s="1057">
        <v>1610</v>
      </c>
      <c r="H154" s="1064"/>
    </row>
    <row r="155" spans="1:8" s="1033" customFormat="1" ht="14.25" customHeight="1" thickBot="1">
      <c r="A155" s="1045" t="s">
        <v>1387</v>
      </c>
      <c r="B155" s="1039" t="s">
        <v>1378</v>
      </c>
      <c r="C155" s="1039"/>
      <c r="D155" s="1039"/>
      <c r="E155" s="1039"/>
      <c r="F155" s="1057">
        <v>1800</v>
      </c>
      <c r="H155" s="1064"/>
    </row>
    <row r="156" spans="1:8" s="1033" customFormat="1" ht="14.25" customHeight="1" thickBot="1">
      <c r="A156" s="1045" t="s">
        <v>1387</v>
      </c>
      <c r="B156" s="1039" t="s">
        <v>1380</v>
      </c>
      <c r="C156" s="1039"/>
      <c r="D156" s="1039"/>
      <c r="E156" s="1039"/>
      <c r="F156" s="1057">
        <v>1910</v>
      </c>
      <c r="H156" s="1064"/>
    </row>
    <row r="157" spans="1:8" s="1033" customFormat="1" ht="14.25" customHeight="1" thickBot="1">
      <c r="A157" s="1045" t="s">
        <v>1387</v>
      </c>
      <c r="B157" s="1055" t="s">
        <v>1383</v>
      </c>
      <c r="C157" s="1055"/>
      <c r="D157" s="1055"/>
      <c r="E157" s="1055"/>
      <c r="F157" s="1065">
        <v>1500</v>
      </c>
      <c r="H157" s="1064"/>
    </row>
    <row r="158" spans="1:8" s="1033" customFormat="1" ht="14.25" customHeight="1" thickBot="1">
      <c r="A158" s="1045" t="s">
        <v>1389</v>
      </c>
      <c r="B158" s="1046" t="s">
        <v>1390</v>
      </c>
      <c r="C158" s="1046">
        <v>8170</v>
      </c>
      <c r="D158" s="1046">
        <v>8140</v>
      </c>
      <c r="E158" s="1046">
        <v>8590</v>
      </c>
      <c r="F158" s="1047">
        <v>1450</v>
      </c>
      <c r="H158" s="1064"/>
    </row>
    <row r="159" spans="1:8" s="1033" customFormat="1" ht="14.25" customHeight="1" thickBot="1">
      <c r="A159" s="1045" t="s">
        <v>1389</v>
      </c>
      <c r="B159" s="1039" t="s">
        <v>1054</v>
      </c>
      <c r="C159" s="1039">
        <v>7410</v>
      </c>
      <c r="D159" s="1039">
        <v>7370</v>
      </c>
      <c r="E159" s="1039">
        <v>8030</v>
      </c>
      <c r="F159" s="1057">
        <v>1510</v>
      </c>
      <c r="H159" s="1064"/>
    </row>
    <row r="160" spans="1:8" s="1033" customFormat="1" ht="14.25" customHeight="1" thickBot="1">
      <c r="A160" s="1045" t="s">
        <v>1389</v>
      </c>
      <c r="B160" s="1039" t="s">
        <v>1068</v>
      </c>
      <c r="C160" s="1039">
        <v>7240</v>
      </c>
      <c r="D160" s="1039">
        <v>7210</v>
      </c>
      <c r="E160" s="1039">
        <v>7860</v>
      </c>
      <c r="F160" s="1057">
        <v>1370</v>
      </c>
      <c r="H160" s="1064"/>
    </row>
    <row r="161" spans="1:8" s="1033" customFormat="1" ht="14.25" customHeight="1" thickBot="1">
      <c r="A161" s="1045" t="s">
        <v>1389</v>
      </c>
      <c r="B161" s="1039" t="s">
        <v>1081</v>
      </c>
      <c r="C161" s="1039">
        <v>7720</v>
      </c>
      <c r="D161" s="1039">
        <v>7690</v>
      </c>
      <c r="E161" s="1039">
        <v>8200</v>
      </c>
      <c r="F161" s="1057">
        <v>1190</v>
      </c>
      <c r="H161" s="1064"/>
    </row>
    <row r="162" spans="1:8" s="1033" customFormat="1" ht="14.25" customHeight="1" thickBot="1">
      <c r="A162" s="1045" t="s">
        <v>1389</v>
      </c>
      <c r="B162" s="1039" t="s">
        <v>1095</v>
      </c>
      <c r="C162" s="1039">
        <v>6900</v>
      </c>
      <c r="D162" s="1039">
        <v>6870</v>
      </c>
      <c r="E162" s="1039">
        <v>7500</v>
      </c>
      <c r="F162" s="1057">
        <v>1390</v>
      </c>
      <c r="H162" s="1064"/>
    </row>
    <row r="163" spans="1:8" s="1033" customFormat="1" ht="14.25" customHeight="1" thickBot="1">
      <c r="A163" s="1045" t="s">
        <v>1389</v>
      </c>
      <c r="B163" s="1039" t="s">
        <v>1106</v>
      </c>
      <c r="C163" s="1039">
        <v>7120</v>
      </c>
      <c r="D163" s="1039">
        <v>7090</v>
      </c>
      <c r="E163" s="1039">
        <v>7690</v>
      </c>
      <c r="F163" s="1057">
        <v>1230</v>
      </c>
      <c r="H163" s="1064"/>
    </row>
    <row r="164" spans="1:8" s="1033" customFormat="1" ht="14.25" customHeight="1" thickBot="1">
      <c r="A164" s="1045" t="s">
        <v>1389</v>
      </c>
      <c r="B164" s="1039" t="s">
        <v>1117</v>
      </c>
      <c r="C164" s="1039">
        <v>6560</v>
      </c>
      <c r="D164" s="1039">
        <v>6530</v>
      </c>
      <c r="E164" s="1039">
        <v>7110</v>
      </c>
      <c r="F164" s="1057">
        <v>1340</v>
      </c>
      <c r="H164" s="1064"/>
    </row>
    <row r="165" spans="1:8" s="1033" customFormat="1" ht="14.25" customHeight="1" thickBot="1">
      <c r="A165" s="1045" t="s">
        <v>1389</v>
      </c>
      <c r="B165" s="1039" t="s">
        <v>1128</v>
      </c>
      <c r="C165" s="1039">
        <v>7450</v>
      </c>
      <c r="D165" s="1039">
        <v>7430</v>
      </c>
      <c r="E165" s="1039">
        <v>8110</v>
      </c>
      <c r="F165" s="1057">
        <v>1290</v>
      </c>
      <c r="H165" s="1064"/>
    </row>
    <row r="166" spans="1:8" s="1033" customFormat="1" ht="14.25" customHeight="1" thickBot="1">
      <c r="A166" s="1045" t="s">
        <v>1389</v>
      </c>
      <c r="B166" s="1039" t="s">
        <v>1140</v>
      </c>
      <c r="C166" s="1039">
        <v>7490</v>
      </c>
      <c r="D166" s="1039">
        <v>7460</v>
      </c>
      <c r="E166" s="1039">
        <v>8150</v>
      </c>
      <c r="F166" s="1057">
        <v>1350</v>
      </c>
      <c r="H166" s="1064"/>
    </row>
    <row r="167" spans="1:8" s="1033" customFormat="1" ht="14.25" customHeight="1" thickBot="1">
      <c r="A167" s="1045" t="s">
        <v>1389</v>
      </c>
      <c r="B167" s="1039" t="s">
        <v>1150</v>
      </c>
      <c r="C167" s="1039">
        <v>7540</v>
      </c>
      <c r="D167" s="1039">
        <v>7510</v>
      </c>
      <c r="E167" s="1039">
        <v>8030</v>
      </c>
      <c r="F167" s="1066"/>
      <c r="H167" s="1064"/>
    </row>
    <row r="168" spans="1:8" s="1033" customFormat="1" ht="14.25" customHeight="1" thickBot="1">
      <c r="A168" s="1045" t="s">
        <v>1389</v>
      </c>
      <c r="B168" s="1039" t="s">
        <v>1160</v>
      </c>
      <c r="C168" s="1039">
        <v>7210</v>
      </c>
      <c r="D168" s="1039">
        <v>7180</v>
      </c>
      <c r="E168" s="1039">
        <v>7830</v>
      </c>
      <c r="F168" s="1066"/>
      <c r="H168" s="1064"/>
    </row>
    <row r="169" spans="1:8" s="1033" customFormat="1" ht="14.25" customHeight="1" thickBot="1">
      <c r="A169" s="1045" t="s">
        <v>1389</v>
      </c>
      <c r="B169" s="1039" t="s">
        <v>1170</v>
      </c>
      <c r="C169" s="1039">
        <v>7040</v>
      </c>
      <c r="D169" s="1039">
        <v>7020</v>
      </c>
      <c r="E169" s="1039">
        <v>7670</v>
      </c>
      <c r="F169" s="1066"/>
      <c r="H169" s="1064"/>
    </row>
    <row r="170" spans="1:8" s="1033" customFormat="1" ht="14.25" customHeight="1" thickBot="1">
      <c r="A170" s="1045" t="s">
        <v>1389</v>
      </c>
      <c r="B170" s="1039" t="s">
        <v>1180</v>
      </c>
      <c r="C170" s="1039">
        <v>8040</v>
      </c>
      <c r="D170" s="1039">
        <v>7190</v>
      </c>
      <c r="E170" s="1039">
        <v>7850</v>
      </c>
      <c r="F170" s="1066"/>
      <c r="H170" s="1064"/>
    </row>
    <row r="171" spans="1:8" s="1033" customFormat="1" ht="14.25" customHeight="1" thickBot="1">
      <c r="A171" s="1045" t="s">
        <v>1389</v>
      </c>
      <c r="B171" s="1039" t="s">
        <v>1190</v>
      </c>
      <c r="C171" s="1039">
        <v>7860</v>
      </c>
      <c r="D171" s="1039">
        <v>7720</v>
      </c>
      <c r="E171" s="1039">
        <v>8150</v>
      </c>
      <c r="F171" s="1057">
        <v>1110</v>
      </c>
      <c r="H171" s="1064"/>
    </row>
    <row r="172" spans="1:8" s="1033" customFormat="1" ht="14.25" customHeight="1" thickBot="1">
      <c r="A172" s="1045" t="s">
        <v>1389</v>
      </c>
      <c r="B172" s="1039" t="s">
        <v>1200</v>
      </c>
      <c r="C172" s="1039">
        <v>7210</v>
      </c>
      <c r="D172" s="1039">
        <v>7170</v>
      </c>
      <c r="E172" s="1039">
        <v>7320</v>
      </c>
      <c r="F172" s="1066"/>
      <c r="H172" s="1064"/>
    </row>
    <row r="173" spans="1:8" s="1033" customFormat="1" ht="14.25" customHeight="1" thickBot="1">
      <c r="A173" s="1045" t="s">
        <v>1389</v>
      </c>
      <c r="B173" s="1039" t="s">
        <v>1210</v>
      </c>
      <c r="C173" s="1039">
        <v>6860</v>
      </c>
      <c r="D173" s="1039">
        <v>6810</v>
      </c>
      <c r="E173" s="1039">
        <v>7440</v>
      </c>
      <c r="F173" s="1066"/>
      <c r="H173" s="1064"/>
    </row>
    <row r="174" spans="1:8" s="1033" customFormat="1" ht="14.25" customHeight="1" thickBot="1">
      <c r="A174" s="1045" t="s">
        <v>1389</v>
      </c>
      <c r="B174" s="1039" t="s">
        <v>1220</v>
      </c>
      <c r="C174" s="1039">
        <v>7120</v>
      </c>
      <c r="D174" s="1039">
        <v>7090</v>
      </c>
      <c r="E174" s="1039">
        <v>7500</v>
      </c>
      <c r="F174" s="1057">
        <v>1490</v>
      </c>
      <c r="H174" s="1064"/>
    </row>
    <row r="175" spans="1:8" s="1033" customFormat="1" ht="14.25" customHeight="1" thickBot="1">
      <c r="A175" s="1045" t="s">
        <v>1389</v>
      </c>
      <c r="B175" s="1039" t="s">
        <v>1230</v>
      </c>
      <c r="C175" s="1039">
        <v>7850</v>
      </c>
      <c r="D175" s="1039">
        <v>7820</v>
      </c>
      <c r="E175" s="1039">
        <v>8120</v>
      </c>
      <c r="F175" s="1057">
        <v>1530</v>
      </c>
      <c r="H175" s="1064"/>
    </row>
    <row r="176" spans="1:8" s="1033" customFormat="1" ht="14.25" customHeight="1" thickBot="1">
      <c r="A176" s="1045" t="s">
        <v>1389</v>
      </c>
      <c r="B176" s="1039" t="s">
        <v>1240</v>
      </c>
      <c r="C176" s="1039">
        <v>7620</v>
      </c>
      <c r="D176" s="1039">
        <v>7570</v>
      </c>
      <c r="E176" s="1039">
        <v>7990</v>
      </c>
      <c r="F176" s="1057">
        <v>1480</v>
      </c>
      <c r="H176" s="1064"/>
    </row>
    <row r="177" spans="1:8" s="1033" customFormat="1" ht="14.25" customHeight="1" thickBot="1">
      <c r="A177" s="1045" t="s">
        <v>1389</v>
      </c>
      <c r="B177" s="1039" t="s">
        <v>1249</v>
      </c>
      <c r="C177" s="1039">
        <v>8590</v>
      </c>
      <c r="D177" s="1039">
        <v>8570</v>
      </c>
      <c r="E177" s="1039">
        <v>8740</v>
      </c>
      <c r="F177" s="1057">
        <v>1540</v>
      </c>
      <c r="H177" s="1064"/>
    </row>
    <row r="178" spans="1:8" s="1033" customFormat="1" ht="14.25" customHeight="1" thickBot="1">
      <c r="A178" s="1045" t="s">
        <v>1389</v>
      </c>
      <c r="B178" s="1039" t="s">
        <v>1258</v>
      </c>
      <c r="C178" s="1039">
        <v>7510</v>
      </c>
      <c r="D178" s="1039">
        <v>7470</v>
      </c>
      <c r="E178" s="1039">
        <v>8090</v>
      </c>
      <c r="F178" s="1057">
        <v>1320</v>
      </c>
      <c r="H178" s="1064"/>
    </row>
    <row r="179" spans="1:8" s="1033" customFormat="1" ht="14.25" customHeight="1" thickBot="1">
      <c r="A179" s="1045" t="s">
        <v>1389</v>
      </c>
      <c r="B179" s="1039" t="s">
        <v>1266</v>
      </c>
      <c r="C179" s="1039">
        <v>6380</v>
      </c>
      <c r="D179" s="1039">
        <v>6340</v>
      </c>
      <c r="E179" s="1039">
        <v>6810</v>
      </c>
      <c r="F179" s="1066"/>
      <c r="H179" s="1064"/>
    </row>
    <row r="180" spans="1:8" s="1033" customFormat="1" ht="14.25" customHeight="1" thickBot="1">
      <c r="A180" s="1045" t="s">
        <v>1389</v>
      </c>
      <c r="B180" s="1039" t="s">
        <v>1273</v>
      </c>
      <c r="C180" s="1039">
        <v>7830</v>
      </c>
      <c r="D180" s="1039">
        <v>7800</v>
      </c>
      <c r="E180" s="1039">
        <v>7780</v>
      </c>
      <c r="F180" s="1057">
        <v>1440</v>
      </c>
      <c r="H180" s="1064"/>
    </row>
    <row r="181" spans="1:8" s="1033" customFormat="1" ht="14.25" customHeight="1" thickBot="1">
      <c r="A181" s="1045" t="s">
        <v>1389</v>
      </c>
      <c r="B181" s="1039" t="s">
        <v>1280</v>
      </c>
      <c r="C181" s="1039">
        <v>7110</v>
      </c>
      <c r="D181" s="1039">
        <v>7080</v>
      </c>
      <c r="E181" s="1039">
        <v>7730</v>
      </c>
      <c r="F181" s="1057">
        <v>1350</v>
      </c>
      <c r="H181" s="1064"/>
    </row>
    <row r="182" spans="1:8" s="1033" customFormat="1" ht="14.25" customHeight="1" thickBot="1">
      <c r="A182" s="1045" t="s">
        <v>1389</v>
      </c>
      <c r="B182" s="1039" t="s">
        <v>1287</v>
      </c>
      <c r="C182" s="1039">
        <v>7310</v>
      </c>
      <c r="D182" s="1039">
        <v>7280</v>
      </c>
      <c r="E182" s="1039">
        <v>7950</v>
      </c>
      <c r="F182" s="1057">
        <v>1220</v>
      </c>
      <c r="H182" s="1064"/>
    </row>
    <row r="183" spans="1:8" s="1033" customFormat="1" ht="14.25" customHeight="1" thickBot="1">
      <c r="A183" s="1045" t="s">
        <v>1389</v>
      </c>
      <c r="B183" s="1039" t="s">
        <v>1294</v>
      </c>
      <c r="C183" s="1039">
        <v>7470</v>
      </c>
      <c r="D183" s="1039">
        <v>7440</v>
      </c>
      <c r="E183" s="1039">
        <v>7880</v>
      </c>
      <c r="F183" s="1066"/>
      <c r="H183" s="1064"/>
    </row>
    <row r="184" spans="1:8" s="1033" customFormat="1" ht="14.25" customHeight="1" thickBot="1">
      <c r="A184" s="1045" t="s">
        <v>1389</v>
      </c>
      <c r="B184" s="1039" t="s">
        <v>1301</v>
      </c>
      <c r="C184" s="1039">
        <v>6960</v>
      </c>
      <c r="D184" s="1039">
        <v>6930</v>
      </c>
      <c r="E184" s="1039">
        <v>7570</v>
      </c>
      <c r="F184" s="1066"/>
      <c r="H184" s="1064"/>
    </row>
    <row r="185" spans="1:8" s="1033" customFormat="1" ht="14.25" customHeight="1" thickBot="1">
      <c r="A185" s="1045" t="s">
        <v>1389</v>
      </c>
      <c r="B185" s="1039" t="s">
        <v>1308</v>
      </c>
      <c r="C185" s="1039">
        <v>7260</v>
      </c>
      <c r="D185" s="1039">
        <v>7230</v>
      </c>
      <c r="E185" s="1039">
        <v>7710</v>
      </c>
      <c r="F185" s="1057">
        <v>1360</v>
      </c>
      <c r="H185" s="1064"/>
    </row>
    <row r="186" spans="1:8" s="1033" customFormat="1" ht="14.25" customHeight="1" thickBot="1">
      <c r="A186" s="1045" t="s">
        <v>1389</v>
      </c>
      <c r="B186" s="1039" t="s">
        <v>1313</v>
      </c>
      <c r="C186" s="1039"/>
      <c r="D186" s="1039"/>
      <c r="E186" s="1039"/>
      <c r="F186" s="1057">
        <v>1560</v>
      </c>
      <c r="H186" s="1064"/>
    </row>
    <row r="187" spans="1:8" s="1033" customFormat="1" ht="14.25" customHeight="1" thickBot="1">
      <c r="A187" s="1045" t="s">
        <v>1389</v>
      </c>
      <c r="B187" s="1039" t="s">
        <v>1317</v>
      </c>
      <c r="C187" s="1039"/>
      <c r="D187" s="1039"/>
      <c r="E187" s="1039"/>
      <c r="F187" s="1057">
        <v>1560</v>
      </c>
      <c r="H187" s="1064"/>
    </row>
    <row r="188" spans="1:8" s="1033" customFormat="1" ht="14.25" customHeight="1" thickBot="1">
      <c r="A188" s="1045" t="s">
        <v>1389</v>
      </c>
      <c r="B188" s="1039" t="s">
        <v>1322</v>
      </c>
      <c r="C188" s="1039"/>
      <c r="D188" s="1039"/>
      <c r="E188" s="1039"/>
      <c r="F188" s="1057">
        <v>1560</v>
      </c>
      <c r="H188" s="1064"/>
    </row>
    <row r="189" spans="1:8" s="1033" customFormat="1" ht="14.25" customHeight="1" thickBot="1">
      <c r="A189" s="1045" t="s">
        <v>1389</v>
      </c>
      <c r="B189" s="1039" t="s">
        <v>1327</v>
      </c>
      <c r="C189" s="1039"/>
      <c r="D189" s="1039"/>
      <c r="E189" s="1039"/>
      <c r="F189" s="1057">
        <v>1320</v>
      </c>
      <c r="H189" s="1064"/>
    </row>
    <row r="190" spans="1:8" s="1033" customFormat="1" ht="14.25" customHeight="1" thickBot="1">
      <c r="A190" s="1045" t="s">
        <v>1389</v>
      </c>
      <c r="B190" s="1039" t="s">
        <v>1332</v>
      </c>
      <c r="C190" s="1039"/>
      <c r="D190" s="1039"/>
      <c r="E190" s="1039"/>
      <c r="F190" s="1057">
        <v>1320</v>
      </c>
      <c r="H190" s="1064"/>
    </row>
    <row r="191" spans="1:8" s="1033" customFormat="1" ht="14.25" customHeight="1" thickBot="1">
      <c r="A191" s="1045" t="s">
        <v>1389</v>
      </c>
      <c r="B191" s="1039" t="s">
        <v>1337</v>
      </c>
      <c r="C191" s="1039"/>
      <c r="D191" s="1039"/>
      <c r="E191" s="1039"/>
      <c r="F191" s="1057">
        <v>1320</v>
      </c>
      <c r="H191" s="1064"/>
    </row>
    <row r="192" spans="1:8" s="1033" customFormat="1" ht="14.25" customHeight="1" thickBot="1">
      <c r="A192" s="1045" t="s">
        <v>1389</v>
      </c>
      <c r="B192" s="1039" t="s">
        <v>1341</v>
      </c>
      <c r="C192" s="1039"/>
      <c r="D192" s="1039"/>
      <c r="E192" s="1039"/>
      <c r="F192" s="1057">
        <v>1100</v>
      </c>
      <c r="H192" s="1064"/>
    </row>
    <row r="193" spans="1:8" s="1033" customFormat="1" ht="14.25" customHeight="1" thickBot="1">
      <c r="A193" s="1045" t="s">
        <v>1389</v>
      </c>
      <c r="B193" s="1039" t="s">
        <v>1345</v>
      </c>
      <c r="C193" s="1039"/>
      <c r="D193" s="1039"/>
      <c r="E193" s="1039"/>
      <c r="F193" s="1057">
        <v>1100</v>
      </c>
      <c r="H193" s="1064"/>
    </row>
    <row r="194" spans="1:8" s="1033" customFormat="1" ht="14.25" customHeight="1" thickBot="1">
      <c r="A194" s="1045" t="s">
        <v>1389</v>
      </c>
      <c r="B194" s="1039" t="s">
        <v>1349</v>
      </c>
      <c r="C194" s="1039"/>
      <c r="D194" s="1039"/>
      <c r="E194" s="1039"/>
      <c r="F194" s="1057">
        <v>1080</v>
      </c>
      <c r="H194" s="1064"/>
    </row>
    <row r="195" spans="1:8" s="1033" customFormat="1" ht="14.25" customHeight="1" thickBot="1">
      <c r="A195" s="1045" t="s">
        <v>1389</v>
      </c>
      <c r="B195" s="1039" t="s">
        <v>1353</v>
      </c>
      <c r="C195" s="1039"/>
      <c r="D195" s="1039"/>
      <c r="E195" s="1039"/>
      <c r="F195" s="1057">
        <v>1270</v>
      </c>
      <c r="H195" s="1064"/>
    </row>
    <row r="196" spans="1:8" s="1033" customFormat="1" ht="14.25" customHeight="1" thickBot="1">
      <c r="A196" s="1045" t="s">
        <v>1389</v>
      </c>
      <c r="B196" s="1039" t="s">
        <v>1357</v>
      </c>
      <c r="C196" s="1039"/>
      <c r="D196" s="1039"/>
      <c r="E196" s="1039"/>
      <c r="F196" s="1057">
        <v>1150</v>
      </c>
      <c r="H196" s="1064"/>
    </row>
    <row r="197" spans="1:8" s="1033" customFormat="1" ht="14.25" customHeight="1" thickBot="1">
      <c r="A197" s="1045" t="s">
        <v>1389</v>
      </c>
      <c r="B197" s="1039" t="s">
        <v>1361</v>
      </c>
      <c r="C197" s="1039"/>
      <c r="D197" s="1039"/>
      <c r="E197" s="1039"/>
      <c r="F197" s="1057">
        <v>1330</v>
      </c>
      <c r="H197" s="1064"/>
    </row>
    <row r="198" spans="1:8" s="1033" customFormat="1" ht="14.25" customHeight="1" thickBot="1">
      <c r="A198" s="1045" t="s">
        <v>1389</v>
      </c>
      <c r="B198" s="1039" t="s">
        <v>1364</v>
      </c>
      <c r="C198" s="1039"/>
      <c r="D198" s="1039"/>
      <c r="E198" s="1039"/>
      <c r="F198" s="1057">
        <v>1170</v>
      </c>
      <c r="H198" s="1064"/>
    </row>
    <row r="199" spans="1:8" s="1033" customFormat="1" ht="14.25" customHeight="1" thickBot="1">
      <c r="A199" s="1045" t="s">
        <v>1389</v>
      </c>
      <c r="B199" s="1039" t="s">
        <v>1367</v>
      </c>
      <c r="C199" s="1039"/>
      <c r="D199" s="1039"/>
      <c r="E199" s="1039"/>
      <c r="F199" s="1057">
        <v>1120</v>
      </c>
      <c r="H199" s="1064"/>
    </row>
    <row r="200" spans="1:8" s="1033" customFormat="1" ht="14.25" customHeight="1" thickBot="1">
      <c r="A200" s="1045" t="s">
        <v>1389</v>
      </c>
      <c r="B200" s="1039" t="s">
        <v>1370</v>
      </c>
      <c r="C200" s="1039"/>
      <c r="D200" s="1039"/>
      <c r="E200" s="1039"/>
      <c r="F200" s="1057">
        <v>1120</v>
      </c>
      <c r="H200" s="1064"/>
    </row>
    <row r="201" spans="1:8" s="1033" customFormat="1" ht="14.25" customHeight="1" thickBot="1">
      <c r="A201" s="1045" t="s">
        <v>1389</v>
      </c>
      <c r="B201" s="1039" t="s">
        <v>1373</v>
      </c>
      <c r="C201" s="1039"/>
      <c r="D201" s="1039"/>
      <c r="E201" s="1039"/>
      <c r="F201" s="1057">
        <v>1540</v>
      </c>
      <c r="H201" s="1064"/>
    </row>
    <row r="202" spans="1:8" s="1033" customFormat="1" ht="14.25" customHeight="1" thickBot="1">
      <c r="A202" s="1045" t="s">
        <v>1389</v>
      </c>
      <c r="B202" s="1039" t="s">
        <v>1376</v>
      </c>
      <c r="C202" s="1039"/>
      <c r="D202" s="1039"/>
      <c r="E202" s="1039"/>
      <c r="F202" s="1057">
        <v>1310</v>
      </c>
      <c r="H202" s="1064"/>
    </row>
    <row r="203" spans="1:8" s="1033" customFormat="1" ht="14.25" customHeight="1" thickBot="1">
      <c r="A203" s="1045" t="s">
        <v>1389</v>
      </c>
      <c r="B203" s="1039" t="s">
        <v>1379</v>
      </c>
      <c r="C203" s="1039"/>
      <c r="D203" s="1039"/>
      <c r="E203" s="1039"/>
      <c r="F203" s="1057">
        <v>1310</v>
      </c>
      <c r="H203" s="1064"/>
    </row>
    <row r="204" spans="1:8" s="1033" customFormat="1" ht="14.25" customHeight="1" thickBot="1">
      <c r="A204" s="1045" t="s">
        <v>1389</v>
      </c>
      <c r="B204" s="1039" t="s">
        <v>1381</v>
      </c>
      <c r="C204" s="1039"/>
      <c r="D204" s="1039"/>
      <c r="E204" s="1039"/>
      <c r="F204" s="1057">
        <v>1080</v>
      </c>
      <c r="H204" s="1064"/>
    </row>
    <row r="205" spans="1:8" s="1033" customFormat="1" ht="14.25" customHeight="1" thickBot="1">
      <c r="A205" s="1045" t="s">
        <v>1389</v>
      </c>
      <c r="B205" s="1039" t="s">
        <v>1384</v>
      </c>
      <c r="C205" s="1039"/>
      <c r="D205" s="1039"/>
      <c r="E205" s="1039"/>
      <c r="F205" s="1057">
        <v>1080</v>
      </c>
      <c r="H205" s="1064"/>
    </row>
    <row r="206" spans="1:8" s="1033" customFormat="1" ht="14.25" customHeight="1" thickBot="1">
      <c r="A206" s="1045" t="s">
        <v>1391</v>
      </c>
      <c r="B206" s="1046" t="s">
        <v>1392</v>
      </c>
      <c r="C206" s="1046">
        <v>5450</v>
      </c>
      <c r="D206" s="1046">
        <v>5430</v>
      </c>
      <c r="E206" s="1046">
        <v>5700</v>
      </c>
      <c r="F206" s="1047">
        <v>1020</v>
      </c>
      <c r="H206" s="1064"/>
    </row>
    <row r="207" spans="1:8" s="1033" customFormat="1" ht="14.25" customHeight="1" thickBot="1">
      <c r="A207" s="1045" t="s">
        <v>1391</v>
      </c>
      <c r="B207" s="1039" t="s">
        <v>1055</v>
      </c>
      <c r="C207" s="1039">
        <v>5860</v>
      </c>
      <c r="D207" s="1039">
        <v>5820</v>
      </c>
      <c r="E207" s="1039">
        <v>6050</v>
      </c>
      <c r="F207" s="1057">
        <v>1080</v>
      </c>
      <c r="H207" s="1064"/>
    </row>
    <row r="208" spans="1:8" s="1033" customFormat="1" ht="14.25" customHeight="1" thickBot="1">
      <c r="A208" s="1045" t="s">
        <v>1391</v>
      </c>
      <c r="B208" s="1039" t="s">
        <v>1069</v>
      </c>
      <c r="C208" s="1039">
        <v>4630</v>
      </c>
      <c r="D208" s="1039">
        <v>4600</v>
      </c>
      <c r="E208" s="1039">
        <v>4840</v>
      </c>
      <c r="F208" s="1057">
        <v>900</v>
      </c>
      <c r="H208" s="1064"/>
    </row>
    <row r="209" spans="1:8" s="1033" customFormat="1" ht="14.25" customHeight="1" thickBot="1">
      <c r="A209" s="1045" t="s">
        <v>1391</v>
      </c>
      <c r="B209" s="1039" t="s">
        <v>1082</v>
      </c>
      <c r="C209" s="1039">
        <v>5320</v>
      </c>
      <c r="D209" s="1039">
        <v>5270</v>
      </c>
      <c r="E209" s="1039">
        <v>5540</v>
      </c>
      <c r="F209" s="1057">
        <v>980</v>
      </c>
      <c r="H209" s="1064"/>
    </row>
    <row r="210" spans="1:8" s="1033" customFormat="1" ht="14.25" customHeight="1" thickBot="1">
      <c r="A210" s="1045" t="s">
        <v>1391</v>
      </c>
      <c r="B210" s="1039" t="s">
        <v>1096</v>
      </c>
      <c r="C210" s="1039">
        <v>5760</v>
      </c>
      <c r="D210" s="1039">
        <v>5710</v>
      </c>
      <c r="E210" s="1039">
        <v>6010</v>
      </c>
      <c r="F210" s="1057">
        <v>870</v>
      </c>
      <c r="H210" s="1064"/>
    </row>
    <row r="211" spans="1:8" s="1033" customFormat="1" ht="14.25" customHeight="1" thickBot="1">
      <c r="A211" s="1045" t="s">
        <v>1391</v>
      </c>
      <c r="B211" s="1039" t="s">
        <v>1107</v>
      </c>
      <c r="C211" s="1039">
        <v>4160</v>
      </c>
      <c r="D211" s="1039">
        <v>4100</v>
      </c>
      <c r="E211" s="1039">
        <v>4270</v>
      </c>
      <c r="F211" s="1057">
        <v>790</v>
      </c>
      <c r="H211" s="1064"/>
    </row>
    <row r="212" spans="1:8" s="1033" customFormat="1" ht="14.25" customHeight="1" thickBot="1">
      <c r="A212" s="1045" t="s">
        <v>1391</v>
      </c>
      <c r="B212" s="1039" t="s">
        <v>1118</v>
      </c>
      <c r="C212" s="1039">
        <v>4880</v>
      </c>
      <c r="D212" s="1039">
        <v>4850</v>
      </c>
      <c r="E212" s="1039">
        <v>5110</v>
      </c>
      <c r="F212" s="1057">
        <v>940</v>
      </c>
      <c r="H212" s="1064"/>
    </row>
    <row r="213" spans="1:8" s="1033" customFormat="1" ht="14.25" customHeight="1" thickBot="1">
      <c r="A213" s="1045" t="s">
        <v>1391</v>
      </c>
      <c r="B213" s="1039" t="s">
        <v>1129</v>
      </c>
      <c r="C213" s="1039">
        <v>4640</v>
      </c>
      <c r="D213" s="1039">
        <v>4590</v>
      </c>
      <c r="E213" s="1039">
        <v>4700</v>
      </c>
      <c r="F213" s="1057">
        <v>1030</v>
      </c>
      <c r="H213" s="1064"/>
    </row>
    <row r="214" spans="1:8" s="1033" customFormat="1" ht="14.25" customHeight="1" thickBot="1">
      <c r="A214" s="1045" t="s">
        <v>1391</v>
      </c>
      <c r="B214" s="1039" t="s">
        <v>1141</v>
      </c>
      <c r="C214" s="1039">
        <v>4540</v>
      </c>
      <c r="D214" s="1039">
        <v>4490</v>
      </c>
      <c r="E214" s="1039">
        <v>4610</v>
      </c>
      <c r="F214" s="1066"/>
      <c r="H214" s="1064"/>
    </row>
    <row r="215" spans="1:8" s="1033" customFormat="1" ht="14.25" customHeight="1" thickBot="1">
      <c r="A215" s="1045" t="s">
        <v>1391</v>
      </c>
      <c r="B215" s="1039" t="s">
        <v>1151</v>
      </c>
      <c r="C215" s="1039">
        <v>5280</v>
      </c>
      <c r="D215" s="1039">
        <v>5250</v>
      </c>
      <c r="E215" s="1039">
        <v>5520</v>
      </c>
      <c r="F215" s="1057">
        <v>1000</v>
      </c>
      <c r="H215" s="1064"/>
    </row>
    <row r="216" spans="1:8" s="1033" customFormat="1" ht="14.25" customHeight="1" thickBot="1">
      <c r="A216" s="1045" t="s">
        <v>1391</v>
      </c>
      <c r="B216" s="1039" t="s">
        <v>1161</v>
      </c>
      <c r="C216" s="1039">
        <v>5100</v>
      </c>
      <c r="D216" s="1039">
        <v>5050</v>
      </c>
      <c r="E216" s="1039">
        <v>5300</v>
      </c>
      <c r="F216" s="1057">
        <v>950</v>
      </c>
      <c r="H216" s="1064"/>
    </row>
    <row r="217" spans="1:8" s="1033" customFormat="1" ht="14.25" customHeight="1" thickBot="1">
      <c r="A217" s="1045" t="s">
        <v>1391</v>
      </c>
      <c r="B217" s="1039" t="s">
        <v>1171</v>
      </c>
      <c r="C217" s="1039">
        <v>5370</v>
      </c>
      <c r="D217" s="1039">
        <v>5320</v>
      </c>
      <c r="E217" s="1039">
        <v>5410</v>
      </c>
      <c r="F217" s="1057">
        <v>950</v>
      </c>
      <c r="H217" s="1064"/>
    </row>
    <row r="218" spans="1:8" s="1033" customFormat="1" ht="14.25" customHeight="1" thickBot="1">
      <c r="A218" s="1045" t="s">
        <v>1391</v>
      </c>
      <c r="B218" s="1039" t="s">
        <v>1181</v>
      </c>
      <c r="C218" s="1039">
        <v>5540</v>
      </c>
      <c r="D218" s="1039">
        <v>5480</v>
      </c>
      <c r="E218" s="1039">
        <v>5740</v>
      </c>
      <c r="F218" s="1057">
        <v>1020</v>
      </c>
      <c r="H218" s="1064"/>
    </row>
    <row r="219" spans="1:8" s="1033" customFormat="1" ht="14.25" customHeight="1" thickBot="1">
      <c r="A219" s="1045" t="s">
        <v>1391</v>
      </c>
      <c r="B219" s="1039" t="s">
        <v>1191</v>
      </c>
      <c r="C219" s="1039">
        <v>5140</v>
      </c>
      <c r="D219" s="1039">
        <v>5100</v>
      </c>
      <c r="E219" s="1039">
        <v>5350</v>
      </c>
      <c r="F219" s="1057">
        <v>1120</v>
      </c>
      <c r="H219" s="1064"/>
    </row>
    <row r="220" spans="1:8" s="1033" customFormat="1" ht="14.25" customHeight="1" thickBot="1">
      <c r="A220" s="1045" t="s">
        <v>1391</v>
      </c>
      <c r="B220" s="1039" t="s">
        <v>1201</v>
      </c>
      <c r="C220" s="1039">
        <v>5040</v>
      </c>
      <c r="D220" s="1039">
        <v>5000</v>
      </c>
      <c r="E220" s="1039">
        <v>5240</v>
      </c>
      <c r="F220" s="1057">
        <v>980</v>
      </c>
      <c r="H220" s="1064"/>
    </row>
    <row r="221" spans="1:8" s="1033" customFormat="1" ht="14.25" customHeight="1" thickBot="1">
      <c r="A221" s="1045" t="s">
        <v>1391</v>
      </c>
      <c r="B221" s="1039" t="s">
        <v>1211</v>
      </c>
      <c r="C221" s="1067"/>
      <c r="D221" s="1067"/>
      <c r="E221" s="1067"/>
      <c r="F221" s="1057">
        <v>1070</v>
      </c>
      <c r="H221" s="1064"/>
    </row>
    <row r="222" spans="1:8" s="1033" customFormat="1" ht="14.25" customHeight="1" thickBot="1">
      <c r="A222" s="1045" t="s">
        <v>1391</v>
      </c>
      <c r="B222" s="1039" t="s">
        <v>1221</v>
      </c>
      <c r="C222" s="1067"/>
      <c r="D222" s="1067"/>
      <c r="E222" s="1067"/>
      <c r="F222" s="1057">
        <v>870</v>
      </c>
      <c r="H222" s="1064"/>
    </row>
    <row r="223" spans="1:8" s="1033" customFormat="1" ht="14.25" customHeight="1" thickBot="1">
      <c r="A223" s="1045" t="s">
        <v>1391</v>
      </c>
      <c r="B223" s="1039" t="s">
        <v>1231</v>
      </c>
      <c r="C223" s="1067"/>
      <c r="D223" s="1067"/>
      <c r="E223" s="1067"/>
      <c r="F223" s="1057">
        <v>940</v>
      </c>
      <c r="H223" s="1064"/>
    </row>
    <row r="224" spans="1:8" s="1033" customFormat="1" ht="14.25" customHeight="1" thickBot="1">
      <c r="A224" s="1045" t="s">
        <v>1391</v>
      </c>
      <c r="B224" s="1039" t="s">
        <v>1241</v>
      </c>
      <c r="C224" s="1067"/>
      <c r="D224" s="1067"/>
      <c r="E224" s="1067"/>
      <c r="F224" s="1057">
        <v>990</v>
      </c>
      <c r="H224" s="1064"/>
    </row>
    <row r="225" spans="1:8" s="1033" customFormat="1" ht="14.25" customHeight="1" thickBot="1">
      <c r="A225" s="1045" t="s">
        <v>1391</v>
      </c>
      <c r="B225" s="1039" t="s">
        <v>1250</v>
      </c>
      <c r="C225" s="1039">
        <v>5730</v>
      </c>
      <c r="D225" s="1039">
        <v>5680</v>
      </c>
      <c r="E225" s="1039">
        <v>6020</v>
      </c>
      <c r="F225" s="1057">
        <v>1000</v>
      </c>
      <c r="H225" s="1064"/>
    </row>
    <row r="226" spans="1:8" s="1033" customFormat="1" ht="14.25" customHeight="1" thickBot="1">
      <c r="A226" s="1045" t="s">
        <v>1391</v>
      </c>
      <c r="B226" s="1039" t="s">
        <v>1259</v>
      </c>
      <c r="C226" s="1039">
        <v>4970</v>
      </c>
      <c r="D226" s="1039">
        <v>4940</v>
      </c>
      <c r="E226" s="1039">
        <v>5180</v>
      </c>
      <c r="F226" s="1057">
        <v>960</v>
      </c>
      <c r="H226" s="1064"/>
    </row>
    <row r="227" spans="1:8" s="1033" customFormat="1" ht="14.25" customHeight="1" thickBot="1">
      <c r="A227" s="1045" t="s">
        <v>1391</v>
      </c>
      <c r="B227" s="1039" t="s">
        <v>1267</v>
      </c>
      <c r="C227" s="1039">
        <v>5550</v>
      </c>
      <c r="D227" s="1039">
        <v>5500</v>
      </c>
      <c r="E227" s="1039">
        <v>5780</v>
      </c>
      <c r="F227" s="1057">
        <v>940</v>
      </c>
      <c r="H227" s="1064"/>
    </row>
    <row r="228" spans="1:8" s="1033" customFormat="1" ht="14.25" customHeight="1" thickBot="1">
      <c r="A228" s="1045" t="s">
        <v>1391</v>
      </c>
      <c r="B228" s="1039" t="s">
        <v>1274</v>
      </c>
      <c r="C228" s="1039">
        <v>5460</v>
      </c>
      <c r="D228" s="1039">
        <v>5420</v>
      </c>
      <c r="E228" s="1039">
        <v>5690</v>
      </c>
      <c r="F228" s="1057">
        <v>910</v>
      </c>
      <c r="H228" s="1064"/>
    </row>
    <row r="229" spans="1:8" s="1033" customFormat="1" ht="14.25" customHeight="1" thickBot="1">
      <c r="A229" s="1045" t="s">
        <v>1391</v>
      </c>
      <c r="B229" s="1039" t="s">
        <v>1281</v>
      </c>
      <c r="C229" s="1039">
        <v>5310</v>
      </c>
      <c r="D229" s="1039">
        <v>5270</v>
      </c>
      <c r="E229" s="1039">
        <v>5510</v>
      </c>
      <c r="F229" s="1066"/>
      <c r="H229" s="1064"/>
    </row>
    <row r="230" spans="1:8" s="1033" customFormat="1" ht="14.25" customHeight="1" thickBot="1">
      <c r="A230" s="1045" t="s">
        <v>1391</v>
      </c>
      <c r="B230" s="1039" t="s">
        <v>1288</v>
      </c>
      <c r="C230" s="1039">
        <v>4540</v>
      </c>
      <c r="D230" s="1039">
        <v>4500</v>
      </c>
      <c r="E230" s="1039">
        <v>4730</v>
      </c>
      <c r="F230" s="1066"/>
      <c r="H230" s="1064"/>
    </row>
    <row r="231" spans="1:8" s="1033" customFormat="1" ht="14.25" customHeight="1" thickBot="1">
      <c r="A231" s="1045" t="s">
        <v>1391</v>
      </c>
      <c r="B231" s="1039" t="s">
        <v>1295</v>
      </c>
      <c r="C231" s="1039">
        <v>4480</v>
      </c>
      <c r="D231" s="1039">
        <v>4410</v>
      </c>
      <c r="E231" s="1039">
        <v>4640</v>
      </c>
      <c r="F231" s="1066"/>
      <c r="H231" s="1064"/>
    </row>
    <row r="232" spans="1:8" s="1033" customFormat="1" ht="14.25" customHeight="1" thickBot="1">
      <c r="A232" s="1045" t="s">
        <v>1391</v>
      </c>
      <c r="B232" s="1039" t="s">
        <v>1302</v>
      </c>
      <c r="C232" s="1039">
        <v>5670</v>
      </c>
      <c r="D232" s="1039">
        <v>5600</v>
      </c>
      <c r="E232" s="1039">
        <v>5890</v>
      </c>
      <c r="F232" s="1057">
        <v>1150</v>
      </c>
      <c r="H232" s="1064"/>
    </row>
    <row r="233" spans="1:8" s="1033" customFormat="1" ht="14.25" customHeight="1" thickBot="1">
      <c r="A233" s="1045" t="s">
        <v>1391</v>
      </c>
      <c r="B233" s="1039" t="s">
        <v>1309</v>
      </c>
      <c r="C233" s="1039">
        <v>4590</v>
      </c>
      <c r="D233" s="1039">
        <v>4500</v>
      </c>
      <c r="E233" s="1039">
        <v>4600</v>
      </c>
      <c r="F233" s="1066"/>
      <c r="H233" s="1064"/>
    </row>
    <row r="234" spans="1:8" s="1033" customFormat="1" ht="14.25" customHeight="1" thickBot="1">
      <c r="A234" s="1045" t="s">
        <v>1391</v>
      </c>
      <c r="B234" s="1039" t="s">
        <v>2209</v>
      </c>
      <c r="C234" s="1039">
        <v>3990</v>
      </c>
      <c r="D234" s="1039">
        <v>3950</v>
      </c>
      <c r="E234" s="1039">
        <v>4180</v>
      </c>
      <c r="F234" s="1066"/>
      <c r="H234" s="1064"/>
    </row>
    <row r="235" spans="1:8" s="1033" customFormat="1" ht="14.25" customHeight="1" thickBot="1">
      <c r="A235" s="1045" t="s">
        <v>1391</v>
      </c>
      <c r="B235" s="1039" t="s">
        <v>1318</v>
      </c>
      <c r="C235" s="1039">
        <v>5590</v>
      </c>
      <c r="D235" s="1039">
        <v>5540</v>
      </c>
      <c r="E235" s="1039">
        <v>5810</v>
      </c>
      <c r="F235" s="1057">
        <v>970</v>
      </c>
      <c r="H235" s="1064"/>
    </row>
    <row r="236" spans="1:8" s="1033" customFormat="1" ht="14.25" customHeight="1" thickBot="1">
      <c r="A236" s="1045" t="s">
        <v>1391</v>
      </c>
      <c r="B236" s="1039" t="s">
        <v>1323</v>
      </c>
      <c r="C236" s="1039"/>
      <c r="D236" s="1039"/>
      <c r="E236" s="1039"/>
      <c r="F236" s="1057">
        <v>1020</v>
      </c>
      <c r="H236" s="1064"/>
    </row>
    <row r="237" spans="1:8" s="1033" customFormat="1" ht="14.25" customHeight="1" thickBot="1">
      <c r="A237" s="1045" t="s">
        <v>1391</v>
      </c>
      <c r="B237" s="1039" t="s">
        <v>1328</v>
      </c>
      <c r="C237" s="1039"/>
      <c r="D237" s="1039"/>
      <c r="E237" s="1039"/>
      <c r="F237" s="1057">
        <v>960</v>
      </c>
      <c r="H237" s="1064"/>
    </row>
    <row r="238" spans="1:8" s="1033" customFormat="1" ht="14.25" customHeight="1" thickBot="1">
      <c r="A238" s="1045" t="s">
        <v>1391</v>
      </c>
      <c r="B238" s="1039" t="s">
        <v>1333</v>
      </c>
      <c r="C238" s="1039"/>
      <c r="D238" s="1039"/>
      <c r="E238" s="1039"/>
      <c r="F238" s="1057">
        <v>960</v>
      </c>
      <c r="H238" s="1064"/>
    </row>
    <row r="239" spans="1:8" s="1033" customFormat="1" ht="14.25" customHeight="1" thickBot="1">
      <c r="A239" s="1045" t="s">
        <v>1391</v>
      </c>
      <c r="B239" s="1039" t="s">
        <v>1338</v>
      </c>
      <c r="C239" s="1039"/>
      <c r="D239" s="1039"/>
      <c r="E239" s="1039"/>
      <c r="F239" s="1057">
        <v>960</v>
      </c>
      <c r="H239" s="1064"/>
    </row>
    <row r="240" spans="1:8" s="1033" customFormat="1" ht="14.25" customHeight="1" thickBot="1">
      <c r="A240" s="1045" t="s">
        <v>1391</v>
      </c>
      <c r="B240" s="1039" t="s">
        <v>1342</v>
      </c>
      <c r="C240" s="1039"/>
      <c r="D240" s="1039"/>
      <c r="E240" s="1039"/>
      <c r="F240" s="1057">
        <v>990</v>
      </c>
      <c r="H240" s="1064"/>
    </row>
    <row r="241" spans="1:8" s="1033" customFormat="1" ht="14.25" customHeight="1" thickBot="1">
      <c r="A241" s="1045" t="s">
        <v>1391</v>
      </c>
      <c r="B241" s="1039" t="s">
        <v>1346</v>
      </c>
      <c r="C241" s="1039"/>
      <c r="D241" s="1039"/>
      <c r="E241" s="1039"/>
      <c r="F241" s="1057">
        <v>1000</v>
      </c>
      <c r="H241" s="1064"/>
    </row>
    <row r="242" spans="1:8" s="1033" customFormat="1" ht="14.25" customHeight="1" thickBot="1">
      <c r="A242" s="1045" t="s">
        <v>1391</v>
      </c>
      <c r="B242" s="1039" t="s">
        <v>1350</v>
      </c>
      <c r="C242" s="1039"/>
      <c r="D242" s="1039"/>
      <c r="E242" s="1039"/>
      <c r="F242" s="1057">
        <v>980</v>
      </c>
      <c r="H242" s="1064"/>
    </row>
    <row r="243" spans="1:8" s="1033" customFormat="1" ht="14.25" customHeight="1" thickBot="1">
      <c r="A243" s="1045" t="s">
        <v>1391</v>
      </c>
      <c r="B243" s="1039" t="s">
        <v>1354</v>
      </c>
      <c r="C243" s="1039"/>
      <c r="D243" s="1039"/>
      <c r="E243" s="1039"/>
      <c r="F243" s="1057">
        <v>970</v>
      </c>
      <c r="H243" s="1064"/>
    </row>
    <row r="244" spans="1:8" s="1033" customFormat="1" ht="14.25" customHeight="1" thickBot="1">
      <c r="A244" s="1045" t="s">
        <v>1391</v>
      </c>
      <c r="B244" s="1055" t="s">
        <v>1358</v>
      </c>
      <c r="C244" s="1055"/>
      <c r="D244" s="1055"/>
      <c r="E244" s="1055"/>
      <c r="F244" s="1065">
        <v>970</v>
      </c>
      <c r="H244" s="1064"/>
    </row>
    <row r="245" spans="1:8" s="1033" customFormat="1" ht="14.25" customHeight="1" thickBot="1">
      <c r="A245" s="1045" t="s">
        <v>1393</v>
      </c>
      <c r="B245" s="1046" t="s">
        <v>1394</v>
      </c>
      <c r="C245" s="1046">
        <v>4050</v>
      </c>
      <c r="D245" s="1046">
        <v>4020</v>
      </c>
      <c r="E245" s="1046">
        <v>4160</v>
      </c>
      <c r="F245" s="1047">
        <v>840</v>
      </c>
      <c r="H245" s="1064"/>
    </row>
    <row r="246" spans="1:8" s="1033" customFormat="1" ht="14.25" customHeight="1" thickBot="1">
      <c r="A246" s="1045" t="s">
        <v>1393</v>
      </c>
      <c r="B246" s="1039" t="s">
        <v>1056</v>
      </c>
      <c r="C246" s="1039">
        <v>4010</v>
      </c>
      <c r="D246" s="1039">
        <v>3960</v>
      </c>
      <c r="E246" s="1039">
        <v>4130</v>
      </c>
      <c r="F246" s="1057">
        <v>840</v>
      </c>
      <c r="H246" s="1064"/>
    </row>
    <row r="247" spans="1:8" s="1033" customFormat="1" ht="14.25" customHeight="1" thickBot="1">
      <c r="A247" s="1045" t="s">
        <v>1393</v>
      </c>
      <c r="B247" s="1039" t="s">
        <v>1395</v>
      </c>
      <c r="C247" s="1039">
        <v>3170</v>
      </c>
      <c r="D247" s="1039">
        <v>3140</v>
      </c>
      <c r="E247" s="1039">
        <v>3270</v>
      </c>
      <c r="F247" s="1057">
        <v>640</v>
      </c>
      <c r="H247" s="1064"/>
    </row>
    <row r="248" spans="1:8" s="1033" customFormat="1" ht="14.25" customHeight="1" thickBot="1">
      <c r="A248" s="1045" t="s">
        <v>1393</v>
      </c>
      <c r="B248" s="1039" t="s">
        <v>1396</v>
      </c>
      <c r="C248" s="1039">
        <v>3140</v>
      </c>
      <c r="D248" s="1039">
        <v>3120</v>
      </c>
      <c r="E248" s="1039">
        <v>3240</v>
      </c>
      <c r="F248" s="1057">
        <v>620</v>
      </c>
      <c r="H248" s="1064"/>
    </row>
    <row r="249" spans="1:8" s="1033" customFormat="1" ht="14.25" customHeight="1" thickBot="1">
      <c r="A249" s="1045" t="s">
        <v>1393</v>
      </c>
      <c r="B249" s="1039" t="s">
        <v>1097</v>
      </c>
      <c r="C249" s="1039">
        <v>3200</v>
      </c>
      <c r="D249" s="1039">
        <v>3100</v>
      </c>
      <c r="E249" s="1039">
        <v>3230</v>
      </c>
      <c r="F249" s="1057">
        <v>750</v>
      </c>
      <c r="H249" s="1064"/>
    </row>
    <row r="250" spans="1:8" s="1033" customFormat="1" ht="14.25" customHeight="1" thickBot="1">
      <c r="A250" s="1045" t="s">
        <v>1393</v>
      </c>
      <c r="B250" s="1039" t="s">
        <v>1108</v>
      </c>
      <c r="C250" s="1039">
        <v>4060</v>
      </c>
      <c r="D250" s="1039">
        <v>4000</v>
      </c>
      <c r="E250" s="1039">
        <v>4140</v>
      </c>
      <c r="F250" s="1057">
        <v>790</v>
      </c>
      <c r="H250" s="1064"/>
    </row>
    <row r="251" spans="1:8" s="1033" customFormat="1" ht="14.25" customHeight="1" thickBot="1">
      <c r="A251" s="1045" t="s">
        <v>1393</v>
      </c>
      <c r="B251" s="1039" t="s">
        <v>1119</v>
      </c>
      <c r="C251" s="1039">
        <v>3990</v>
      </c>
      <c r="D251" s="1039">
        <v>3970</v>
      </c>
      <c r="E251" s="1039">
        <v>4110</v>
      </c>
      <c r="F251" s="1057">
        <v>730</v>
      </c>
      <c r="H251" s="1064"/>
    </row>
    <row r="252" spans="1:8" s="1033" customFormat="1" ht="14.25" customHeight="1" thickBot="1">
      <c r="A252" s="1045" t="s">
        <v>1393</v>
      </c>
      <c r="B252" s="1039" t="s">
        <v>1130</v>
      </c>
      <c r="C252" s="1039">
        <v>3560</v>
      </c>
      <c r="D252" s="1039">
        <v>3530</v>
      </c>
      <c r="E252" s="1039">
        <v>3650</v>
      </c>
      <c r="F252" s="1057">
        <v>750</v>
      </c>
      <c r="H252" s="1064"/>
    </row>
    <row r="253" spans="1:8" s="1033" customFormat="1" ht="14.25" customHeight="1" thickBot="1">
      <c r="A253" s="1045" t="s">
        <v>1393</v>
      </c>
      <c r="B253" s="1039" t="s">
        <v>1142</v>
      </c>
      <c r="C253" s="1039">
        <v>3780</v>
      </c>
      <c r="D253" s="1039">
        <v>3750</v>
      </c>
      <c r="E253" s="1039">
        <v>3870</v>
      </c>
      <c r="F253" s="1057">
        <v>770</v>
      </c>
      <c r="H253" s="1064"/>
    </row>
    <row r="254" spans="1:8" s="1033" customFormat="1" ht="14.25" customHeight="1" thickBot="1">
      <c r="A254" s="1045" t="s">
        <v>1393</v>
      </c>
      <c r="B254" s="1039" t="s">
        <v>1152</v>
      </c>
      <c r="C254" s="1067"/>
      <c r="D254" s="1067"/>
      <c r="E254" s="1067"/>
      <c r="F254" s="1057">
        <v>740</v>
      </c>
      <c r="H254" s="1064"/>
    </row>
    <row r="255" spans="1:8" s="1033" customFormat="1" ht="14.25" customHeight="1" thickBot="1">
      <c r="A255" s="1045" t="s">
        <v>1393</v>
      </c>
      <c r="B255" s="1039" t="s">
        <v>1162</v>
      </c>
      <c r="C255" s="1067"/>
      <c r="D255" s="1067"/>
      <c r="E255" s="1067"/>
      <c r="F255" s="1057">
        <v>760</v>
      </c>
      <c r="H255" s="1064"/>
    </row>
    <row r="256" spans="1:8" s="1033" customFormat="1" ht="14.25" customHeight="1" thickBot="1">
      <c r="A256" s="1045" t="s">
        <v>1393</v>
      </c>
      <c r="B256" s="1039" t="s">
        <v>1172</v>
      </c>
      <c r="C256" s="1039">
        <v>3760</v>
      </c>
      <c r="D256" s="1039">
        <v>3730</v>
      </c>
      <c r="E256" s="1039">
        <v>3870</v>
      </c>
      <c r="F256" s="1057">
        <v>830</v>
      </c>
      <c r="H256" s="1064"/>
    </row>
    <row r="257" spans="1:8" s="1033" customFormat="1" ht="14.25" customHeight="1" thickBot="1">
      <c r="A257" s="1045" t="s">
        <v>1393</v>
      </c>
      <c r="B257" s="1039" t="s">
        <v>1182</v>
      </c>
      <c r="C257" s="1039">
        <v>3570</v>
      </c>
      <c r="D257" s="1039">
        <v>3540</v>
      </c>
      <c r="E257" s="1039">
        <v>3650</v>
      </c>
      <c r="F257" s="1057">
        <v>790</v>
      </c>
      <c r="H257" s="1064"/>
    </row>
    <row r="258" spans="1:8" s="1033" customFormat="1" ht="14.25" customHeight="1" thickBot="1">
      <c r="A258" s="1045" t="s">
        <v>1393</v>
      </c>
      <c r="B258" s="1039" t="s">
        <v>1192</v>
      </c>
      <c r="C258" s="1039">
        <v>3410</v>
      </c>
      <c r="D258" s="1039">
        <v>3380</v>
      </c>
      <c r="E258" s="1039">
        <v>3500</v>
      </c>
      <c r="F258" s="1057">
        <v>830</v>
      </c>
      <c r="H258" s="1064"/>
    </row>
    <row r="259" spans="1:8" s="1033" customFormat="1" ht="14.25" customHeight="1" thickBot="1">
      <c r="A259" s="1045" t="s">
        <v>1393</v>
      </c>
      <c r="B259" s="1039" t="s">
        <v>1202</v>
      </c>
      <c r="C259" s="1039">
        <v>3870</v>
      </c>
      <c r="D259" s="1039">
        <v>3840</v>
      </c>
      <c r="E259" s="1039">
        <v>3970</v>
      </c>
      <c r="F259" s="1057">
        <v>830</v>
      </c>
      <c r="H259" s="1064"/>
    </row>
    <row r="260" spans="1:8" s="1033" customFormat="1" ht="14.25" customHeight="1" thickBot="1">
      <c r="A260" s="1045" t="s">
        <v>1393</v>
      </c>
      <c r="B260" s="1039" t="s">
        <v>1212</v>
      </c>
      <c r="C260" s="1039">
        <v>3700</v>
      </c>
      <c r="D260" s="1039">
        <v>3660</v>
      </c>
      <c r="E260" s="1039">
        <v>3810</v>
      </c>
      <c r="F260" s="1057">
        <v>790</v>
      </c>
      <c r="H260" s="1064"/>
    </row>
    <row r="261" spans="1:8" s="1033" customFormat="1" ht="14.25" customHeight="1" thickBot="1">
      <c r="A261" s="1045" t="s">
        <v>1393</v>
      </c>
      <c r="B261" s="1039" t="s">
        <v>1222</v>
      </c>
      <c r="C261" s="1039">
        <v>3470</v>
      </c>
      <c r="D261" s="1039">
        <v>3430</v>
      </c>
      <c r="E261" s="1039">
        <v>3640</v>
      </c>
      <c r="F261" s="1057">
        <v>760</v>
      </c>
      <c r="H261" s="1064"/>
    </row>
    <row r="262" spans="1:8" s="1033" customFormat="1" ht="14.25" customHeight="1" thickBot="1">
      <c r="A262" s="1045" t="s">
        <v>1393</v>
      </c>
      <c r="B262" s="1039" t="s">
        <v>1232</v>
      </c>
      <c r="C262" s="1039">
        <v>3510</v>
      </c>
      <c r="D262" s="1039">
        <v>3470</v>
      </c>
      <c r="E262" s="1039">
        <v>3680</v>
      </c>
      <c r="F262" s="1066"/>
      <c r="H262" s="1064"/>
    </row>
    <row r="263" spans="1:8" s="1033" customFormat="1" ht="14.25" customHeight="1" thickBot="1">
      <c r="A263" s="1045" t="s">
        <v>1393</v>
      </c>
      <c r="B263" s="1039" t="s">
        <v>1242</v>
      </c>
      <c r="C263" s="1039">
        <v>3960</v>
      </c>
      <c r="D263" s="1039">
        <v>3930</v>
      </c>
      <c r="E263" s="1039">
        <v>4070</v>
      </c>
      <c r="F263" s="1057">
        <v>830</v>
      </c>
      <c r="H263" s="1064"/>
    </row>
    <row r="264" spans="1:8" s="1033" customFormat="1" ht="14.25" customHeight="1" thickBot="1">
      <c r="A264" s="1045" t="s">
        <v>1393</v>
      </c>
      <c r="B264" s="1039" t="s">
        <v>1251</v>
      </c>
      <c r="C264" s="1039">
        <v>4010</v>
      </c>
      <c r="D264" s="1039">
        <v>3980</v>
      </c>
      <c r="E264" s="1039">
        <v>4150</v>
      </c>
      <c r="F264" s="1057">
        <v>760</v>
      </c>
      <c r="H264" s="1064"/>
    </row>
    <row r="265" spans="1:8" s="1033" customFormat="1" ht="14.25" customHeight="1" thickBot="1">
      <c r="A265" s="1045" t="s">
        <v>1393</v>
      </c>
      <c r="B265" s="1039" t="s">
        <v>1260</v>
      </c>
      <c r="C265" s="1039">
        <v>3910</v>
      </c>
      <c r="D265" s="1039">
        <v>3890</v>
      </c>
      <c r="E265" s="1039">
        <v>4040</v>
      </c>
      <c r="F265" s="1057">
        <v>780</v>
      </c>
      <c r="H265" s="1064"/>
    </row>
    <row r="266" spans="1:8" s="1033" customFormat="1" ht="14.25" customHeight="1" thickBot="1">
      <c r="A266" s="1045" t="s">
        <v>1393</v>
      </c>
      <c r="B266" s="1039" t="s">
        <v>1268</v>
      </c>
      <c r="C266" s="1039">
        <v>3930</v>
      </c>
      <c r="D266" s="1039">
        <v>3900</v>
      </c>
      <c r="E266" s="1039">
        <v>4080</v>
      </c>
      <c r="F266" s="1057">
        <v>770</v>
      </c>
      <c r="H266" s="1064"/>
    </row>
    <row r="267" spans="1:8" s="1033" customFormat="1" ht="14.25" customHeight="1" thickBot="1">
      <c r="A267" s="1045" t="s">
        <v>1393</v>
      </c>
      <c r="B267" s="1039" t="s">
        <v>1275</v>
      </c>
      <c r="C267" s="1039">
        <v>3800</v>
      </c>
      <c r="D267" s="1039">
        <v>3780</v>
      </c>
      <c r="E267" s="1039">
        <v>3930</v>
      </c>
      <c r="F267" s="1066"/>
      <c r="H267" s="1064"/>
    </row>
    <row r="268" spans="1:8" s="1033" customFormat="1" ht="14.25" customHeight="1" thickBot="1">
      <c r="A268" s="1045" t="s">
        <v>1393</v>
      </c>
      <c r="B268" s="1039" t="s">
        <v>1282</v>
      </c>
      <c r="C268" s="1039">
        <v>3460</v>
      </c>
      <c r="D268" s="1039">
        <v>3430</v>
      </c>
      <c r="E268" s="1039">
        <v>3560</v>
      </c>
      <c r="F268" s="1057">
        <v>840</v>
      </c>
      <c r="H268" s="1064"/>
    </row>
    <row r="269" spans="1:8" s="1033" customFormat="1" ht="14.25" customHeight="1" thickBot="1">
      <c r="A269" s="1045" t="s">
        <v>1393</v>
      </c>
      <c r="B269" s="1039" t="s">
        <v>1289</v>
      </c>
      <c r="C269" s="1039">
        <v>3210</v>
      </c>
      <c r="D269" s="1039">
        <v>3190</v>
      </c>
      <c r="E269" s="1039">
        <v>3310</v>
      </c>
      <c r="F269" s="1057">
        <v>730</v>
      </c>
      <c r="H269" s="1064"/>
    </row>
    <row r="270" spans="1:8" s="1033" customFormat="1" ht="14.25" customHeight="1" thickBot="1">
      <c r="A270" s="1045" t="s">
        <v>1393</v>
      </c>
      <c r="B270" s="1039" t="s">
        <v>1296</v>
      </c>
      <c r="C270" s="1039">
        <v>3240</v>
      </c>
      <c r="D270" s="1039">
        <v>3210</v>
      </c>
      <c r="E270" s="1039">
        <v>3390</v>
      </c>
      <c r="F270" s="1057">
        <v>820</v>
      </c>
      <c r="H270" s="1064"/>
    </row>
    <row r="271" spans="1:8" s="1033" customFormat="1" ht="14.25" customHeight="1" thickBot="1">
      <c r="A271" s="1045" t="s">
        <v>1393</v>
      </c>
      <c r="B271" s="1039" t="s">
        <v>1303</v>
      </c>
      <c r="C271" s="1039">
        <v>3300</v>
      </c>
      <c r="D271" s="1039">
        <v>3270</v>
      </c>
      <c r="E271" s="1039">
        <v>3380</v>
      </c>
      <c r="F271" s="1057">
        <v>750</v>
      </c>
      <c r="H271" s="1064"/>
    </row>
    <row r="272" spans="1:8" s="1033" customFormat="1" ht="14.25" customHeight="1" thickBot="1">
      <c r="A272" s="1045" t="s">
        <v>1393</v>
      </c>
      <c r="B272" s="1039" t="s">
        <v>1310</v>
      </c>
      <c r="C272" s="1067"/>
      <c r="D272" s="1067"/>
      <c r="E272" s="1067"/>
      <c r="F272" s="1057">
        <v>740</v>
      </c>
      <c r="H272" s="1064"/>
    </row>
    <row r="273" spans="1:8" s="1033" customFormat="1" ht="14.25" customHeight="1" thickBot="1">
      <c r="A273" s="1045" t="s">
        <v>1393</v>
      </c>
      <c r="B273" s="1039" t="s">
        <v>1314</v>
      </c>
      <c r="C273" s="1039">
        <v>3130</v>
      </c>
      <c r="D273" s="1039">
        <v>3100</v>
      </c>
      <c r="E273" s="1039">
        <v>3230</v>
      </c>
      <c r="F273" s="1057">
        <v>700</v>
      </c>
      <c r="H273" s="1064"/>
    </row>
    <row r="274" spans="1:8" s="1033" customFormat="1" ht="14.25" customHeight="1" thickBot="1">
      <c r="A274" s="1045" t="s">
        <v>1393</v>
      </c>
      <c r="B274" s="1039" t="s">
        <v>1319</v>
      </c>
      <c r="C274" s="1039">
        <v>3460</v>
      </c>
      <c r="D274" s="1039">
        <v>3430</v>
      </c>
      <c r="E274" s="1039">
        <v>3560</v>
      </c>
      <c r="F274" s="1057">
        <v>690</v>
      </c>
      <c r="H274" s="1064"/>
    </row>
    <row r="275" spans="1:8" s="1033" customFormat="1" ht="14.25" customHeight="1" thickBot="1">
      <c r="A275" s="1045" t="s">
        <v>1393</v>
      </c>
      <c r="B275" s="1039" t="s">
        <v>1324</v>
      </c>
      <c r="C275" s="1039">
        <v>4040</v>
      </c>
      <c r="D275" s="1039">
        <v>4020</v>
      </c>
      <c r="E275" s="1039">
        <v>4160</v>
      </c>
      <c r="F275" s="1057">
        <v>820</v>
      </c>
      <c r="H275" s="1064"/>
    </row>
    <row r="276" spans="1:8" s="1033" customFormat="1" ht="14.25" customHeight="1" thickBot="1">
      <c r="A276" s="1045" t="s">
        <v>1393</v>
      </c>
      <c r="B276" s="1039" t="s">
        <v>1329</v>
      </c>
      <c r="C276" s="1039">
        <v>3270</v>
      </c>
      <c r="D276" s="1039">
        <v>3240</v>
      </c>
      <c r="E276" s="1039">
        <v>3350</v>
      </c>
      <c r="F276" s="1057">
        <v>680</v>
      </c>
      <c r="H276" s="1064"/>
    </row>
    <row r="277" spans="1:8" s="1033" customFormat="1" ht="14.25" customHeight="1" thickBot="1">
      <c r="A277" s="1045" t="s">
        <v>1393</v>
      </c>
      <c r="B277" s="1039" t="s">
        <v>1334</v>
      </c>
      <c r="C277" s="1039">
        <v>2930</v>
      </c>
      <c r="D277" s="1039">
        <v>2900</v>
      </c>
      <c r="E277" s="1039">
        <v>3000</v>
      </c>
      <c r="F277" s="1057">
        <v>640</v>
      </c>
      <c r="H277" s="1064"/>
    </row>
    <row r="278" spans="1:8" s="1033" customFormat="1" ht="14.25" customHeight="1" thickBot="1">
      <c r="A278" s="1045" t="s">
        <v>1393</v>
      </c>
      <c r="B278" s="1039" t="s">
        <v>1339</v>
      </c>
      <c r="C278" s="1039">
        <v>4080</v>
      </c>
      <c r="D278" s="1039">
        <v>4030</v>
      </c>
      <c r="E278" s="1039">
        <v>4140</v>
      </c>
      <c r="F278" s="1057">
        <v>850</v>
      </c>
      <c r="H278" s="1064"/>
    </row>
    <row r="279" spans="1:8" s="1033" customFormat="1" ht="14.25" customHeight="1" thickBot="1">
      <c r="A279" s="1045" t="s">
        <v>1393</v>
      </c>
      <c r="B279" s="1039" t="s">
        <v>1343</v>
      </c>
      <c r="C279" s="1039"/>
      <c r="D279" s="1039"/>
      <c r="E279" s="1039"/>
      <c r="F279" s="1057">
        <v>760</v>
      </c>
      <c r="H279" s="1064"/>
    </row>
    <row r="280" spans="1:8" s="1033" customFormat="1" ht="14.25" customHeight="1" thickBot="1">
      <c r="A280" s="1045" t="s">
        <v>1393</v>
      </c>
      <c r="B280" s="1039" t="s">
        <v>1347</v>
      </c>
      <c r="C280" s="1039"/>
      <c r="D280" s="1039"/>
      <c r="E280" s="1039"/>
      <c r="F280" s="1057">
        <v>760</v>
      </c>
      <c r="H280" s="1064"/>
    </row>
    <row r="281" spans="1:8" s="1033" customFormat="1" ht="14.25" customHeight="1" thickBot="1">
      <c r="A281" s="1045" t="s">
        <v>1393</v>
      </c>
      <c r="B281" s="1039" t="s">
        <v>1351</v>
      </c>
      <c r="C281" s="1039"/>
      <c r="D281" s="1039"/>
      <c r="E281" s="1039"/>
      <c r="F281" s="1057">
        <v>780</v>
      </c>
      <c r="H281" s="1064"/>
    </row>
    <row r="282" spans="1:8" s="1033" customFormat="1" ht="14.25" customHeight="1" thickBot="1">
      <c r="A282" s="1045" t="s">
        <v>1393</v>
      </c>
      <c r="B282" s="1039" t="s">
        <v>1355</v>
      </c>
      <c r="C282" s="1039"/>
      <c r="D282" s="1039"/>
      <c r="E282" s="1039"/>
      <c r="F282" s="1057">
        <v>730</v>
      </c>
      <c r="H282" s="1064"/>
    </row>
    <row r="283" spans="1:8" s="1033" customFormat="1" ht="14.25" customHeight="1" thickBot="1">
      <c r="A283" s="1045" t="s">
        <v>1393</v>
      </c>
      <c r="B283" s="1039" t="s">
        <v>1359</v>
      </c>
      <c r="C283" s="1039"/>
      <c r="D283" s="1039"/>
      <c r="E283" s="1039"/>
      <c r="F283" s="1057">
        <v>770</v>
      </c>
      <c r="H283" s="1064"/>
    </row>
    <row r="284" spans="1:8" s="1033" customFormat="1" ht="14.25" customHeight="1" thickBot="1">
      <c r="A284" s="1045" t="s">
        <v>1393</v>
      </c>
      <c r="B284" s="1039" t="s">
        <v>1362</v>
      </c>
      <c r="C284" s="1039"/>
      <c r="D284" s="1039"/>
      <c r="E284" s="1039"/>
      <c r="F284" s="1057">
        <v>640</v>
      </c>
      <c r="H284" s="1064"/>
    </row>
    <row r="285" spans="1:8" s="1033" customFormat="1" ht="14.25" customHeight="1" thickBot="1">
      <c r="A285" s="1045" t="s">
        <v>1393</v>
      </c>
      <c r="B285" s="1039" t="s">
        <v>1365</v>
      </c>
      <c r="C285" s="1039"/>
      <c r="D285" s="1039"/>
      <c r="E285" s="1039"/>
      <c r="F285" s="1057">
        <v>640</v>
      </c>
      <c r="H285" s="1064"/>
    </row>
    <row r="286" spans="1:8" s="1033" customFormat="1" ht="14.25" customHeight="1" thickBot="1">
      <c r="A286" s="1045" t="s">
        <v>1393</v>
      </c>
      <c r="B286" s="1039" t="s">
        <v>1368</v>
      </c>
      <c r="C286" s="1039"/>
      <c r="D286" s="1039"/>
      <c r="E286" s="1039"/>
      <c r="F286" s="1057">
        <v>850</v>
      </c>
      <c r="H286" s="1064"/>
    </row>
    <row r="287" spans="1:8" s="1033" customFormat="1" ht="14.25" customHeight="1" thickBot="1">
      <c r="A287" s="1045" t="s">
        <v>1393</v>
      </c>
      <c r="B287" s="1039" t="s">
        <v>1371</v>
      </c>
      <c r="C287" s="1039"/>
      <c r="D287" s="1039"/>
      <c r="E287" s="1039"/>
      <c r="F287" s="1057">
        <v>760</v>
      </c>
      <c r="H287" s="1064"/>
    </row>
    <row r="288" spans="1:8" s="1033" customFormat="1" ht="14.25" customHeight="1" thickBot="1">
      <c r="A288" s="1045" t="s">
        <v>1393</v>
      </c>
      <c r="B288" s="1039" t="s">
        <v>1374</v>
      </c>
      <c r="C288" s="1039"/>
      <c r="D288" s="1039"/>
      <c r="E288" s="1039"/>
      <c r="F288" s="1057">
        <v>830</v>
      </c>
      <c r="H288" s="1064"/>
    </row>
    <row r="289" spans="1:8" s="1033" customFormat="1" ht="14.25" customHeight="1" thickBot="1">
      <c r="A289" s="1045" t="s">
        <v>1393</v>
      </c>
      <c r="B289" s="1055" t="s">
        <v>1377</v>
      </c>
      <c r="C289" s="1055"/>
      <c r="D289" s="1055"/>
      <c r="E289" s="1055"/>
      <c r="F289" s="1065">
        <v>680</v>
      </c>
      <c r="H289" s="1064"/>
    </row>
    <row r="290" spans="1:8" s="1033" customFormat="1" ht="14.25" customHeight="1" thickBot="1">
      <c r="A290" s="1045" t="s">
        <v>1397</v>
      </c>
      <c r="B290" s="1046" t="s">
        <v>1398</v>
      </c>
      <c r="C290" s="1046">
        <v>2770</v>
      </c>
      <c r="D290" s="1046">
        <v>2740</v>
      </c>
      <c r="E290" s="1046">
        <v>2720</v>
      </c>
      <c r="F290" s="1068"/>
      <c r="H290" s="1064"/>
    </row>
    <row r="291" spans="1:8" s="1033" customFormat="1" ht="14.25" customHeight="1" thickBot="1">
      <c r="A291" s="1045" t="s">
        <v>1397</v>
      </c>
      <c r="B291" s="1039" t="s">
        <v>1057</v>
      </c>
      <c r="C291" s="1039">
        <v>2670</v>
      </c>
      <c r="D291" s="1039">
        <v>2640</v>
      </c>
      <c r="E291" s="1039">
        <v>2620</v>
      </c>
      <c r="F291" s="1066"/>
      <c r="H291" s="1064"/>
    </row>
    <row r="292" spans="1:8" s="1033" customFormat="1" ht="14.25" customHeight="1" thickBot="1">
      <c r="A292" s="1045" t="s">
        <v>1397</v>
      </c>
      <c r="B292" s="1039" t="s">
        <v>1399</v>
      </c>
      <c r="C292" s="1039">
        <v>2180</v>
      </c>
      <c r="D292" s="1039">
        <v>2140</v>
      </c>
      <c r="E292" s="1039">
        <v>2120</v>
      </c>
      <c r="F292" s="1057">
        <v>490</v>
      </c>
      <c r="H292" s="1064"/>
    </row>
    <row r="293" spans="1:8" s="1033" customFormat="1" ht="14.25" customHeight="1" thickBot="1">
      <c r="A293" s="1045" t="s">
        <v>1397</v>
      </c>
      <c r="B293" s="1039" t="s">
        <v>1400</v>
      </c>
      <c r="C293" s="1039"/>
      <c r="D293" s="1039"/>
      <c r="E293" s="1039"/>
      <c r="F293" s="1057">
        <v>470</v>
      </c>
      <c r="H293" s="1064"/>
    </row>
    <row r="294" spans="1:8" s="1033" customFormat="1" ht="14.25" customHeight="1" thickBot="1">
      <c r="A294" s="1045" t="s">
        <v>1397</v>
      </c>
      <c r="B294" s="1039" t="s">
        <v>1401</v>
      </c>
      <c r="C294" s="1039">
        <v>2730</v>
      </c>
      <c r="D294" s="1039">
        <v>2700</v>
      </c>
      <c r="E294" s="1039">
        <v>2680</v>
      </c>
      <c r="F294" s="1057">
        <v>490</v>
      </c>
      <c r="H294" s="1064"/>
    </row>
    <row r="295" spans="1:8" s="1033" customFormat="1" ht="14.25" customHeight="1" thickBot="1">
      <c r="A295" s="1045" t="s">
        <v>1397</v>
      </c>
      <c r="B295" s="1039" t="s">
        <v>1098</v>
      </c>
      <c r="C295" s="1039">
        <v>2380</v>
      </c>
      <c r="D295" s="1039">
        <v>2350</v>
      </c>
      <c r="E295" s="1039">
        <v>2330</v>
      </c>
      <c r="F295" s="1057">
        <v>530</v>
      </c>
      <c r="H295" s="1064"/>
    </row>
    <row r="296" spans="1:8" s="1033" customFormat="1" ht="14.25" customHeight="1" thickBot="1">
      <c r="A296" s="1045" t="s">
        <v>1397</v>
      </c>
      <c r="B296" s="1039" t="s">
        <v>1109</v>
      </c>
      <c r="C296" s="1039">
        <v>2650</v>
      </c>
      <c r="D296" s="1039">
        <v>2620</v>
      </c>
      <c r="E296" s="1039">
        <v>2590</v>
      </c>
      <c r="F296" s="1057">
        <v>590</v>
      </c>
      <c r="H296" s="1064"/>
    </row>
    <row r="297" spans="1:8" s="1033" customFormat="1" ht="14.25" customHeight="1" thickBot="1">
      <c r="A297" s="1045" t="s">
        <v>1397</v>
      </c>
      <c r="B297" s="1039" t="s">
        <v>1120</v>
      </c>
      <c r="C297" s="1039">
        <v>2700</v>
      </c>
      <c r="D297" s="1039">
        <v>2670</v>
      </c>
      <c r="E297" s="1039">
        <v>2650</v>
      </c>
      <c r="F297" s="1057">
        <v>630</v>
      </c>
      <c r="H297" s="1064"/>
    </row>
    <row r="298" spans="1:8" s="1033" customFormat="1" ht="14.25" customHeight="1" thickBot="1">
      <c r="A298" s="1045" t="s">
        <v>1397</v>
      </c>
      <c r="B298" s="1039" t="s">
        <v>1131</v>
      </c>
      <c r="C298" s="1039">
        <v>2650</v>
      </c>
      <c r="D298" s="1039">
        <v>2620</v>
      </c>
      <c r="E298" s="1039">
        <v>2590</v>
      </c>
      <c r="F298" s="1057">
        <v>640</v>
      </c>
      <c r="H298" s="1064"/>
    </row>
    <row r="299" spans="1:8" s="1033" customFormat="1" ht="14.25" customHeight="1" thickBot="1">
      <c r="A299" s="1045" t="s">
        <v>1397</v>
      </c>
      <c r="B299" s="1039" t="s">
        <v>1143</v>
      </c>
      <c r="C299" s="1039">
        <v>2500</v>
      </c>
      <c r="D299" s="1039">
        <v>2480</v>
      </c>
      <c r="E299" s="1039">
        <v>2460</v>
      </c>
      <c r="F299" s="1066"/>
      <c r="H299" s="1064"/>
    </row>
    <row r="300" spans="1:8" s="1033" customFormat="1" ht="14.25" customHeight="1" thickBot="1">
      <c r="A300" s="1045" t="s">
        <v>1397</v>
      </c>
      <c r="B300" s="1039" t="s">
        <v>1153</v>
      </c>
      <c r="C300" s="1039">
        <v>2760</v>
      </c>
      <c r="D300" s="1039">
        <v>2730</v>
      </c>
      <c r="E300" s="1039">
        <v>2700</v>
      </c>
      <c r="F300" s="1057">
        <v>630</v>
      </c>
      <c r="H300" s="1064"/>
    </row>
    <row r="301" spans="1:8" s="1033" customFormat="1" ht="14.25" customHeight="1" thickBot="1">
      <c r="A301" s="1045" t="s">
        <v>1397</v>
      </c>
      <c r="B301" s="1039" t="s">
        <v>1163</v>
      </c>
      <c r="C301" s="1039">
        <v>2510</v>
      </c>
      <c r="D301" s="1039">
        <v>2480</v>
      </c>
      <c r="E301" s="1039">
        <v>2460</v>
      </c>
      <c r="F301" s="1066"/>
      <c r="H301" s="1064"/>
    </row>
    <row r="302" spans="1:8" s="1033" customFormat="1" ht="14.25" customHeight="1" thickBot="1">
      <c r="A302" s="1045" t="s">
        <v>1397</v>
      </c>
      <c r="B302" s="1039" t="s">
        <v>1173</v>
      </c>
      <c r="C302" s="1039">
        <v>2480</v>
      </c>
      <c r="D302" s="1039">
        <v>2450</v>
      </c>
      <c r="E302" s="1039">
        <v>2420</v>
      </c>
      <c r="F302" s="1057">
        <v>600</v>
      </c>
      <c r="H302" s="1064"/>
    </row>
    <row r="303" spans="1:8" s="1033" customFormat="1" ht="14.25" customHeight="1" thickBot="1">
      <c r="A303" s="1045" t="s">
        <v>1397</v>
      </c>
      <c r="B303" s="1039" t="s">
        <v>1183</v>
      </c>
      <c r="C303" s="1039">
        <v>2270</v>
      </c>
      <c r="D303" s="1039">
        <v>2240</v>
      </c>
      <c r="E303" s="1039">
        <v>2210</v>
      </c>
      <c r="F303" s="1057">
        <v>540</v>
      </c>
      <c r="H303" s="1064"/>
    </row>
    <row r="304" spans="1:8" s="1033" customFormat="1" ht="14.25" customHeight="1" thickBot="1">
      <c r="A304" s="1045" t="s">
        <v>1397</v>
      </c>
      <c r="B304" s="1039" t="s">
        <v>1193</v>
      </c>
      <c r="C304" s="1039">
        <v>2310</v>
      </c>
      <c r="D304" s="1039">
        <v>2290</v>
      </c>
      <c r="E304" s="1039">
        <v>2270</v>
      </c>
      <c r="F304" s="1066"/>
      <c r="H304" s="1064"/>
    </row>
    <row r="305" spans="1:8" s="1033" customFormat="1" ht="14.25" customHeight="1" thickBot="1">
      <c r="A305" s="1045" t="s">
        <v>1397</v>
      </c>
      <c r="B305" s="1039" t="s">
        <v>1203</v>
      </c>
      <c r="C305" s="1039">
        <v>2490</v>
      </c>
      <c r="D305" s="1039">
        <v>2470</v>
      </c>
      <c r="E305" s="1039">
        <v>2440</v>
      </c>
      <c r="F305" s="1057">
        <v>560</v>
      </c>
      <c r="H305" s="1064"/>
    </row>
    <row r="306" spans="1:8" s="1033" customFormat="1" ht="14.25" customHeight="1" thickBot="1">
      <c r="A306" s="1045" t="s">
        <v>1397</v>
      </c>
      <c r="B306" s="1039" t="s">
        <v>1213</v>
      </c>
      <c r="C306" s="1039">
        <v>2420</v>
      </c>
      <c r="D306" s="1039">
        <v>2400</v>
      </c>
      <c r="E306" s="1039">
        <v>2380</v>
      </c>
      <c r="F306" s="1066"/>
      <c r="H306" s="1064"/>
    </row>
    <row r="307" spans="1:8" s="1033" customFormat="1" ht="14.25" customHeight="1" thickBot="1">
      <c r="A307" s="1045" t="s">
        <v>1397</v>
      </c>
      <c r="B307" s="1039" t="s">
        <v>1223</v>
      </c>
      <c r="C307" s="1039">
        <v>2770</v>
      </c>
      <c r="D307" s="1039">
        <v>2740</v>
      </c>
      <c r="E307" s="1039">
        <v>2710</v>
      </c>
      <c r="F307" s="1057">
        <v>650</v>
      </c>
      <c r="H307" s="1064"/>
    </row>
    <row r="308" spans="1:8" s="1033" customFormat="1" ht="14.25" customHeight="1" thickBot="1">
      <c r="A308" s="1045" t="s">
        <v>1397</v>
      </c>
      <c r="B308" s="1039" t="s">
        <v>1233</v>
      </c>
      <c r="C308" s="1039">
        <v>2610</v>
      </c>
      <c r="D308" s="1039">
        <v>2580</v>
      </c>
      <c r="E308" s="1039">
        <v>2550</v>
      </c>
      <c r="F308" s="1057">
        <v>580</v>
      </c>
      <c r="H308" s="1064"/>
    </row>
    <row r="309" spans="1:8" s="1033" customFormat="1" ht="14.25" customHeight="1" thickBot="1">
      <c r="A309" s="1045" t="s">
        <v>1397</v>
      </c>
      <c r="B309" s="1039" t="s">
        <v>1243</v>
      </c>
      <c r="C309" s="1039">
        <v>2690</v>
      </c>
      <c r="D309" s="1039">
        <v>2670</v>
      </c>
      <c r="E309" s="1039">
        <v>2650</v>
      </c>
      <c r="F309" s="1066"/>
      <c r="H309" s="1064"/>
    </row>
    <row r="310" spans="1:8" s="1033" customFormat="1" ht="14.25" customHeight="1" thickBot="1">
      <c r="A310" s="1045" t="s">
        <v>1397</v>
      </c>
      <c r="B310" s="1039" t="s">
        <v>1252</v>
      </c>
      <c r="C310" s="1039">
        <v>2360</v>
      </c>
      <c r="D310" s="1039">
        <v>2330</v>
      </c>
      <c r="E310" s="1039">
        <v>2310</v>
      </c>
      <c r="F310" s="1057">
        <v>560</v>
      </c>
      <c r="H310" s="1064"/>
    </row>
    <row r="311" spans="1:8" s="1033" customFormat="1" ht="14.25" customHeight="1" thickBot="1">
      <c r="A311" s="1045" t="s">
        <v>1397</v>
      </c>
      <c r="B311" s="1039" t="s">
        <v>1261</v>
      </c>
      <c r="C311" s="1039">
        <v>1970</v>
      </c>
      <c r="D311" s="1039">
        <v>1950</v>
      </c>
      <c r="E311" s="1039">
        <v>1920</v>
      </c>
      <c r="F311" s="1057">
        <v>470</v>
      </c>
      <c r="H311" s="1064"/>
    </row>
    <row r="312" spans="1:8" s="1033" customFormat="1" ht="14.25" customHeight="1" thickBot="1">
      <c r="A312" s="1045" t="s">
        <v>1397</v>
      </c>
      <c r="B312" s="1039" t="s">
        <v>1269</v>
      </c>
      <c r="C312" s="1039">
        <v>2230</v>
      </c>
      <c r="D312" s="1039">
        <v>2200</v>
      </c>
      <c r="E312" s="1039">
        <v>2170</v>
      </c>
      <c r="F312" s="1057">
        <v>460</v>
      </c>
      <c r="H312" s="1064"/>
    </row>
    <row r="313" spans="1:8" s="1033" customFormat="1" ht="14.25" customHeight="1" thickBot="1">
      <c r="A313" s="1045" t="s">
        <v>1397</v>
      </c>
      <c r="B313" s="1039" t="s">
        <v>1276</v>
      </c>
      <c r="C313" s="1039">
        <v>2770</v>
      </c>
      <c r="D313" s="1039">
        <v>2740</v>
      </c>
      <c r="E313" s="1039">
        <v>2710</v>
      </c>
      <c r="F313" s="1057">
        <v>610</v>
      </c>
      <c r="H313" s="1064"/>
    </row>
    <row r="314" spans="1:8" s="1033" customFormat="1" ht="14.25" customHeight="1" thickBot="1">
      <c r="A314" s="1045" t="s">
        <v>1397</v>
      </c>
      <c r="B314" s="1039" t="s">
        <v>1283</v>
      </c>
      <c r="C314" s="1039"/>
      <c r="D314" s="1039"/>
      <c r="E314" s="1039"/>
      <c r="F314" s="1057">
        <v>490</v>
      </c>
      <c r="H314" s="1064"/>
    </row>
    <row r="315" spans="1:8" s="1033" customFormat="1" ht="14.25" customHeight="1" thickBot="1">
      <c r="A315" s="1045" t="s">
        <v>1397</v>
      </c>
      <c r="B315" s="1039" t="s">
        <v>1290</v>
      </c>
      <c r="C315" s="1039"/>
      <c r="D315" s="1039"/>
      <c r="E315" s="1039"/>
      <c r="F315" s="1057">
        <v>520</v>
      </c>
      <c r="H315" s="1064"/>
    </row>
    <row r="316" spans="1:8" s="1033" customFormat="1" ht="14.25" customHeight="1" thickBot="1">
      <c r="A316" s="1045" t="s">
        <v>1397</v>
      </c>
      <c r="B316" s="1055" t="s">
        <v>1297</v>
      </c>
      <c r="C316" s="1055"/>
      <c r="D316" s="1055"/>
      <c r="E316" s="1055"/>
      <c r="F316" s="1065">
        <v>460</v>
      </c>
      <c r="H316" s="1064"/>
    </row>
    <row r="317" spans="1:8" s="1033" customFormat="1" ht="14.25" customHeight="1" thickBot="1">
      <c r="A317" s="1045" t="s">
        <v>895</v>
      </c>
      <c r="B317" s="1046" t="s">
        <v>1402</v>
      </c>
      <c r="C317" s="1046">
        <v>1200</v>
      </c>
      <c r="D317" s="1046">
        <v>1180</v>
      </c>
      <c r="E317" s="1046">
        <v>1160</v>
      </c>
      <c r="F317" s="1047">
        <v>370</v>
      </c>
      <c r="H317" s="1030"/>
    </row>
    <row r="318" spans="1:8" s="1033" customFormat="1" ht="14.25" customHeight="1" thickBot="1">
      <c r="A318" s="1045" t="s">
        <v>895</v>
      </c>
      <c r="B318" s="1039" t="s">
        <v>1403</v>
      </c>
      <c r="C318" s="1039">
        <v>1090</v>
      </c>
      <c r="D318" s="1039">
        <v>1060</v>
      </c>
      <c r="E318" s="1039">
        <v>1040</v>
      </c>
      <c r="F318" s="1066"/>
      <c r="H318" s="1030"/>
    </row>
    <row r="319" spans="1:8" s="1033" customFormat="1" ht="14.25" customHeight="1" thickBot="1">
      <c r="A319" s="1045" t="s">
        <v>895</v>
      </c>
      <c r="B319" s="1039" t="s">
        <v>1404</v>
      </c>
      <c r="C319" s="1039">
        <v>1520</v>
      </c>
      <c r="D319" s="1039">
        <v>1470</v>
      </c>
      <c r="E319" s="1039">
        <v>1440</v>
      </c>
      <c r="F319" s="1057">
        <v>370</v>
      </c>
      <c r="H319" s="1030"/>
    </row>
    <row r="320" spans="1:8" s="1033" customFormat="1" ht="14.25" customHeight="1" thickBot="1">
      <c r="A320" s="1045" t="s">
        <v>895</v>
      </c>
      <c r="B320" s="1039" t="s">
        <v>1085</v>
      </c>
      <c r="C320" s="1039">
        <v>1360</v>
      </c>
      <c r="D320" s="1039">
        <v>1300</v>
      </c>
      <c r="E320" s="1039">
        <v>1270</v>
      </c>
      <c r="F320" s="1066"/>
      <c r="H320" s="1030"/>
    </row>
    <row r="321" spans="1:8" s="1033" customFormat="1" ht="14.25" customHeight="1" thickBot="1">
      <c r="A321" s="1045" t="s">
        <v>895</v>
      </c>
      <c r="B321" s="1039" t="s">
        <v>1099</v>
      </c>
      <c r="C321" s="1039">
        <v>1750</v>
      </c>
      <c r="D321" s="1039">
        <v>1690</v>
      </c>
      <c r="E321" s="1039">
        <v>1660</v>
      </c>
      <c r="F321" s="1066"/>
      <c r="H321" s="1030"/>
    </row>
    <row r="322" spans="1:8" s="1033" customFormat="1" ht="14.25" customHeight="1" thickBot="1">
      <c r="A322" s="1045" t="s">
        <v>895</v>
      </c>
      <c r="B322" s="1039" t="s">
        <v>1110</v>
      </c>
      <c r="C322" s="1039">
        <v>1650</v>
      </c>
      <c r="D322" s="1039">
        <v>1610</v>
      </c>
      <c r="E322" s="1039">
        <v>1580</v>
      </c>
      <c r="F322" s="1057">
        <v>500</v>
      </c>
      <c r="H322" s="1030"/>
    </row>
    <row r="323" spans="1:8" s="1033" customFormat="1" ht="14.25" customHeight="1" thickBot="1">
      <c r="A323" s="1045" t="s">
        <v>895</v>
      </c>
      <c r="B323" s="1039" t="s">
        <v>1121</v>
      </c>
      <c r="C323" s="1039">
        <v>1780</v>
      </c>
      <c r="D323" s="1039">
        <v>1740</v>
      </c>
      <c r="E323" s="1039">
        <v>1720</v>
      </c>
      <c r="F323" s="1066"/>
      <c r="H323" s="1030"/>
    </row>
    <row r="324" spans="1:8" s="1033" customFormat="1" ht="14.25" customHeight="1" thickBot="1">
      <c r="A324" s="1045" t="s">
        <v>895</v>
      </c>
      <c r="B324" s="1039" t="s">
        <v>1132</v>
      </c>
      <c r="C324" s="1039">
        <v>1650</v>
      </c>
      <c r="D324" s="1039">
        <v>1610</v>
      </c>
      <c r="E324" s="1039">
        <v>1580</v>
      </c>
      <c r="F324" s="1066"/>
      <c r="H324" s="1030"/>
    </row>
    <row r="325" spans="1:8" s="1033" customFormat="1" ht="14.25" customHeight="1" thickBot="1">
      <c r="A325" s="1045" t="s">
        <v>895</v>
      </c>
      <c r="B325" s="1039" t="s">
        <v>1144</v>
      </c>
      <c r="C325" s="1039">
        <v>1330</v>
      </c>
      <c r="D325" s="1039">
        <v>1270</v>
      </c>
      <c r="E325" s="1039">
        <v>1240</v>
      </c>
      <c r="F325" s="1057">
        <v>430</v>
      </c>
      <c r="H325" s="1030"/>
    </row>
    <row r="326" spans="1:8" s="1033" customFormat="1" ht="14.25" customHeight="1" thickBot="1">
      <c r="A326" s="1045" t="s">
        <v>895</v>
      </c>
      <c r="B326" s="1039" t="s">
        <v>1154</v>
      </c>
      <c r="C326" s="1039">
        <v>1470</v>
      </c>
      <c r="D326" s="1039">
        <v>1430</v>
      </c>
      <c r="E326" s="1039">
        <v>1400</v>
      </c>
      <c r="F326" s="1066"/>
      <c r="H326" s="1030"/>
    </row>
    <row r="327" spans="1:8" s="1033" customFormat="1" ht="14.25" customHeight="1" thickBot="1">
      <c r="A327" s="1045" t="s">
        <v>895</v>
      </c>
      <c r="B327" s="1039" t="s">
        <v>1164</v>
      </c>
      <c r="C327" s="1039">
        <v>1420</v>
      </c>
      <c r="D327" s="1039">
        <v>1380</v>
      </c>
      <c r="E327" s="1039">
        <v>1360</v>
      </c>
      <c r="F327" s="1057">
        <v>420</v>
      </c>
      <c r="H327" s="1030"/>
    </row>
    <row r="328" spans="1:8" s="1033" customFormat="1" ht="14.25" customHeight="1" thickBot="1">
      <c r="A328" s="1045" t="s">
        <v>895</v>
      </c>
      <c r="B328" s="1039" t="s">
        <v>1174</v>
      </c>
      <c r="C328" s="1039">
        <v>1400</v>
      </c>
      <c r="D328" s="1039">
        <v>1360</v>
      </c>
      <c r="E328" s="1039">
        <v>1330</v>
      </c>
      <c r="F328" s="1057">
        <v>460</v>
      </c>
      <c r="H328" s="1030"/>
    </row>
    <row r="329" spans="1:8" s="1033" customFormat="1" ht="14.25" customHeight="1" thickBot="1">
      <c r="A329" s="1045" t="s">
        <v>895</v>
      </c>
      <c r="B329" s="1039" t="s">
        <v>1184</v>
      </c>
      <c r="C329" s="1039">
        <v>1640</v>
      </c>
      <c r="D329" s="1039">
        <v>1610</v>
      </c>
      <c r="E329" s="1039">
        <v>1580</v>
      </c>
      <c r="F329" s="1057">
        <v>410</v>
      </c>
      <c r="H329" s="1030"/>
    </row>
    <row r="330" spans="1:8" s="1033" customFormat="1" ht="14.25" customHeight="1" thickBot="1">
      <c r="A330" s="1045" t="s">
        <v>895</v>
      </c>
      <c r="B330" s="1039" t="s">
        <v>1194</v>
      </c>
      <c r="C330" s="1039">
        <v>1260</v>
      </c>
      <c r="D330" s="1039">
        <v>1220</v>
      </c>
      <c r="E330" s="1039">
        <v>1200</v>
      </c>
      <c r="F330" s="1066"/>
      <c r="H330" s="1030"/>
    </row>
    <row r="331" spans="1:8" s="1033" customFormat="1" ht="14.25" customHeight="1" thickBot="1">
      <c r="A331" s="1045" t="s">
        <v>895</v>
      </c>
      <c r="B331" s="1039" t="s">
        <v>1204</v>
      </c>
      <c r="C331" s="1039">
        <v>1620</v>
      </c>
      <c r="D331" s="1039">
        <v>1560</v>
      </c>
      <c r="E331" s="1039">
        <v>1530</v>
      </c>
      <c r="F331" s="1057">
        <v>490</v>
      </c>
      <c r="H331" s="1030"/>
    </row>
    <row r="332" spans="1:8" s="1033" customFormat="1" ht="14.25" customHeight="1" thickBot="1">
      <c r="A332" s="1045" t="s">
        <v>895</v>
      </c>
      <c r="B332" s="1039" t="s">
        <v>1214</v>
      </c>
      <c r="C332" s="1039">
        <v>1520</v>
      </c>
      <c r="D332" s="1039">
        <v>1470</v>
      </c>
      <c r="E332" s="1039">
        <v>1440</v>
      </c>
      <c r="F332" s="1057">
        <v>440</v>
      </c>
      <c r="H332" s="1030"/>
    </row>
    <row r="333" spans="1:8" s="1033" customFormat="1" ht="14.25" customHeight="1" thickBot="1">
      <c r="A333" s="1045" t="s">
        <v>895</v>
      </c>
      <c r="B333" s="1039" t="s">
        <v>1224</v>
      </c>
      <c r="C333" s="1039">
        <v>1370</v>
      </c>
      <c r="D333" s="1039">
        <v>1320</v>
      </c>
      <c r="E333" s="1039">
        <v>1300</v>
      </c>
      <c r="F333" s="1057">
        <v>460</v>
      </c>
      <c r="H333" s="1030"/>
    </row>
    <row r="334" spans="1:8" s="1033" customFormat="1" ht="14.25" customHeight="1" thickBot="1">
      <c r="A334" s="1045" t="s">
        <v>895</v>
      </c>
      <c r="B334" s="1039" t="s">
        <v>1234</v>
      </c>
      <c r="C334" s="1039">
        <v>1410</v>
      </c>
      <c r="D334" s="1039">
        <v>1340</v>
      </c>
      <c r="E334" s="1039">
        <v>1310</v>
      </c>
      <c r="F334" s="1057">
        <v>410</v>
      </c>
      <c r="H334" s="1030"/>
    </row>
    <row r="335" spans="1:8" s="1033" customFormat="1" ht="14.25" customHeight="1" thickBot="1">
      <c r="A335" s="1045" t="s">
        <v>895</v>
      </c>
      <c r="B335" s="1039" t="s">
        <v>1244</v>
      </c>
      <c r="C335" s="1039">
        <v>1260</v>
      </c>
      <c r="D335" s="1039">
        <v>1220</v>
      </c>
      <c r="E335" s="1039">
        <v>1200</v>
      </c>
      <c r="F335" s="1066"/>
      <c r="H335" s="1030"/>
    </row>
    <row r="336" spans="1:8" s="1033" customFormat="1" ht="14.25" customHeight="1" thickBot="1">
      <c r="A336" s="1045" t="s">
        <v>895</v>
      </c>
      <c r="B336" s="1039" t="s">
        <v>1253</v>
      </c>
      <c r="C336" s="1039">
        <v>1160</v>
      </c>
      <c r="D336" s="1039">
        <v>1140</v>
      </c>
      <c r="E336" s="1039">
        <v>1120</v>
      </c>
      <c r="F336" s="1057">
        <v>430</v>
      </c>
      <c r="H336" s="1030"/>
    </row>
    <row r="337" spans="1:8" s="1033" customFormat="1" ht="14.25" customHeight="1" thickBot="1">
      <c r="A337" s="1045" t="s">
        <v>895</v>
      </c>
      <c r="B337" s="1055" t="s">
        <v>1262</v>
      </c>
      <c r="C337" s="1055"/>
      <c r="D337" s="1055"/>
      <c r="E337" s="1055"/>
      <c r="F337" s="1065">
        <v>380</v>
      </c>
      <c r="H337" s="1030"/>
    </row>
    <row r="338" spans="1:8" s="1033" customFormat="1" ht="14.25" customHeight="1" thickBot="1">
      <c r="A338" s="1045" t="s">
        <v>896</v>
      </c>
      <c r="B338" s="1046" t="s">
        <v>1405</v>
      </c>
      <c r="C338" s="1046">
        <v>880</v>
      </c>
      <c r="D338" s="1046">
        <v>850</v>
      </c>
      <c r="E338" s="1046">
        <v>830</v>
      </c>
      <c r="F338" s="1068"/>
      <c r="H338" s="1030"/>
    </row>
    <row r="339" spans="1:8" s="1033" customFormat="1" ht="14.25" customHeight="1" thickBot="1">
      <c r="A339" s="1045" t="s">
        <v>896</v>
      </c>
      <c r="B339" s="1039" t="s">
        <v>1406</v>
      </c>
      <c r="C339" s="1039">
        <v>830</v>
      </c>
      <c r="D339" s="1039">
        <v>800</v>
      </c>
      <c r="E339" s="1039">
        <v>780</v>
      </c>
      <c r="F339" s="1066"/>
      <c r="H339" s="1030"/>
    </row>
    <row r="340" spans="1:8" s="1033" customFormat="1" ht="14.25" customHeight="1" thickBot="1">
      <c r="A340" s="1045" t="s">
        <v>896</v>
      </c>
      <c r="B340" s="1039" t="s">
        <v>1407</v>
      </c>
      <c r="C340" s="1039">
        <v>980</v>
      </c>
      <c r="D340" s="1039">
        <v>950</v>
      </c>
      <c r="E340" s="1039">
        <v>920</v>
      </c>
      <c r="F340" s="1066"/>
      <c r="H340" s="1030"/>
    </row>
    <row r="341" spans="1:8" s="1033" customFormat="1" ht="14.25" customHeight="1" thickBot="1">
      <c r="A341" s="1045" t="s">
        <v>896</v>
      </c>
      <c r="B341" s="1039" t="s">
        <v>1408</v>
      </c>
      <c r="C341" s="1039">
        <v>760</v>
      </c>
      <c r="D341" s="1039">
        <v>720</v>
      </c>
      <c r="E341" s="1039">
        <v>690</v>
      </c>
      <c r="F341" s="1057">
        <v>350</v>
      </c>
      <c r="H341" s="1030"/>
    </row>
    <row r="342" spans="1:8" s="1033" customFormat="1" ht="14.25" customHeight="1" thickBot="1">
      <c r="A342" s="1045" t="s">
        <v>896</v>
      </c>
      <c r="B342" s="1039" t="s">
        <v>1100</v>
      </c>
      <c r="C342" s="1039">
        <v>910</v>
      </c>
      <c r="D342" s="1039">
        <v>870</v>
      </c>
      <c r="E342" s="1039">
        <v>850</v>
      </c>
      <c r="F342" s="1057">
        <v>370</v>
      </c>
      <c r="H342" s="1030"/>
    </row>
    <row r="343" spans="1:8" s="1033" customFormat="1" ht="14.25" customHeight="1" thickBot="1">
      <c r="A343" s="1045" t="s">
        <v>896</v>
      </c>
      <c r="B343" s="1039" t="s">
        <v>1111</v>
      </c>
      <c r="C343" s="1039">
        <v>800</v>
      </c>
      <c r="D343" s="1039">
        <v>760</v>
      </c>
      <c r="E343" s="1039">
        <v>730</v>
      </c>
      <c r="F343" s="1057">
        <v>340</v>
      </c>
      <c r="H343" s="1030"/>
    </row>
    <row r="344" spans="1:8" s="1033" customFormat="1" ht="14.25" customHeight="1" thickBot="1">
      <c r="A344" s="1045" t="s">
        <v>896</v>
      </c>
      <c r="B344" s="1055" t="s">
        <v>1122</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860</v>
      </c>
      <c r="B1" s="978"/>
      <c r="C1" s="978"/>
      <c r="D1" s="978"/>
      <c r="E1" s="978"/>
      <c r="F1" s="978"/>
      <c r="G1" s="978"/>
      <c r="H1" s="978"/>
      <c r="I1" s="978"/>
      <c r="J1" s="978"/>
      <c r="K1" s="978"/>
      <c r="L1" s="978"/>
      <c r="M1" s="978"/>
      <c r="N1" s="978"/>
    </row>
    <row r="2" spans="1:14">
      <c r="A2" s="980" t="s">
        <v>861</v>
      </c>
      <c r="B2" s="981" t="s">
        <v>862</v>
      </c>
      <c r="C2" s="981" t="s">
        <v>863</v>
      </c>
      <c r="D2" s="981" t="s">
        <v>864</v>
      </c>
      <c r="E2" s="981" t="s">
        <v>865</v>
      </c>
      <c r="F2" s="981" t="s">
        <v>866</v>
      </c>
      <c r="G2" s="981" t="s">
        <v>867</v>
      </c>
      <c r="H2" s="982" t="s">
        <v>868</v>
      </c>
      <c r="I2" s="982" t="s">
        <v>869</v>
      </c>
      <c r="J2" s="983" t="s">
        <v>870</v>
      </c>
      <c r="K2" s="983" t="s">
        <v>871</v>
      </c>
      <c r="L2" s="983" t="s">
        <v>872</v>
      </c>
      <c r="M2" s="983" t="s">
        <v>873</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882</v>
      </c>
      <c r="B103" s="978"/>
      <c r="C103" s="978"/>
      <c r="D103" s="978"/>
      <c r="E103" s="978"/>
      <c r="F103" s="978"/>
      <c r="G103" s="978"/>
      <c r="H103" s="978"/>
      <c r="I103" s="978"/>
      <c r="J103" s="978"/>
      <c r="K103" s="978"/>
      <c r="L103" s="978"/>
      <c r="M103" s="978"/>
      <c r="N103" s="978"/>
    </row>
    <row r="104" spans="1:14" ht="14.25">
      <c r="A104" s="980" t="s">
        <v>861</v>
      </c>
      <c r="B104" s="981" t="s">
        <v>862</v>
      </c>
      <c r="C104" s="981" t="s">
        <v>863</v>
      </c>
      <c r="D104" s="981" t="s">
        <v>864</v>
      </c>
      <c r="E104" s="981" t="s">
        <v>865</v>
      </c>
      <c r="F104" s="981" t="s">
        <v>866</v>
      </c>
      <c r="G104" s="981" t="s">
        <v>867</v>
      </c>
      <c r="H104" s="982" t="s">
        <v>868</v>
      </c>
      <c r="I104" s="982" t="s">
        <v>869</v>
      </c>
      <c r="J104" s="983" t="s">
        <v>870</v>
      </c>
      <c r="K104" s="983" t="s">
        <v>871</v>
      </c>
      <c r="L104" s="983" t="s">
        <v>872</v>
      </c>
      <c r="M104" s="983" t="s">
        <v>873</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883</v>
      </c>
      <c r="B205" s="978"/>
      <c r="C205" s="978"/>
      <c r="D205" s="978"/>
      <c r="E205" s="978"/>
      <c r="F205" s="978"/>
      <c r="G205" s="978"/>
      <c r="H205" s="978"/>
      <c r="I205" s="978"/>
      <c r="J205" s="978"/>
      <c r="K205" s="978"/>
      <c r="L205" s="978"/>
      <c r="M205" s="978"/>
    </row>
    <row r="206" spans="1:13">
      <c r="A206" s="980" t="s">
        <v>884</v>
      </c>
      <c r="B206" s="981" t="s">
        <v>885</v>
      </c>
      <c r="C206" s="981" t="s">
        <v>886</v>
      </c>
      <c r="D206" s="981" t="s">
        <v>887</v>
      </c>
      <c r="E206" s="981" t="s">
        <v>888</v>
      </c>
      <c r="F206" s="981" t="s">
        <v>889</v>
      </c>
      <c r="G206" s="981" t="s">
        <v>890</v>
      </c>
      <c r="H206" s="982" t="s">
        <v>891</v>
      </c>
      <c r="I206" s="982" t="s">
        <v>892</v>
      </c>
      <c r="J206" s="983" t="s">
        <v>893</v>
      </c>
      <c r="K206" s="983" t="s">
        <v>894</v>
      </c>
      <c r="L206" s="983" t="s">
        <v>895</v>
      </c>
      <c r="M206" s="983" t="s">
        <v>896</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897</v>
      </c>
      <c r="B307" s="978"/>
      <c r="C307" s="978"/>
      <c r="D307" s="978"/>
      <c r="E307" s="978"/>
      <c r="F307" s="978"/>
      <c r="G307" s="978"/>
      <c r="H307" s="978"/>
      <c r="I307" s="978"/>
      <c r="J307" s="978"/>
      <c r="K307" s="978"/>
      <c r="L307" s="978"/>
      <c r="M307" s="978"/>
    </row>
    <row r="308" spans="1:13">
      <c r="A308" s="980" t="s">
        <v>884</v>
      </c>
      <c r="B308" s="981" t="s">
        <v>885</v>
      </c>
      <c r="C308" s="981" t="s">
        <v>886</v>
      </c>
      <c r="D308" s="981" t="s">
        <v>887</v>
      </c>
      <c r="E308" s="981" t="s">
        <v>888</v>
      </c>
      <c r="F308" s="981" t="s">
        <v>889</v>
      </c>
      <c r="G308" s="981" t="s">
        <v>890</v>
      </c>
      <c r="H308" s="982" t="s">
        <v>891</v>
      </c>
      <c r="I308" s="982" t="s">
        <v>892</v>
      </c>
      <c r="J308" s="983" t="s">
        <v>893</v>
      </c>
      <c r="K308" s="983" t="s">
        <v>894</v>
      </c>
      <c r="L308" s="983" t="s">
        <v>895</v>
      </c>
      <c r="M308" s="983" t="s">
        <v>896</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762" t="s">
        <v>1870</v>
      </c>
      <c r="B1" s="3762"/>
    </row>
    <row r="2" spans="1:6" ht="14.25" thickBot="1">
      <c r="A2" s="1718"/>
      <c r="B2" s="1718"/>
    </row>
    <row r="3" spans="1:6" ht="14.25" thickBot="1">
      <c r="A3" s="1718"/>
      <c r="B3" s="1718"/>
      <c r="C3" s="1719" t="s">
        <v>1871</v>
      </c>
      <c r="D3" s="1719" t="s">
        <v>1872</v>
      </c>
      <c r="E3" s="1719" t="s">
        <v>1873</v>
      </c>
      <c r="F3" s="1719" t="s">
        <v>1874</v>
      </c>
    </row>
    <row r="4" spans="1:6" ht="14.25" thickBot="1">
      <c r="A4" s="1720" t="s">
        <v>1875</v>
      </c>
      <c r="B4" s="1721" t="s">
        <v>1876</v>
      </c>
      <c r="C4" s="1719"/>
      <c r="D4" s="1719"/>
      <c r="E4" s="1719"/>
      <c r="F4" s="1719"/>
    </row>
    <row r="5" spans="1:6" ht="14.25" thickBot="1">
      <c r="A5" s="1722" t="s">
        <v>1877</v>
      </c>
      <c r="B5" s="1723" t="s">
        <v>1878</v>
      </c>
      <c r="C5" s="1724">
        <v>8.8999999999999996E-2</v>
      </c>
      <c r="D5" s="1724">
        <v>7.3999999999999996E-2</v>
      </c>
      <c r="E5" s="1724">
        <v>7.4999999999999997E-2</v>
      </c>
      <c r="F5" s="1725">
        <v>0.1</v>
      </c>
    </row>
    <row r="6" spans="1:6" ht="14.25" thickBot="1">
      <c r="A6" s="1722" t="s">
        <v>1074</v>
      </c>
      <c r="B6" s="1726" t="s">
        <v>1879</v>
      </c>
      <c r="C6" s="1727">
        <v>0.1</v>
      </c>
      <c r="D6" s="1727">
        <v>9.0999999999999998E-2</v>
      </c>
      <c r="E6" s="1727">
        <v>9.0999999999999998E-2</v>
      </c>
      <c r="F6" s="1728">
        <v>0.1</v>
      </c>
    </row>
    <row r="7" spans="1:6" ht="14.25" thickBot="1">
      <c r="A7" s="1722" t="s">
        <v>1074</v>
      </c>
      <c r="B7" s="1729" t="s">
        <v>1062</v>
      </c>
      <c r="C7" s="1727">
        <v>8.5999999999999993E-2</v>
      </c>
      <c r="D7" s="1727">
        <v>9.6000000000000002E-2</v>
      </c>
      <c r="E7" s="1727">
        <v>7.5999999999999998E-2</v>
      </c>
      <c r="F7" s="1728">
        <v>0.1</v>
      </c>
    </row>
    <row r="8" spans="1:6" ht="14.25" thickBot="1">
      <c r="A8" s="1722" t="s">
        <v>1074</v>
      </c>
      <c r="B8" s="1726" t="s">
        <v>1075</v>
      </c>
      <c r="C8" s="1727">
        <v>9.9000000000000005E-2</v>
      </c>
      <c r="D8" s="1727">
        <v>9.8000000000000004E-2</v>
      </c>
      <c r="E8" s="1727">
        <v>9.8000000000000004E-2</v>
      </c>
      <c r="F8" s="1728">
        <v>0.1</v>
      </c>
    </row>
    <row r="9" spans="1:6" ht="14.25" thickBot="1">
      <c r="A9" s="1730" t="s">
        <v>1074</v>
      </c>
      <c r="B9" s="1731" t="s">
        <v>1089</v>
      </c>
      <c r="C9" s="1732">
        <v>0.05</v>
      </c>
      <c r="D9" s="1733"/>
      <c r="E9" s="1733"/>
      <c r="F9" s="1734"/>
    </row>
    <row r="10" spans="1:6" ht="14.25" thickBot="1">
      <c r="A10" s="1722" t="s">
        <v>1133</v>
      </c>
      <c r="B10" s="1723" t="s">
        <v>1880</v>
      </c>
      <c r="C10" s="1724">
        <v>8.8999999999999996E-2</v>
      </c>
      <c r="D10" s="1724">
        <v>7.2999999999999995E-2</v>
      </c>
      <c r="E10" s="1724">
        <v>8.2000000000000003E-2</v>
      </c>
      <c r="F10" s="1725">
        <v>0.1</v>
      </c>
    </row>
    <row r="11" spans="1:6" ht="14.25" thickBot="1">
      <c r="A11" s="1722" t="s">
        <v>1133</v>
      </c>
      <c r="B11" s="1729" t="s">
        <v>1049</v>
      </c>
      <c r="C11" s="1727">
        <v>8.8999999999999996E-2</v>
      </c>
      <c r="D11" s="1727">
        <v>7.2999999999999995E-2</v>
      </c>
      <c r="E11" s="1727">
        <v>8.2000000000000003E-2</v>
      </c>
      <c r="F11" s="1728">
        <v>0.1</v>
      </c>
    </row>
    <row r="12" spans="1:6" ht="14.25" thickBot="1">
      <c r="A12" s="1722" t="s">
        <v>1133</v>
      </c>
      <c r="B12" s="1729" t="s">
        <v>1063</v>
      </c>
      <c r="C12" s="1727">
        <v>6.0999999999999999E-2</v>
      </c>
      <c r="D12" s="1727">
        <v>7.0999999999999994E-2</v>
      </c>
      <c r="E12" s="1727">
        <v>9.6000000000000002E-2</v>
      </c>
      <c r="F12" s="1728">
        <v>0.1</v>
      </c>
    </row>
    <row r="13" spans="1:6" ht="14.25" thickBot="1">
      <c r="A13" s="1722" t="s">
        <v>1133</v>
      </c>
      <c r="B13" s="1729" t="s">
        <v>1076</v>
      </c>
      <c r="C13" s="1727">
        <v>6.9000000000000006E-2</v>
      </c>
      <c r="D13" s="1727">
        <v>6.5000000000000002E-2</v>
      </c>
      <c r="E13" s="1727">
        <v>6.6000000000000003E-2</v>
      </c>
      <c r="F13" s="1728">
        <v>0.1</v>
      </c>
    </row>
    <row r="14" spans="1:6" ht="14.25" thickBot="1">
      <c r="A14" s="1722" t="s">
        <v>1133</v>
      </c>
      <c r="B14" s="1729" t="s">
        <v>1090</v>
      </c>
      <c r="C14" s="1727">
        <v>0.1</v>
      </c>
      <c r="D14" s="1727">
        <v>6.5000000000000002E-2</v>
      </c>
      <c r="E14" s="1727">
        <v>7.0000000000000007E-2</v>
      </c>
      <c r="F14" s="1728">
        <v>0.1</v>
      </c>
    </row>
    <row r="15" spans="1:6" ht="14.25" thickBot="1">
      <c r="A15" s="1722" t="s">
        <v>1133</v>
      </c>
      <c r="B15" s="1729" t="s">
        <v>1101</v>
      </c>
      <c r="C15" s="1727">
        <v>9.8000000000000004E-2</v>
      </c>
      <c r="D15" s="1727">
        <v>8.8999999999999996E-2</v>
      </c>
      <c r="E15" s="1727">
        <v>8.8999999999999996E-2</v>
      </c>
      <c r="F15" s="1728">
        <v>0.1</v>
      </c>
    </row>
    <row r="16" spans="1:6" ht="14.25" thickBot="1">
      <c r="A16" s="1722" t="s">
        <v>1133</v>
      </c>
      <c r="B16" s="1729" t="s">
        <v>1112</v>
      </c>
      <c r="C16" s="1727">
        <v>7.0000000000000007E-2</v>
      </c>
      <c r="D16" s="1727">
        <v>9.2999999999999999E-2</v>
      </c>
      <c r="E16" s="1727">
        <v>9.6000000000000002E-2</v>
      </c>
      <c r="F16" s="1728">
        <v>0.1</v>
      </c>
    </row>
    <row r="17" spans="1:6" ht="14.25" thickBot="1">
      <c r="A17" s="1722" t="s">
        <v>1133</v>
      </c>
      <c r="B17" s="1729" t="s">
        <v>1123</v>
      </c>
      <c r="C17" s="1727">
        <v>9.5000000000000001E-2</v>
      </c>
      <c r="D17" s="1727">
        <v>0.1</v>
      </c>
      <c r="E17" s="1727">
        <v>0.1</v>
      </c>
      <c r="F17" s="1735"/>
    </row>
    <row r="18" spans="1:6" ht="14.25" thickBot="1">
      <c r="A18" s="1722" t="s">
        <v>1133</v>
      </c>
      <c r="B18" s="1729" t="s">
        <v>1135</v>
      </c>
      <c r="C18" s="1727">
        <v>7.3999999999999996E-2</v>
      </c>
      <c r="D18" s="1727">
        <v>9.9000000000000005E-2</v>
      </c>
      <c r="E18" s="1727">
        <v>0.1</v>
      </c>
      <c r="F18" s="1735"/>
    </row>
    <row r="19" spans="1:6" ht="14.25" thickBot="1">
      <c r="A19" s="1722" t="s">
        <v>1133</v>
      </c>
      <c r="B19" s="1729" t="s">
        <v>1145</v>
      </c>
      <c r="C19" s="1727">
        <v>9.9000000000000005E-2</v>
      </c>
      <c r="D19" s="1727">
        <v>7.5999999999999998E-2</v>
      </c>
      <c r="E19" s="1727">
        <v>8.6999999999999994E-2</v>
      </c>
      <c r="F19" s="1735"/>
    </row>
    <row r="20" spans="1:6" ht="14.25" thickBot="1">
      <c r="A20" s="1722" t="s">
        <v>1133</v>
      </c>
      <c r="B20" s="1729" t="s">
        <v>1155</v>
      </c>
      <c r="C20" s="1727">
        <v>9.8000000000000004E-2</v>
      </c>
      <c r="D20" s="1727">
        <v>8.5000000000000006E-2</v>
      </c>
      <c r="E20" s="1727">
        <v>8.2000000000000003E-2</v>
      </c>
      <c r="F20" s="1735"/>
    </row>
    <row r="21" spans="1:6" ht="14.25" thickBot="1">
      <c r="A21" s="1722" t="s">
        <v>1133</v>
      </c>
      <c r="B21" s="1729" t="s">
        <v>1165</v>
      </c>
      <c r="C21" s="1727">
        <v>6.6000000000000003E-2</v>
      </c>
      <c r="D21" s="1727">
        <v>6.4000000000000001E-2</v>
      </c>
      <c r="E21" s="1727">
        <v>6.5000000000000002E-2</v>
      </c>
      <c r="F21" s="1735"/>
    </row>
    <row r="22" spans="1:6" ht="14.25" thickBot="1">
      <c r="A22" s="1722" t="s">
        <v>1133</v>
      </c>
      <c r="B22" s="1729" t="s">
        <v>1881</v>
      </c>
      <c r="C22" s="1727">
        <v>0.08</v>
      </c>
      <c r="D22" s="1727">
        <v>9.8000000000000004E-2</v>
      </c>
      <c r="E22" s="1727">
        <v>9.8000000000000004E-2</v>
      </c>
      <c r="F22" s="1735"/>
    </row>
    <row r="23" spans="1:6" ht="14.25" thickBot="1">
      <c r="A23" s="1722" t="s">
        <v>1133</v>
      </c>
      <c r="B23" s="1729" t="s">
        <v>1185</v>
      </c>
      <c r="C23" s="1727">
        <v>9.9000000000000005E-2</v>
      </c>
      <c r="D23" s="1727">
        <v>9.8000000000000004E-2</v>
      </c>
      <c r="E23" s="1727">
        <v>9.0999999999999998E-2</v>
      </c>
      <c r="F23" s="1735"/>
    </row>
    <row r="24" spans="1:6" ht="14.25" thickBot="1">
      <c r="A24" s="1722" t="s">
        <v>1133</v>
      </c>
      <c r="B24" s="1729" t="s">
        <v>1195</v>
      </c>
      <c r="C24" s="1727">
        <v>8.8999999999999996E-2</v>
      </c>
      <c r="D24" s="1727">
        <v>9.7000000000000003E-2</v>
      </c>
      <c r="E24" s="1727">
        <v>7.0000000000000007E-2</v>
      </c>
      <c r="F24" s="1735"/>
    </row>
    <row r="25" spans="1:6" ht="14.25" thickBot="1">
      <c r="A25" s="1722" t="s">
        <v>1133</v>
      </c>
      <c r="B25" s="1729" t="s">
        <v>1205</v>
      </c>
      <c r="C25" s="1727">
        <v>8.8999999999999996E-2</v>
      </c>
      <c r="D25" s="1727">
        <v>0.1</v>
      </c>
      <c r="E25" s="1727">
        <v>8.1000000000000003E-2</v>
      </c>
      <c r="F25" s="1735"/>
    </row>
    <row r="26" spans="1:6" ht="14.25" thickBot="1">
      <c r="A26" s="1722" t="s">
        <v>1133</v>
      </c>
      <c r="B26" s="1729" t="s">
        <v>1215</v>
      </c>
      <c r="C26" s="1736"/>
      <c r="D26" s="1727">
        <v>9.6000000000000002E-2</v>
      </c>
      <c r="E26" s="1727">
        <v>9.2999999999999999E-2</v>
      </c>
      <c r="F26" s="1735"/>
    </row>
    <row r="27" spans="1:6" ht="14.25" thickBot="1">
      <c r="A27" s="1722" t="s">
        <v>1133</v>
      </c>
      <c r="B27" s="1729" t="s">
        <v>1225</v>
      </c>
      <c r="C27" s="1736"/>
      <c r="D27" s="1727">
        <v>7.5999999999999998E-2</v>
      </c>
      <c r="E27" s="1727">
        <v>9.1999999999999998E-2</v>
      </c>
      <c r="F27" s="1735"/>
    </row>
    <row r="28" spans="1:6" ht="14.25" thickBot="1">
      <c r="A28" s="1730" t="s">
        <v>1133</v>
      </c>
      <c r="B28" s="1731" t="s">
        <v>1235</v>
      </c>
      <c r="C28" s="1733"/>
      <c r="D28" s="1732">
        <v>7.5999999999999998E-2</v>
      </c>
      <c r="E28" s="1732">
        <v>9.1999999999999998E-2</v>
      </c>
      <c r="F28" s="1734"/>
    </row>
    <row r="29" spans="1:6" ht="14.25" thickBot="1">
      <c r="A29" s="1722" t="s">
        <v>1304</v>
      </c>
      <c r="B29" s="1723" t="s">
        <v>1882</v>
      </c>
      <c r="C29" s="1724">
        <v>6.4000000000000001E-2</v>
      </c>
      <c r="D29" s="1724">
        <v>6.5000000000000002E-2</v>
      </c>
      <c r="E29" s="1724">
        <v>6.9000000000000006E-2</v>
      </c>
      <c r="F29" s="1725">
        <v>0.1</v>
      </c>
    </row>
    <row r="30" spans="1:6" ht="14.25" thickBot="1">
      <c r="A30" s="1722" t="s">
        <v>1304</v>
      </c>
      <c r="B30" s="1729" t="s">
        <v>1050</v>
      </c>
      <c r="C30" s="1727">
        <v>6.4000000000000001E-2</v>
      </c>
      <c r="D30" s="1727">
        <v>9.9000000000000005E-2</v>
      </c>
      <c r="E30" s="1727">
        <v>0.1</v>
      </c>
      <c r="F30" s="1728">
        <v>0.1</v>
      </c>
    </row>
    <row r="31" spans="1:6" ht="14.25" thickBot="1">
      <c r="A31" s="1722" t="s">
        <v>1304</v>
      </c>
      <c r="B31" s="1729" t="s">
        <v>1064</v>
      </c>
      <c r="C31" s="1727">
        <v>0.1</v>
      </c>
      <c r="D31" s="1727">
        <v>9.5000000000000001E-2</v>
      </c>
      <c r="E31" s="1727">
        <v>8.8999999999999996E-2</v>
      </c>
      <c r="F31" s="1728">
        <v>0.1</v>
      </c>
    </row>
    <row r="32" spans="1:6" ht="14.25" thickBot="1">
      <c r="A32" s="1722" t="s">
        <v>1304</v>
      </c>
      <c r="B32" s="1729" t="s">
        <v>1077</v>
      </c>
      <c r="C32" s="1727">
        <v>0.05</v>
      </c>
      <c r="D32" s="1727">
        <v>0.05</v>
      </c>
      <c r="E32" s="1727">
        <v>8.7999999999999995E-2</v>
      </c>
      <c r="F32" s="1728">
        <v>0.1</v>
      </c>
    </row>
    <row r="33" spans="1:6" ht="14.25" thickBot="1">
      <c r="A33" s="1722" t="s">
        <v>1304</v>
      </c>
      <c r="B33" s="1729" t="s">
        <v>1091</v>
      </c>
      <c r="C33" s="1727">
        <v>7.4999999999999997E-2</v>
      </c>
      <c r="D33" s="1727">
        <v>9.4E-2</v>
      </c>
      <c r="E33" s="1727">
        <v>9.7000000000000003E-2</v>
      </c>
      <c r="F33" s="1728">
        <v>0.1</v>
      </c>
    </row>
    <row r="34" spans="1:6" ht="14.25" thickBot="1">
      <c r="A34" s="1722" t="s">
        <v>1304</v>
      </c>
      <c r="B34" s="1729" t="s">
        <v>1102</v>
      </c>
      <c r="C34" s="1727">
        <v>9.8000000000000004E-2</v>
      </c>
      <c r="D34" s="1727">
        <v>8.5999999999999993E-2</v>
      </c>
      <c r="E34" s="1727">
        <v>9.7000000000000003E-2</v>
      </c>
      <c r="F34" s="1728">
        <v>0.1</v>
      </c>
    </row>
    <row r="35" spans="1:6" ht="14.25" thickBot="1">
      <c r="A35" s="1722" t="s">
        <v>1304</v>
      </c>
      <c r="B35" s="1729" t="s">
        <v>1113</v>
      </c>
      <c r="C35" s="1727">
        <v>5.8999999999999997E-2</v>
      </c>
      <c r="D35" s="1727">
        <v>6.5000000000000002E-2</v>
      </c>
      <c r="E35" s="1727">
        <v>7.0000000000000007E-2</v>
      </c>
      <c r="F35" s="1728">
        <v>0.1</v>
      </c>
    </row>
    <row r="36" spans="1:6" ht="14.25" thickBot="1">
      <c r="A36" s="1722" t="s">
        <v>1304</v>
      </c>
      <c r="B36" s="1729" t="s">
        <v>1124</v>
      </c>
      <c r="C36" s="1727">
        <v>6.3E-2</v>
      </c>
      <c r="D36" s="1727">
        <v>0.1</v>
      </c>
      <c r="E36" s="1727">
        <v>0.1</v>
      </c>
      <c r="F36" s="1728">
        <v>0.1</v>
      </c>
    </row>
    <row r="37" spans="1:6" ht="14.25" thickBot="1">
      <c r="A37" s="1722" t="s">
        <v>1304</v>
      </c>
      <c r="B37" s="1729" t="s">
        <v>1136</v>
      </c>
      <c r="C37" s="1727">
        <v>7.3999999999999996E-2</v>
      </c>
      <c r="D37" s="1727">
        <v>0.1</v>
      </c>
      <c r="E37" s="1727">
        <v>0.1</v>
      </c>
      <c r="F37" s="1728">
        <v>0.1</v>
      </c>
    </row>
    <row r="38" spans="1:6" ht="14.25" thickBot="1">
      <c r="A38" s="1722" t="s">
        <v>1304</v>
      </c>
      <c r="B38" s="1729" t="s">
        <v>1146</v>
      </c>
      <c r="C38" s="1727">
        <v>0.1</v>
      </c>
      <c r="D38" s="1727">
        <v>9.6000000000000002E-2</v>
      </c>
      <c r="E38" s="1727">
        <v>9.6000000000000002E-2</v>
      </c>
      <c r="F38" s="1735"/>
    </row>
    <row r="39" spans="1:6" ht="14.25" thickBot="1">
      <c r="A39" s="1722" t="s">
        <v>1304</v>
      </c>
      <c r="B39" s="1729" t="s">
        <v>1156</v>
      </c>
      <c r="C39" s="1727">
        <v>0.1</v>
      </c>
      <c r="D39" s="1727">
        <v>9.6000000000000002E-2</v>
      </c>
      <c r="E39" s="1727">
        <v>9.6000000000000002E-2</v>
      </c>
      <c r="F39" s="1735"/>
    </row>
    <row r="40" spans="1:6" ht="14.25" thickBot="1">
      <c r="A40" s="1722" t="s">
        <v>1304</v>
      </c>
      <c r="B40" s="1729" t="s">
        <v>1166</v>
      </c>
      <c r="C40" s="1727">
        <v>9.6000000000000002E-2</v>
      </c>
      <c r="D40" s="1727">
        <v>0.1</v>
      </c>
      <c r="E40" s="1727">
        <v>9.9000000000000005E-2</v>
      </c>
      <c r="F40" s="1735"/>
    </row>
    <row r="41" spans="1:6" ht="14.25" thickBot="1">
      <c r="A41" s="1722" t="s">
        <v>1304</v>
      </c>
      <c r="B41" s="1729" t="s">
        <v>1176</v>
      </c>
      <c r="C41" s="1727">
        <v>9.6000000000000002E-2</v>
      </c>
      <c r="D41" s="1727">
        <v>9.8000000000000004E-2</v>
      </c>
      <c r="E41" s="1727">
        <v>9.8000000000000004E-2</v>
      </c>
      <c r="F41" s="1735"/>
    </row>
    <row r="42" spans="1:6" ht="14.25" thickBot="1">
      <c r="A42" s="1722" t="s">
        <v>1304</v>
      </c>
      <c r="B42" s="1729" t="s">
        <v>1186</v>
      </c>
      <c r="C42" s="1727">
        <v>0.1</v>
      </c>
      <c r="D42" s="1727">
        <v>8.7999999999999995E-2</v>
      </c>
      <c r="E42" s="1727">
        <v>0.1</v>
      </c>
      <c r="F42" s="1735"/>
    </row>
    <row r="43" spans="1:6" ht="14.25" thickBot="1">
      <c r="A43" s="1722" t="s">
        <v>1304</v>
      </c>
      <c r="B43" s="1729" t="s">
        <v>1196</v>
      </c>
      <c r="C43" s="1727">
        <v>9.8000000000000004E-2</v>
      </c>
      <c r="D43" s="1727">
        <v>9.7000000000000003E-2</v>
      </c>
      <c r="E43" s="1727">
        <v>9.6000000000000002E-2</v>
      </c>
      <c r="F43" s="1735"/>
    </row>
    <row r="44" spans="1:6" ht="14.25" thickBot="1">
      <c r="A44" s="1722" t="s">
        <v>1304</v>
      </c>
      <c r="B44" s="1729" t="s">
        <v>1206</v>
      </c>
      <c r="C44" s="1727">
        <v>8.5999999999999993E-2</v>
      </c>
      <c r="D44" s="1727">
        <v>7.9000000000000001E-2</v>
      </c>
      <c r="E44" s="1727">
        <v>7.0999999999999994E-2</v>
      </c>
      <c r="F44" s="1735"/>
    </row>
    <row r="45" spans="1:6" ht="14.25" thickBot="1">
      <c r="A45" s="1722" t="s">
        <v>1304</v>
      </c>
      <c r="B45" s="1729" t="s">
        <v>1216</v>
      </c>
      <c r="C45" s="1727">
        <v>9.8000000000000004E-2</v>
      </c>
      <c r="D45" s="1727">
        <v>9.6000000000000002E-2</v>
      </c>
      <c r="E45" s="1727">
        <v>9.6000000000000002E-2</v>
      </c>
      <c r="F45" s="1735"/>
    </row>
    <row r="46" spans="1:6" ht="14.25" thickBot="1">
      <c r="A46" s="1722" t="s">
        <v>1304</v>
      </c>
      <c r="B46" s="1729" t="s">
        <v>1226</v>
      </c>
      <c r="C46" s="1727">
        <v>8.5999999999999993E-2</v>
      </c>
      <c r="D46" s="1727">
        <v>9.8000000000000004E-2</v>
      </c>
      <c r="E46" s="1727">
        <v>8.7999999999999995E-2</v>
      </c>
      <c r="F46" s="1735"/>
    </row>
    <row r="47" spans="1:6" ht="14.25" thickBot="1">
      <c r="A47" s="1722" t="s">
        <v>1304</v>
      </c>
      <c r="B47" s="1729" t="s">
        <v>1236</v>
      </c>
      <c r="C47" s="1727">
        <v>9.6000000000000002E-2</v>
      </c>
      <c r="D47" s="1736"/>
      <c r="E47" s="1727">
        <v>6.9000000000000006E-2</v>
      </c>
      <c r="F47" s="1735"/>
    </row>
    <row r="48" spans="1:6" ht="14.25" thickBot="1">
      <c r="A48" s="1730" t="s">
        <v>1304</v>
      </c>
      <c r="B48" s="1731" t="s">
        <v>1245</v>
      </c>
      <c r="C48" s="1732">
        <v>9.8000000000000004E-2</v>
      </c>
      <c r="D48" s="1733"/>
      <c r="E48" s="1732">
        <v>9.5000000000000001E-2</v>
      </c>
      <c r="F48" s="1734"/>
    </row>
    <row r="49" spans="1:6" ht="14.25" thickBot="1">
      <c r="A49" s="1722" t="s">
        <v>903</v>
      </c>
      <c r="B49" s="1723" t="s">
        <v>1883</v>
      </c>
      <c r="C49" s="1724">
        <v>9.7000000000000003E-2</v>
      </c>
      <c r="D49" s="1724">
        <v>9.5000000000000001E-2</v>
      </c>
      <c r="E49" s="1724">
        <v>9.7000000000000003E-2</v>
      </c>
      <c r="F49" s="1725">
        <v>0.1</v>
      </c>
    </row>
    <row r="50" spans="1:6" ht="14.25" thickBot="1">
      <c r="A50" s="1722" t="s">
        <v>903</v>
      </c>
      <c r="B50" s="1726" t="s">
        <v>1051</v>
      </c>
      <c r="C50" s="1727">
        <v>7.4999999999999997E-2</v>
      </c>
      <c r="D50" s="1727">
        <v>9.5000000000000001E-2</v>
      </c>
      <c r="E50" s="1727">
        <v>0.1</v>
      </c>
      <c r="F50" s="1728">
        <v>0.1</v>
      </c>
    </row>
    <row r="51" spans="1:6" ht="14.25" thickBot="1">
      <c r="A51" s="1722" t="s">
        <v>903</v>
      </c>
      <c r="B51" s="1726" t="s">
        <v>1065</v>
      </c>
      <c r="C51" s="1727">
        <v>9.8000000000000004E-2</v>
      </c>
      <c r="D51" s="1727">
        <v>8.8999999999999996E-2</v>
      </c>
      <c r="E51" s="1727">
        <v>0.1</v>
      </c>
      <c r="F51" s="1728">
        <v>0.1</v>
      </c>
    </row>
    <row r="52" spans="1:6" ht="14.25" thickBot="1">
      <c r="A52" s="1722" t="s">
        <v>903</v>
      </c>
      <c r="B52" s="1726" t="s">
        <v>1078</v>
      </c>
      <c r="C52" s="1727">
        <v>9.8000000000000004E-2</v>
      </c>
      <c r="D52" s="1727">
        <v>9.7000000000000003E-2</v>
      </c>
      <c r="E52" s="1727">
        <v>8.1000000000000003E-2</v>
      </c>
      <c r="F52" s="1728">
        <v>0.1</v>
      </c>
    </row>
    <row r="53" spans="1:6" ht="14.25" thickBot="1">
      <c r="A53" s="1722" t="s">
        <v>903</v>
      </c>
      <c r="B53" s="1726" t="s">
        <v>1092</v>
      </c>
      <c r="C53" s="1727">
        <v>9.7000000000000003E-2</v>
      </c>
      <c r="D53" s="1727">
        <v>7.5999999999999998E-2</v>
      </c>
      <c r="E53" s="1727">
        <v>7.0999999999999994E-2</v>
      </c>
      <c r="F53" s="1728">
        <v>0.1</v>
      </c>
    </row>
    <row r="54" spans="1:6" ht="14.25" thickBot="1">
      <c r="A54" s="1722" t="s">
        <v>903</v>
      </c>
      <c r="B54" s="1726" t="s">
        <v>1103</v>
      </c>
      <c r="C54" s="1727">
        <v>7.5999999999999998E-2</v>
      </c>
      <c r="D54" s="1727">
        <v>0.1</v>
      </c>
      <c r="E54" s="1727">
        <v>9.9000000000000005E-2</v>
      </c>
      <c r="F54" s="1728">
        <v>0.1</v>
      </c>
    </row>
    <row r="55" spans="1:6" ht="14.25" thickBot="1">
      <c r="A55" s="1722" t="s">
        <v>903</v>
      </c>
      <c r="B55" s="1726" t="s">
        <v>1114</v>
      </c>
      <c r="C55" s="1727">
        <v>0.1</v>
      </c>
      <c r="D55" s="1727">
        <v>0.1</v>
      </c>
      <c r="E55" s="1727">
        <v>9.6000000000000002E-2</v>
      </c>
      <c r="F55" s="1728">
        <v>0.1</v>
      </c>
    </row>
    <row r="56" spans="1:6" ht="14.25" thickBot="1">
      <c r="A56" s="1722" t="s">
        <v>903</v>
      </c>
      <c r="B56" s="1726" t="s">
        <v>1125</v>
      </c>
      <c r="C56" s="1727">
        <v>0.1</v>
      </c>
      <c r="D56" s="1727">
        <v>9.6000000000000002E-2</v>
      </c>
      <c r="E56" s="1727">
        <v>5.1999999999999998E-2</v>
      </c>
      <c r="F56" s="1728">
        <v>0.1</v>
      </c>
    </row>
    <row r="57" spans="1:6" ht="14.25" thickBot="1">
      <c r="A57" s="1722" t="s">
        <v>903</v>
      </c>
      <c r="B57" s="1726" t="s">
        <v>1137</v>
      </c>
      <c r="C57" s="1727">
        <v>9.7000000000000003E-2</v>
      </c>
      <c r="D57" s="1727">
        <v>9.6000000000000002E-2</v>
      </c>
      <c r="E57" s="1727">
        <v>9.6000000000000002E-2</v>
      </c>
      <c r="F57" s="1728">
        <v>0.1</v>
      </c>
    </row>
    <row r="58" spans="1:6" ht="14.25" thickBot="1">
      <c r="A58" s="1722" t="s">
        <v>903</v>
      </c>
      <c r="B58" s="1726" t="s">
        <v>1147</v>
      </c>
      <c r="C58" s="1727">
        <v>9.6000000000000002E-2</v>
      </c>
      <c r="D58" s="1727">
        <v>9.9000000000000005E-2</v>
      </c>
      <c r="E58" s="1727">
        <v>9.6000000000000002E-2</v>
      </c>
      <c r="F58" s="1728">
        <v>0.1</v>
      </c>
    </row>
    <row r="59" spans="1:6" ht="14.25" thickBot="1">
      <c r="A59" s="1722" t="s">
        <v>903</v>
      </c>
      <c r="B59" s="1726" t="s">
        <v>1157</v>
      </c>
      <c r="C59" s="1727">
        <v>7.1999999999999995E-2</v>
      </c>
      <c r="D59" s="1727">
        <v>9.6000000000000002E-2</v>
      </c>
      <c r="E59" s="1727">
        <v>7.0999999999999994E-2</v>
      </c>
      <c r="F59" s="1728">
        <v>0.1</v>
      </c>
    </row>
    <row r="60" spans="1:6" ht="14.25" thickBot="1">
      <c r="A60" s="1722" t="s">
        <v>903</v>
      </c>
      <c r="B60" s="1726" t="s">
        <v>1167</v>
      </c>
      <c r="C60" s="1727">
        <v>9.6000000000000002E-2</v>
      </c>
      <c r="D60" s="1727">
        <v>8.8999999999999996E-2</v>
      </c>
      <c r="E60" s="1727">
        <v>9.6000000000000002E-2</v>
      </c>
      <c r="F60" s="1728">
        <v>0.1</v>
      </c>
    </row>
    <row r="61" spans="1:6" ht="14.25" thickBot="1">
      <c r="A61" s="1722" t="s">
        <v>903</v>
      </c>
      <c r="B61" s="1726" t="s">
        <v>1177</v>
      </c>
      <c r="C61" s="1727">
        <v>8.8999999999999996E-2</v>
      </c>
      <c r="D61" s="1727">
        <v>9.8000000000000004E-2</v>
      </c>
      <c r="E61" s="1727">
        <v>8.7999999999999995E-2</v>
      </c>
      <c r="F61" s="1735"/>
    </row>
    <row r="62" spans="1:6" ht="14.25" thickBot="1">
      <c r="A62" s="1722" t="s">
        <v>903</v>
      </c>
      <c r="B62" s="1726" t="s">
        <v>1187</v>
      </c>
      <c r="C62" s="1727">
        <v>9.8000000000000004E-2</v>
      </c>
      <c r="D62" s="1727">
        <v>9.2999999999999999E-2</v>
      </c>
      <c r="E62" s="1727">
        <v>9.7000000000000003E-2</v>
      </c>
      <c r="F62" s="1735"/>
    </row>
    <row r="63" spans="1:6" ht="14.25" thickBot="1">
      <c r="A63" s="1722" t="s">
        <v>903</v>
      </c>
      <c r="B63" s="1726" t="s">
        <v>1197</v>
      </c>
      <c r="C63" s="1727">
        <v>9.6000000000000002E-2</v>
      </c>
      <c r="D63" s="1727">
        <v>9.8000000000000004E-2</v>
      </c>
      <c r="E63" s="1727">
        <v>0.09</v>
      </c>
      <c r="F63" s="1735"/>
    </row>
    <row r="64" spans="1:6" ht="14.25" thickBot="1">
      <c r="A64" s="1722" t="s">
        <v>903</v>
      </c>
      <c r="B64" s="1726" t="s">
        <v>1207</v>
      </c>
      <c r="C64" s="1727">
        <v>9.9000000000000005E-2</v>
      </c>
      <c r="D64" s="1727">
        <v>9.7000000000000003E-2</v>
      </c>
      <c r="E64" s="1727">
        <v>9.9000000000000005E-2</v>
      </c>
      <c r="F64" s="1735"/>
    </row>
    <row r="65" spans="1:6" ht="14.25" thickBot="1">
      <c r="A65" s="1722" t="s">
        <v>903</v>
      </c>
      <c r="B65" s="1726" t="s">
        <v>1217</v>
      </c>
      <c r="C65" s="1727">
        <v>9.8000000000000004E-2</v>
      </c>
      <c r="D65" s="1727">
        <v>9.6000000000000002E-2</v>
      </c>
      <c r="E65" s="1727">
        <v>9.6000000000000002E-2</v>
      </c>
      <c r="F65" s="1735"/>
    </row>
    <row r="66" spans="1:6" ht="14.25" thickBot="1">
      <c r="A66" s="1722" t="s">
        <v>903</v>
      </c>
      <c r="B66" s="1726" t="s">
        <v>1227</v>
      </c>
      <c r="C66" s="1727">
        <v>9.6000000000000002E-2</v>
      </c>
      <c r="D66" s="1727">
        <v>9.1999999999999998E-2</v>
      </c>
      <c r="E66" s="1727">
        <v>9.6000000000000002E-2</v>
      </c>
      <c r="F66" s="1735"/>
    </row>
    <row r="67" spans="1:6" ht="14.25" thickBot="1">
      <c r="A67" s="1722" t="s">
        <v>903</v>
      </c>
      <c r="B67" s="1726" t="s">
        <v>1237</v>
      </c>
      <c r="C67" s="1727">
        <v>9.4E-2</v>
      </c>
      <c r="D67" s="1727">
        <v>0.1</v>
      </c>
      <c r="E67" s="1727">
        <v>8.7999999999999995E-2</v>
      </c>
      <c r="F67" s="1735"/>
    </row>
    <row r="68" spans="1:6" ht="14.25" thickBot="1">
      <c r="A68" s="1722" t="s">
        <v>903</v>
      </c>
      <c r="B68" s="1726" t="s">
        <v>1246</v>
      </c>
      <c r="C68" s="1727">
        <v>0.1</v>
      </c>
      <c r="D68" s="1727">
        <v>8.7999999999999995E-2</v>
      </c>
      <c r="E68" s="1727">
        <v>9.7000000000000003E-2</v>
      </c>
      <c r="F68" s="1735"/>
    </row>
    <row r="69" spans="1:6" ht="14.25" thickBot="1">
      <c r="A69" s="1722" t="s">
        <v>903</v>
      </c>
      <c r="B69" s="1726" t="s">
        <v>1255</v>
      </c>
      <c r="C69" s="1727">
        <v>6.4000000000000001E-2</v>
      </c>
      <c r="D69" s="1727">
        <v>0.1</v>
      </c>
      <c r="E69" s="1727">
        <v>0.1</v>
      </c>
      <c r="F69" s="1735"/>
    </row>
    <row r="70" spans="1:6" ht="14.25" thickBot="1">
      <c r="A70" s="1722" t="s">
        <v>903</v>
      </c>
      <c r="B70" s="1726" t="s">
        <v>1263</v>
      </c>
      <c r="C70" s="1727">
        <v>9.0999999999999998E-2</v>
      </c>
      <c r="D70" s="1736"/>
      <c r="E70" s="1736"/>
      <c r="F70" s="1735"/>
    </row>
    <row r="71" spans="1:6" ht="14.25" thickBot="1">
      <c r="A71" s="1722" t="s">
        <v>903</v>
      </c>
      <c r="B71" s="1726" t="s">
        <v>1270</v>
      </c>
      <c r="C71" s="1727">
        <v>0.1</v>
      </c>
      <c r="D71" s="1736"/>
      <c r="E71" s="1736"/>
      <c r="F71" s="1735"/>
    </row>
    <row r="72" spans="1:6" ht="14.25" thickBot="1">
      <c r="A72" s="1722" t="s">
        <v>903</v>
      </c>
      <c r="B72" s="1726" t="s">
        <v>1884</v>
      </c>
      <c r="C72" s="1736"/>
      <c r="D72" s="1736"/>
      <c r="E72" s="1736"/>
      <c r="F72" s="1728">
        <v>0.05</v>
      </c>
    </row>
    <row r="73" spans="1:6" ht="14.25" thickBot="1">
      <c r="A73" s="1722" t="s">
        <v>903</v>
      </c>
      <c r="B73" s="1726" t="s">
        <v>1885</v>
      </c>
      <c r="C73" s="1736"/>
      <c r="D73" s="1736"/>
      <c r="E73" s="1736"/>
      <c r="F73" s="1728">
        <v>0.05</v>
      </c>
    </row>
    <row r="74" spans="1:6" ht="14.25" thickBot="1">
      <c r="A74" s="1722" t="s">
        <v>903</v>
      </c>
      <c r="B74" s="1726" t="s">
        <v>1886</v>
      </c>
      <c r="C74" s="1736"/>
      <c r="D74" s="1736"/>
      <c r="E74" s="1736"/>
      <c r="F74" s="1728">
        <v>0.05</v>
      </c>
    </row>
    <row r="75" spans="1:6" ht="14.25" thickBot="1">
      <c r="A75" s="1730" t="s">
        <v>903</v>
      </c>
      <c r="B75" s="1737" t="s">
        <v>1887</v>
      </c>
      <c r="C75" s="1733"/>
      <c r="D75" s="1733"/>
      <c r="E75" s="1733"/>
      <c r="F75" s="1738">
        <v>0.05</v>
      </c>
    </row>
    <row r="76" spans="1:6" ht="14.25" thickBot="1">
      <c r="A76" s="1722" t="s">
        <v>1385</v>
      </c>
      <c r="B76" s="1723" t="s">
        <v>1888</v>
      </c>
      <c r="C76" s="1724">
        <v>0.1</v>
      </c>
      <c r="D76" s="1724">
        <v>0.1</v>
      </c>
      <c r="E76" s="1724">
        <v>0.1</v>
      </c>
      <c r="F76" s="1725">
        <v>0.1</v>
      </c>
    </row>
    <row r="77" spans="1:6" ht="14.25" thickBot="1">
      <c r="A77" s="1722" t="s">
        <v>1385</v>
      </c>
      <c r="B77" s="1726" t="s">
        <v>1052</v>
      </c>
      <c r="C77" s="1727">
        <v>8.7999999999999995E-2</v>
      </c>
      <c r="D77" s="1727">
        <v>8.6999999999999994E-2</v>
      </c>
      <c r="E77" s="1727">
        <v>7.9000000000000001E-2</v>
      </c>
      <c r="F77" s="1728">
        <v>0.1</v>
      </c>
    </row>
    <row r="78" spans="1:6" ht="14.25" thickBot="1">
      <c r="A78" s="1722" t="s">
        <v>1385</v>
      </c>
      <c r="B78" s="1726" t="s">
        <v>1066</v>
      </c>
      <c r="C78" s="1727">
        <v>8.6999999999999994E-2</v>
      </c>
      <c r="D78" s="1727">
        <v>8.4000000000000005E-2</v>
      </c>
      <c r="E78" s="1727">
        <v>9.6000000000000002E-2</v>
      </c>
      <c r="F78" s="1728">
        <v>0.1</v>
      </c>
    </row>
    <row r="79" spans="1:6" ht="14.25" thickBot="1">
      <c r="A79" s="1722" t="s">
        <v>1385</v>
      </c>
      <c r="B79" s="1726" t="s">
        <v>1079</v>
      </c>
      <c r="C79" s="1727">
        <v>9.8000000000000004E-2</v>
      </c>
      <c r="D79" s="1727">
        <v>9.8000000000000004E-2</v>
      </c>
      <c r="E79" s="1727">
        <v>9.0999999999999998E-2</v>
      </c>
      <c r="F79" s="1728">
        <v>0.1</v>
      </c>
    </row>
    <row r="80" spans="1:6" ht="14.25" thickBot="1">
      <c r="A80" s="1722" t="s">
        <v>1385</v>
      </c>
      <c r="B80" s="1726" t="s">
        <v>1093</v>
      </c>
      <c r="C80" s="1727">
        <v>9.6000000000000002E-2</v>
      </c>
      <c r="D80" s="1727">
        <v>9.6000000000000002E-2</v>
      </c>
      <c r="E80" s="1727">
        <v>0.1</v>
      </c>
      <c r="F80" s="1728">
        <v>0.1</v>
      </c>
    </row>
    <row r="81" spans="1:6" ht="14.25" thickBot="1">
      <c r="A81" s="1722" t="s">
        <v>1385</v>
      </c>
      <c r="B81" s="1726" t="s">
        <v>1104</v>
      </c>
      <c r="C81" s="1727">
        <v>9.9000000000000005E-2</v>
      </c>
      <c r="D81" s="1727">
        <v>9.9000000000000005E-2</v>
      </c>
      <c r="E81" s="1727">
        <v>9.8000000000000004E-2</v>
      </c>
      <c r="F81" s="1728">
        <v>0.1</v>
      </c>
    </row>
    <row r="82" spans="1:6" ht="14.25" thickBot="1">
      <c r="A82" s="1722" t="s">
        <v>1385</v>
      </c>
      <c r="B82" s="1726" t="s">
        <v>1115</v>
      </c>
      <c r="C82" s="1727">
        <v>9.9000000000000005E-2</v>
      </c>
      <c r="D82" s="1727">
        <v>9.9000000000000005E-2</v>
      </c>
      <c r="E82" s="1727">
        <v>9.7000000000000003E-2</v>
      </c>
      <c r="F82" s="1728">
        <v>0.1</v>
      </c>
    </row>
    <row r="83" spans="1:6" ht="14.25" thickBot="1">
      <c r="A83" s="1722" t="s">
        <v>1385</v>
      </c>
      <c r="B83" s="1726" t="s">
        <v>1126</v>
      </c>
      <c r="C83" s="1727">
        <v>9.8000000000000004E-2</v>
      </c>
      <c r="D83" s="1727">
        <v>9.8000000000000004E-2</v>
      </c>
      <c r="E83" s="1727">
        <v>9.8000000000000004E-2</v>
      </c>
      <c r="F83" s="1728">
        <v>0.1</v>
      </c>
    </row>
    <row r="84" spans="1:6" ht="14.25" thickBot="1">
      <c r="A84" s="1722" t="s">
        <v>1385</v>
      </c>
      <c r="B84" s="1726" t="s">
        <v>1138</v>
      </c>
      <c r="C84" s="1727">
        <v>9.9000000000000005E-2</v>
      </c>
      <c r="D84" s="1727">
        <v>9.9000000000000005E-2</v>
      </c>
      <c r="E84" s="1727">
        <v>9.9000000000000005E-2</v>
      </c>
      <c r="F84" s="1728">
        <v>0.1</v>
      </c>
    </row>
    <row r="85" spans="1:6" ht="14.25" thickBot="1">
      <c r="A85" s="1722" t="s">
        <v>1385</v>
      </c>
      <c r="B85" s="1726" t="s">
        <v>1148</v>
      </c>
      <c r="C85" s="1727">
        <v>9.9000000000000005E-2</v>
      </c>
      <c r="D85" s="1727">
        <v>9.9000000000000005E-2</v>
      </c>
      <c r="E85" s="1727">
        <v>9.9000000000000005E-2</v>
      </c>
      <c r="F85" s="1728">
        <v>0.1</v>
      </c>
    </row>
    <row r="86" spans="1:6" ht="14.25" thickBot="1">
      <c r="A86" s="1722" t="s">
        <v>1385</v>
      </c>
      <c r="B86" s="1726" t="s">
        <v>1158</v>
      </c>
      <c r="C86" s="1727">
        <v>0.1</v>
      </c>
      <c r="D86" s="1727">
        <v>0.1</v>
      </c>
      <c r="E86" s="1727">
        <v>7.6999999999999999E-2</v>
      </c>
      <c r="F86" s="1728">
        <v>0.1</v>
      </c>
    </row>
    <row r="87" spans="1:6" ht="14.25" thickBot="1">
      <c r="A87" s="1722" t="s">
        <v>1385</v>
      </c>
      <c r="B87" s="1726" t="s">
        <v>1168</v>
      </c>
      <c r="C87" s="1727">
        <v>0.1</v>
      </c>
      <c r="D87" s="1727">
        <v>0.1</v>
      </c>
      <c r="E87" s="1727">
        <v>9.8000000000000004E-2</v>
      </c>
      <c r="F87" s="1735"/>
    </row>
    <row r="88" spans="1:6" ht="14.25" thickBot="1">
      <c r="A88" s="1722" t="s">
        <v>1385</v>
      </c>
      <c r="B88" s="1726" t="s">
        <v>1178</v>
      </c>
      <c r="C88" s="1727">
        <v>9.1999999999999998E-2</v>
      </c>
      <c r="D88" s="1727">
        <v>8.5000000000000006E-2</v>
      </c>
      <c r="E88" s="1727">
        <v>9.6000000000000002E-2</v>
      </c>
      <c r="F88" s="1735"/>
    </row>
    <row r="89" spans="1:6" ht="14.25" thickBot="1">
      <c r="A89" s="1722" t="s">
        <v>1385</v>
      </c>
      <c r="B89" s="1726" t="s">
        <v>1188</v>
      </c>
      <c r="C89" s="1727">
        <v>0.1</v>
      </c>
      <c r="D89" s="1727">
        <v>0.1</v>
      </c>
      <c r="E89" s="1727">
        <v>9.7000000000000003E-2</v>
      </c>
      <c r="F89" s="1735"/>
    </row>
    <row r="90" spans="1:6" ht="14.25" thickBot="1">
      <c r="A90" s="1722" t="s">
        <v>1385</v>
      </c>
      <c r="B90" s="1726" t="s">
        <v>1198</v>
      </c>
      <c r="C90" s="1727">
        <v>9.8000000000000004E-2</v>
      </c>
      <c r="D90" s="1727">
        <v>9.8000000000000004E-2</v>
      </c>
      <c r="E90" s="1727">
        <v>8.7999999999999995E-2</v>
      </c>
      <c r="F90" s="1735"/>
    </row>
    <row r="91" spans="1:6" ht="14.25" thickBot="1">
      <c r="A91" s="1722" t="s">
        <v>1385</v>
      </c>
      <c r="B91" s="1726" t="s">
        <v>1208</v>
      </c>
      <c r="C91" s="1727">
        <v>9.9000000000000005E-2</v>
      </c>
      <c r="D91" s="1727">
        <v>9.9000000000000005E-2</v>
      </c>
      <c r="E91" s="1727">
        <v>9.0999999999999998E-2</v>
      </c>
      <c r="F91" s="1735"/>
    </row>
    <row r="92" spans="1:6" ht="14.25" thickBot="1">
      <c r="A92" s="1722" t="s">
        <v>1385</v>
      </c>
      <c r="B92" s="1726" t="s">
        <v>1218</v>
      </c>
      <c r="C92" s="1727">
        <v>9.6000000000000002E-2</v>
      </c>
      <c r="D92" s="1727">
        <v>9.6000000000000002E-2</v>
      </c>
      <c r="E92" s="1727">
        <v>7.2999999999999995E-2</v>
      </c>
      <c r="F92" s="1735"/>
    </row>
    <row r="93" spans="1:6" ht="14.25" thickBot="1">
      <c r="A93" s="1722" t="s">
        <v>1385</v>
      </c>
      <c r="B93" s="1726" t="s">
        <v>1228</v>
      </c>
      <c r="C93" s="1727">
        <v>9.6000000000000002E-2</v>
      </c>
      <c r="D93" s="1727">
        <v>9.6000000000000002E-2</v>
      </c>
      <c r="E93" s="1727">
        <v>9.9000000000000005E-2</v>
      </c>
      <c r="F93" s="1735"/>
    </row>
    <row r="94" spans="1:6" ht="14.25" thickBot="1">
      <c r="A94" s="1722" t="s">
        <v>1385</v>
      </c>
      <c r="B94" s="1726" t="s">
        <v>1238</v>
      </c>
      <c r="C94" s="1727">
        <v>7.5999999999999998E-2</v>
      </c>
      <c r="D94" s="1727">
        <v>7.3999999999999996E-2</v>
      </c>
      <c r="E94" s="1727">
        <v>9.7000000000000003E-2</v>
      </c>
      <c r="F94" s="1735"/>
    </row>
    <row r="95" spans="1:6" ht="14.25" thickBot="1">
      <c r="A95" s="1722" t="s">
        <v>1385</v>
      </c>
      <c r="B95" s="1726" t="s">
        <v>1247</v>
      </c>
      <c r="C95" s="1727">
        <v>9.9000000000000005E-2</v>
      </c>
      <c r="D95" s="1727">
        <v>9.4E-2</v>
      </c>
      <c r="E95" s="1727">
        <v>9.6000000000000002E-2</v>
      </c>
      <c r="F95" s="1735"/>
    </row>
    <row r="96" spans="1:6" ht="14.25" thickBot="1">
      <c r="A96" s="1722" t="s">
        <v>1385</v>
      </c>
      <c r="B96" s="1726" t="s">
        <v>1256</v>
      </c>
      <c r="C96" s="1727">
        <v>9.9000000000000005E-2</v>
      </c>
      <c r="D96" s="1727">
        <v>9.9000000000000005E-2</v>
      </c>
      <c r="E96" s="1727">
        <v>9.9000000000000005E-2</v>
      </c>
      <c r="F96" s="1735"/>
    </row>
    <row r="97" spans="1:6" ht="14.25" thickBot="1">
      <c r="A97" s="1722" t="s">
        <v>1385</v>
      </c>
      <c r="B97" s="1726" t="s">
        <v>1264</v>
      </c>
      <c r="C97" s="1727">
        <v>9.8000000000000004E-2</v>
      </c>
      <c r="D97" s="1727">
        <v>9.8000000000000004E-2</v>
      </c>
      <c r="E97" s="1727">
        <v>9.7000000000000003E-2</v>
      </c>
      <c r="F97" s="1735"/>
    </row>
    <row r="98" spans="1:6" ht="14.25" thickBot="1">
      <c r="A98" s="1722" t="s">
        <v>1385</v>
      </c>
      <c r="B98" s="1726" t="s">
        <v>1271</v>
      </c>
      <c r="C98" s="1727">
        <v>0.1</v>
      </c>
      <c r="D98" s="1727">
        <v>0.1</v>
      </c>
      <c r="E98" s="1727">
        <v>9.7000000000000003E-2</v>
      </c>
      <c r="F98" s="1735"/>
    </row>
    <row r="99" spans="1:6" ht="14.25" thickBot="1">
      <c r="A99" s="1722" t="s">
        <v>1385</v>
      </c>
      <c r="B99" s="1726" t="s">
        <v>1278</v>
      </c>
      <c r="C99" s="1727">
        <v>0.1</v>
      </c>
      <c r="D99" s="1727">
        <v>0.1</v>
      </c>
      <c r="E99" s="1736"/>
      <c r="F99" s="1735"/>
    </row>
    <row r="100" spans="1:6" ht="14.25" thickBot="1">
      <c r="A100" s="1722" t="s">
        <v>1385</v>
      </c>
      <c r="B100" s="1726" t="s">
        <v>1285</v>
      </c>
      <c r="C100" s="1727">
        <v>0.09</v>
      </c>
      <c r="D100" s="1727">
        <v>8.8999999999999996E-2</v>
      </c>
      <c r="E100" s="1736"/>
      <c r="F100" s="1735"/>
    </row>
    <row r="101" spans="1:6" ht="14.25" thickBot="1">
      <c r="A101" s="1722" t="s">
        <v>1385</v>
      </c>
      <c r="B101" s="1726" t="s">
        <v>1292</v>
      </c>
      <c r="C101" s="1727">
        <v>9.8000000000000004E-2</v>
      </c>
      <c r="D101" s="1727">
        <v>9.7000000000000003E-2</v>
      </c>
      <c r="E101" s="1736"/>
      <c r="F101" s="1735"/>
    </row>
    <row r="102" spans="1:6" ht="14.25" thickBot="1">
      <c r="A102" s="1722" t="s">
        <v>1385</v>
      </c>
      <c r="B102" s="1726" t="s">
        <v>1889</v>
      </c>
      <c r="C102" s="1736"/>
      <c r="D102" s="1736"/>
      <c r="E102" s="1736"/>
      <c r="F102" s="1728">
        <v>0.05</v>
      </c>
    </row>
    <row r="103" spans="1:6" ht="24.75" thickBot="1">
      <c r="A103" s="1722" t="s">
        <v>1385</v>
      </c>
      <c r="B103" s="1726" t="s">
        <v>1890</v>
      </c>
      <c r="C103" s="1736"/>
      <c r="D103" s="1736"/>
      <c r="E103" s="1736"/>
      <c r="F103" s="1728">
        <v>0.05</v>
      </c>
    </row>
    <row r="104" spans="1:6" ht="14.25" thickBot="1">
      <c r="A104" s="1722" t="s">
        <v>1385</v>
      </c>
      <c r="B104" s="1726" t="s">
        <v>1891</v>
      </c>
      <c r="C104" s="1736"/>
      <c r="D104" s="1736"/>
      <c r="E104" s="1736"/>
      <c r="F104" s="1728">
        <v>0.05</v>
      </c>
    </row>
    <row r="105" spans="1:6" ht="14.25" thickBot="1">
      <c r="A105" s="1722" t="s">
        <v>1385</v>
      </c>
      <c r="B105" s="1726" t="s">
        <v>1892</v>
      </c>
      <c r="C105" s="1736"/>
      <c r="D105" s="1736"/>
      <c r="E105" s="1736"/>
      <c r="F105" s="1728">
        <v>0.05</v>
      </c>
    </row>
    <row r="106" spans="1:6" ht="14.25" thickBot="1">
      <c r="A106" s="1722" t="s">
        <v>1385</v>
      </c>
      <c r="B106" s="1726" t="s">
        <v>1893</v>
      </c>
      <c r="C106" s="1736"/>
      <c r="D106" s="1736"/>
      <c r="E106" s="1736"/>
      <c r="F106" s="1728">
        <v>0.05</v>
      </c>
    </row>
    <row r="107" spans="1:6" ht="24.75" thickBot="1">
      <c r="A107" s="1722" t="s">
        <v>1385</v>
      </c>
      <c r="B107" s="1726" t="s">
        <v>1894</v>
      </c>
      <c r="C107" s="1736"/>
      <c r="D107" s="1736"/>
      <c r="E107" s="1736"/>
      <c r="F107" s="1728">
        <v>0.05</v>
      </c>
    </row>
    <row r="108" spans="1:6" ht="24.75" thickBot="1">
      <c r="A108" s="1722" t="s">
        <v>1385</v>
      </c>
      <c r="B108" s="1726" t="s">
        <v>1895</v>
      </c>
      <c r="C108" s="1736"/>
      <c r="D108" s="1736"/>
      <c r="E108" s="1736"/>
      <c r="F108" s="1728">
        <v>0.05</v>
      </c>
    </row>
    <row r="109" spans="1:6" ht="24.75" thickBot="1">
      <c r="A109" s="1730" t="s">
        <v>1385</v>
      </c>
      <c r="B109" s="1737" t="s">
        <v>1896</v>
      </c>
      <c r="C109" s="1733"/>
      <c r="D109" s="1733"/>
      <c r="E109" s="1733"/>
      <c r="F109" s="1738">
        <v>0.05</v>
      </c>
    </row>
    <row r="110" spans="1:6" ht="14.25" thickBot="1">
      <c r="A110" s="1722" t="s">
        <v>1387</v>
      </c>
      <c r="B110" s="1723" t="s">
        <v>1897</v>
      </c>
      <c r="C110" s="1724">
        <v>0.129</v>
      </c>
      <c r="D110" s="1724">
        <v>0.129</v>
      </c>
      <c r="E110" s="1724">
        <v>0.126</v>
      </c>
      <c r="F110" s="1725">
        <v>0.13</v>
      </c>
    </row>
    <row r="111" spans="1:6" ht="14.25" thickBot="1">
      <c r="A111" s="1722" t="s">
        <v>1387</v>
      </c>
      <c r="B111" s="1726" t="s">
        <v>1053</v>
      </c>
      <c r="C111" s="1727">
        <v>0.11</v>
      </c>
      <c r="D111" s="1727">
        <v>0.11</v>
      </c>
      <c r="E111" s="1727">
        <v>9.9000000000000005E-2</v>
      </c>
      <c r="F111" s="1728">
        <v>0.128</v>
      </c>
    </row>
    <row r="112" spans="1:6" ht="14.25" thickBot="1">
      <c r="A112" s="1722" t="s">
        <v>1387</v>
      </c>
      <c r="B112" s="1726" t="s">
        <v>1067</v>
      </c>
      <c r="C112" s="1727">
        <v>0.125</v>
      </c>
      <c r="D112" s="1727">
        <v>0.125</v>
      </c>
      <c r="E112" s="1727">
        <v>0.12</v>
      </c>
      <c r="F112" s="1728">
        <v>0.125</v>
      </c>
    </row>
    <row r="113" spans="1:6" ht="14.25" thickBot="1">
      <c r="A113" s="1722" t="s">
        <v>1387</v>
      </c>
      <c r="B113" s="1726" t="s">
        <v>1080</v>
      </c>
      <c r="C113" s="1727">
        <v>0.13</v>
      </c>
      <c r="D113" s="1727">
        <v>0.13</v>
      </c>
      <c r="E113" s="1727">
        <v>0.13</v>
      </c>
      <c r="F113" s="1728">
        <v>0.13</v>
      </c>
    </row>
    <row r="114" spans="1:6" ht="14.25" thickBot="1">
      <c r="A114" s="1722" t="s">
        <v>1387</v>
      </c>
      <c r="B114" s="1726" t="s">
        <v>1094</v>
      </c>
      <c r="C114" s="1727">
        <v>0.123</v>
      </c>
      <c r="D114" s="1727">
        <v>0.123</v>
      </c>
      <c r="E114" s="1727">
        <v>0.12</v>
      </c>
      <c r="F114" s="1728">
        <v>0.13</v>
      </c>
    </row>
    <row r="115" spans="1:6" ht="14.25" thickBot="1">
      <c r="A115" s="1722" t="s">
        <v>1387</v>
      </c>
      <c r="B115" s="1726" t="s">
        <v>1105</v>
      </c>
      <c r="C115" s="1727">
        <v>0.125</v>
      </c>
      <c r="D115" s="1727">
        <v>0.125</v>
      </c>
      <c r="E115" s="1727">
        <v>0.11700000000000001</v>
      </c>
      <c r="F115" s="1728">
        <v>0.13</v>
      </c>
    </row>
    <row r="116" spans="1:6" ht="14.25" thickBot="1">
      <c r="A116" s="1722" t="s">
        <v>1387</v>
      </c>
      <c r="B116" s="1726" t="s">
        <v>1116</v>
      </c>
      <c r="C116" s="1727">
        <v>0.11700000000000001</v>
      </c>
      <c r="D116" s="1727">
        <v>0.11700000000000001</v>
      </c>
      <c r="E116" s="1727">
        <v>8.7999999999999995E-2</v>
      </c>
      <c r="F116" s="1728">
        <v>0.13</v>
      </c>
    </row>
    <row r="117" spans="1:6" ht="14.25" thickBot="1">
      <c r="A117" s="1722" t="s">
        <v>1387</v>
      </c>
      <c r="B117" s="1726" t="s">
        <v>1127</v>
      </c>
      <c r="C117" s="1727">
        <v>0.13</v>
      </c>
      <c r="D117" s="1727">
        <v>0.13</v>
      </c>
      <c r="E117" s="1727">
        <v>0.129</v>
      </c>
      <c r="F117" s="1728">
        <v>0.13</v>
      </c>
    </row>
    <row r="118" spans="1:6" ht="14.25" thickBot="1">
      <c r="A118" s="1722" t="s">
        <v>1387</v>
      </c>
      <c r="B118" s="1726" t="s">
        <v>1139</v>
      </c>
      <c r="C118" s="1727">
        <v>0.123</v>
      </c>
      <c r="D118" s="1727">
        <v>0.123</v>
      </c>
      <c r="E118" s="1727">
        <v>0.11600000000000001</v>
      </c>
      <c r="F118" s="1728">
        <v>0.13</v>
      </c>
    </row>
    <row r="119" spans="1:6" ht="14.25" thickBot="1">
      <c r="A119" s="1722" t="s">
        <v>1387</v>
      </c>
      <c r="B119" s="1726" t="s">
        <v>1149</v>
      </c>
      <c r="C119" s="1727">
        <v>0.127</v>
      </c>
      <c r="D119" s="1727">
        <v>0.127</v>
      </c>
      <c r="E119" s="1727">
        <v>0.124</v>
      </c>
      <c r="F119" s="1728">
        <v>0.13</v>
      </c>
    </row>
    <row r="120" spans="1:6" ht="14.25" thickBot="1">
      <c r="A120" s="1722" t="s">
        <v>1387</v>
      </c>
      <c r="B120" s="1726" t="s">
        <v>1159</v>
      </c>
      <c r="C120" s="1727">
        <v>0.125</v>
      </c>
      <c r="D120" s="1727">
        <v>0.125</v>
      </c>
      <c r="E120" s="1727">
        <v>0.122</v>
      </c>
      <c r="F120" s="1728">
        <v>0.13</v>
      </c>
    </row>
    <row r="121" spans="1:6" ht="14.25" thickBot="1">
      <c r="A121" s="1722" t="s">
        <v>1387</v>
      </c>
      <c r="B121" s="1726" t="s">
        <v>1169</v>
      </c>
      <c r="C121" s="1727">
        <v>0.13</v>
      </c>
      <c r="D121" s="1727">
        <v>0.13</v>
      </c>
      <c r="E121" s="1727">
        <v>0.13</v>
      </c>
      <c r="F121" s="1728">
        <v>0.13</v>
      </c>
    </row>
    <row r="122" spans="1:6" ht="14.25" thickBot="1">
      <c r="A122" s="1722" t="s">
        <v>1387</v>
      </c>
      <c r="B122" s="1726" t="s">
        <v>1179</v>
      </c>
      <c r="C122" s="1727">
        <v>0.13</v>
      </c>
      <c r="D122" s="1727">
        <v>0.13</v>
      </c>
      <c r="E122" s="1727">
        <v>0.125</v>
      </c>
      <c r="F122" s="1728">
        <v>0.13</v>
      </c>
    </row>
    <row r="123" spans="1:6" ht="14.25" thickBot="1">
      <c r="A123" s="1722" t="s">
        <v>1387</v>
      </c>
      <c r="B123" s="1726" t="s">
        <v>1189</v>
      </c>
      <c r="C123" s="1727">
        <v>0.129</v>
      </c>
      <c r="D123" s="1727">
        <v>0.129</v>
      </c>
      <c r="E123" s="1727">
        <v>0.123</v>
      </c>
      <c r="F123" s="1728">
        <v>0.13</v>
      </c>
    </row>
    <row r="124" spans="1:6" ht="14.25" thickBot="1">
      <c r="A124" s="1722" t="s">
        <v>1387</v>
      </c>
      <c r="B124" s="1726" t="s">
        <v>1199</v>
      </c>
      <c r="C124" s="1727">
        <v>0.10199999999999999</v>
      </c>
      <c r="D124" s="1727">
        <v>0.10100000000000001</v>
      </c>
      <c r="E124" s="1727">
        <v>0.08</v>
      </c>
      <c r="F124" s="1735"/>
    </row>
    <row r="125" spans="1:6" ht="14.25" thickBot="1">
      <c r="A125" s="1722" t="s">
        <v>1387</v>
      </c>
      <c r="B125" s="1726" t="s">
        <v>1209</v>
      </c>
      <c r="C125" s="1727">
        <v>0.13</v>
      </c>
      <c r="D125" s="1727">
        <v>0.13</v>
      </c>
      <c r="E125" s="1727">
        <v>0.129</v>
      </c>
      <c r="F125" s="1735"/>
    </row>
    <row r="126" spans="1:6" ht="14.25" thickBot="1">
      <c r="A126" s="1722" t="s">
        <v>1387</v>
      </c>
      <c r="B126" s="1726" t="s">
        <v>1219</v>
      </c>
      <c r="C126" s="1727">
        <v>0.13</v>
      </c>
      <c r="D126" s="1727">
        <v>0.13</v>
      </c>
      <c r="E126" s="1727">
        <v>0.126</v>
      </c>
      <c r="F126" s="1735"/>
    </row>
    <row r="127" spans="1:6" ht="14.25" thickBot="1">
      <c r="A127" s="1722" t="s">
        <v>1387</v>
      </c>
      <c r="B127" s="1726" t="s">
        <v>1229</v>
      </c>
      <c r="C127" s="1727">
        <v>0.125</v>
      </c>
      <c r="D127" s="1727">
        <v>0.125</v>
      </c>
      <c r="E127" s="1727">
        <v>0.121</v>
      </c>
      <c r="F127" s="1735"/>
    </row>
    <row r="128" spans="1:6" ht="14.25" thickBot="1">
      <c r="A128" s="1722" t="s">
        <v>1387</v>
      </c>
      <c r="B128" s="1726" t="s">
        <v>1239</v>
      </c>
      <c r="C128" s="1727">
        <v>0.12</v>
      </c>
      <c r="D128" s="1727">
        <v>0.12</v>
      </c>
      <c r="E128" s="1727">
        <v>0.105</v>
      </c>
      <c r="F128" s="1735"/>
    </row>
    <row r="129" spans="1:6" ht="14.25" thickBot="1">
      <c r="A129" s="1722" t="s">
        <v>1387</v>
      </c>
      <c r="B129" s="1726" t="s">
        <v>1248</v>
      </c>
      <c r="C129" s="1727">
        <v>0.13</v>
      </c>
      <c r="D129" s="1727">
        <v>0.13</v>
      </c>
      <c r="E129" s="1727">
        <v>0.126</v>
      </c>
      <c r="F129" s="1735"/>
    </row>
    <row r="130" spans="1:6" ht="14.25" thickBot="1">
      <c r="A130" s="1722" t="s">
        <v>1387</v>
      </c>
      <c r="B130" s="1726" t="s">
        <v>1257</v>
      </c>
      <c r="C130" s="1727">
        <v>0.125</v>
      </c>
      <c r="D130" s="1727">
        <v>0.125</v>
      </c>
      <c r="E130" s="1727">
        <v>0.122</v>
      </c>
      <c r="F130" s="1735"/>
    </row>
    <row r="131" spans="1:6" ht="14.25" thickBot="1">
      <c r="A131" s="1722" t="s">
        <v>1387</v>
      </c>
      <c r="B131" s="1726" t="s">
        <v>1265</v>
      </c>
      <c r="C131" s="1727">
        <v>0.127</v>
      </c>
      <c r="D131" s="1727">
        <v>0.126</v>
      </c>
      <c r="E131" s="1727">
        <v>0.123</v>
      </c>
      <c r="F131" s="1735"/>
    </row>
    <row r="132" spans="1:6" ht="14.25" thickBot="1">
      <c r="A132" s="1722" t="s">
        <v>1387</v>
      </c>
      <c r="B132" s="1726" t="s">
        <v>1272</v>
      </c>
      <c r="C132" s="1727">
        <v>9.0999999999999998E-2</v>
      </c>
      <c r="D132" s="1727">
        <v>0.121</v>
      </c>
      <c r="E132" s="1727">
        <v>9.9000000000000005E-2</v>
      </c>
      <c r="F132" s="1735"/>
    </row>
    <row r="133" spans="1:6" ht="14.25" thickBot="1">
      <c r="A133" s="1722" t="s">
        <v>1387</v>
      </c>
      <c r="B133" s="1726" t="s">
        <v>1279</v>
      </c>
      <c r="C133" s="1727">
        <v>0.13</v>
      </c>
      <c r="D133" s="1727">
        <v>0.13</v>
      </c>
      <c r="E133" s="1727">
        <v>0.129</v>
      </c>
      <c r="F133" s="1735"/>
    </row>
    <row r="134" spans="1:6" ht="14.25" thickBot="1">
      <c r="A134" s="1722" t="s">
        <v>1387</v>
      </c>
      <c r="B134" s="1726" t="s">
        <v>1898</v>
      </c>
      <c r="C134" s="1727">
        <v>6.8000000000000005E-2</v>
      </c>
      <c r="D134" s="1727">
        <v>6.5000000000000002E-2</v>
      </c>
      <c r="E134" s="1727">
        <v>6.5000000000000002E-2</v>
      </c>
      <c r="F134" s="1728">
        <v>0.13</v>
      </c>
    </row>
    <row r="135" spans="1:6" ht="14.25" thickBot="1">
      <c r="A135" s="1722" t="s">
        <v>1387</v>
      </c>
      <c r="B135" s="1726" t="s">
        <v>1293</v>
      </c>
      <c r="C135" s="1727">
        <v>0.123</v>
      </c>
      <c r="D135" s="1727">
        <v>0.123</v>
      </c>
      <c r="E135" s="1727">
        <v>0.11</v>
      </c>
      <c r="F135" s="1735"/>
    </row>
    <row r="136" spans="1:6" ht="14.25" thickBot="1">
      <c r="A136" s="1722" t="s">
        <v>1387</v>
      </c>
      <c r="B136" s="1726" t="s">
        <v>1300</v>
      </c>
      <c r="C136" s="1727">
        <v>0.13</v>
      </c>
      <c r="D136" s="1727">
        <v>0.13</v>
      </c>
      <c r="E136" s="1727">
        <v>0.125</v>
      </c>
      <c r="F136" s="1735"/>
    </row>
    <row r="137" spans="1:6" ht="14.25" thickBot="1">
      <c r="A137" s="1722" t="s">
        <v>1387</v>
      </c>
      <c r="B137" s="1726" t="s">
        <v>1307</v>
      </c>
      <c r="C137" s="1727">
        <v>0.121</v>
      </c>
      <c r="D137" s="1727">
        <v>0.122</v>
      </c>
      <c r="E137" s="1727">
        <v>0.115</v>
      </c>
      <c r="F137" s="1735"/>
    </row>
    <row r="138" spans="1:6" ht="14.25" thickBot="1">
      <c r="A138" s="1722" t="s">
        <v>1387</v>
      </c>
      <c r="B138" s="1726" t="s">
        <v>1899</v>
      </c>
      <c r="C138" s="1727">
        <v>0.105</v>
      </c>
      <c r="D138" s="1727">
        <v>0.125</v>
      </c>
      <c r="E138" s="1727">
        <v>0.112</v>
      </c>
      <c r="F138" s="1735"/>
    </row>
    <row r="139" spans="1:6" ht="14.25" thickBot="1">
      <c r="A139" s="1722" t="s">
        <v>1387</v>
      </c>
      <c r="B139" s="1726" t="s">
        <v>1900</v>
      </c>
      <c r="C139" s="1727">
        <v>0.127</v>
      </c>
      <c r="D139" s="1727">
        <v>0.127</v>
      </c>
      <c r="E139" s="1727">
        <v>0.122</v>
      </c>
      <c r="F139" s="1728">
        <v>0.13</v>
      </c>
    </row>
    <row r="140" spans="1:6" ht="14.25" thickBot="1">
      <c r="A140" s="1722" t="s">
        <v>1387</v>
      </c>
      <c r="B140" s="1726" t="s">
        <v>1901</v>
      </c>
      <c r="C140" s="1727">
        <v>0.125</v>
      </c>
      <c r="D140" s="1727">
        <v>0.125</v>
      </c>
      <c r="E140" s="1727">
        <v>0.11899999999999999</v>
      </c>
      <c r="F140" s="1728">
        <v>0.13</v>
      </c>
    </row>
    <row r="141" spans="1:6" ht="14.25" thickBot="1">
      <c r="A141" s="1722" t="s">
        <v>1387</v>
      </c>
      <c r="B141" s="1726" t="s">
        <v>1326</v>
      </c>
      <c r="C141" s="1727">
        <v>0.125</v>
      </c>
      <c r="D141" s="1727">
        <v>0.125</v>
      </c>
      <c r="E141" s="1727">
        <v>0.11700000000000001</v>
      </c>
      <c r="F141" s="1735"/>
    </row>
    <row r="142" spans="1:6" ht="14.25" thickBot="1">
      <c r="A142" s="1722" t="s">
        <v>1387</v>
      </c>
      <c r="B142" s="1726" t="s">
        <v>1331</v>
      </c>
      <c r="C142" s="1727">
        <v>0.125</v>
      </c>
      <c r="D142" s="1727">
        <v>0.125</v>
      </c>
      <c r="E142" s="1727">
        <v>0.115</v>
      </c>
      <c r="F142" s="1735"/>
    </row>
    <row r="143" spans="1:6" ht="14.25" thickBot="1">
      <c r="A143" s="1722" t="s">
        <v>1387</v>
      </c>
      <c r="B143" s="1726" t="s">
        <v>1336</v>
      </c>
      <c r="C143" s="1727">
        <v>0.121</v>
      </c>
      <c r="D143" s="1727">
        <v>0.121</v>
      </c>
      <c r="E143" s="1727">
        <v>0.108</v>
      </c>
      <c r="F143" s="1735"/>
    </row>
    <row r="144" spans="1:6" ht="14.25" thickBot="1">
      <c r="A144" s="1722" t="s">
        <v>1387</v>
      </c>
      <c r="B144" s="1739" t="s">
        <v>1902</v>
      </c>
      <c r="C144" s="1740">
        <v>0.126</v>
      </c>
      <c r="D144" s="1740">
        <v>0.126</v>
      </c>
      <c r="E144" s="1740">
        <v>0.121</v>
      </c>
      <c r="F144" s="1735"/>
    </row>
    <row r="145" spans="1:6" ht="14.25" thickBot="1">
      <c r="A145" s="1730" t="s">
        <v>1387</v>
      </c>
      <c r="B145" s="1741" t="s">
        <v>1903</v>
      </c>
      <c r="C145" s="1742"/>
      <c r="D145" s="1742"/>
      <c r="E145" s="1742"/>
      <c r="F145" s="1743">
        <v>0.05</v>
      </c>
    </row>
    <row r="146" spans="1:6" ht="24.75" thickBot="1">
      <c r="A146" s="1744" t="s">
        <v>1387</v>
      </c>
      <c r="B146" s="1729" t="s">
        <v>1904</v>
      </c>
      <c r="C146" s="1736"/>
      <c r="D146" s="1736"/>
      <c r="E146" s="1736"/>
      <c r="F146" s="1745">
        <v>0.05</v>
      </c>
    </row>
    <row r="147" spans="1:6" ht="24.75" thickBot="1">
      <c r="A147" s="1722" t="s">
        <v>1387</v>
      </c>
      <c r="B147" s="1726" t="s">
        <v>1905</v>
      </c>
      <c r="C147" s="1736"/>
      <c r="D147" s="1736"/>
      <c r="E147" s="1736"/>
      <c r="F147" s="1728">
        <v>0.05</v>
      </c>
    </row>
    <row r="148" spans="1:6" ht="24.75" thickBot="1">
      <c r="A148" s="1722" t="s">
        <v>1387</v>
      </c>
      <c r="B148" s="1726" t="s">
        <v>1906</v>
      </c>
      <c r="C148" s="1736"/>
      <c r="D148" s="1736"/>
      <c r="E148" s="1736"/>
      <c r="F148" s="1728">
        <v>0.05</v>
      </c>
    </row>
    <row r="149" spans="1:6" ht="24.75" thickBot="1">
      <c r="A149" s="1722" t="s">
        <v>1387</v>
      </c>
      <c r="B149" s="1726" t="s">
        <v>1907</v>
      </c>
      <c r="C149" s="1736"/>
      <c r="D149" s="1736"/>
      <c r="E149" s="1736"/>
      <c r="F149" s="1728">
        <v>0.05</v>
      </c>
    </row>
    <row r="150" spans="1:6" ht="24.75" thickBot="1">
      <c r="A150" s="1722" t="s">
        <v>1387</v>
      </c>
      <c r="B150" s="1726" t="s">
        <v>1908</v>
      </c>
      <c r="C150" s="1736"/>
      <c r="D150" s="1736"/>
      <c r="E150" s="1736"/>
      <c r="F150" s="1728">
        <v>0.05</v>
      </c>
    </row>
    <row r="151" spans="1:6" ht="24.75" thickBot="1">
      <c r="A151" s="1722" t="s">
        <v>1387</v>
      </c>
      <c r="B151" s="1726" t="s">
        <v>1909</v>
      </c>
      <c r="C151" s="1736"/>
      <c r="D151" s="1736"/>
      <c r="E151" s="1736"/>
      <c r="F151" s="1728">
        <v>0.05</v>
      </c>
    </row>
    <row r="152" spans="1:6" ht="24.75" thickBot="1">
      <c r="A152" s="1722" t="s">
        <v>1387</v>
      </c>
      <c r="B152" s="1726" t="s">
        <v>1369</v>
      </c>
      <c r="C152" s="1736"/>
      <c r="D152" s="1736"/>
      <c r="E152" s="1736"/>
      <c r="F152" s="1728">
        <v>0.05</v>
      </c>
    </row>
    <row r="153" spans="1:6" ht="14.25" thickBot="1">
      <c r="A153" s="1722" t="s">
        <v>1387</v>
      </c>
      <c r="B153" s="1726" t="s">
        <v>1910</v>
      </c>
      <c r="C153" s="1736"/>
      <c r="D153" s="1736"/>
      <c r="E153" s="1736"/>
      <c r="F153" s="1728">
        <v>0.05</v>
      </c>
    </row>
    <row r="154" spans="1:6" ht="14.25" thickBot="1">
      <c r="A154" s="1722" t="s">
        <v>1387</v>
      </c>
      <c r="B154" s="1726" t="s">
        <v>1911</v>
      </c>
      <c r="C154" s="1736"/>
      <c r="D154" s="1736"/>
      <c r="E154" s="1736"/>
      <c r="F154" s="1728">
        <v>0.05</v>
      </c>
    </row>
    <row r="155" spans="1:6" ht="24.75" thickBot="1">
      <c r="A155" s="1722" t="s">
        <v>1387</v>
      </c>
      <c r="B155" s="1726" t="s">
        <v>1912</v>
      </c>
      <c r="C155" s="1736"/>
      <c r="D155" s="1736"/>
      <c r="E155" s="1736"/>
      <c r="F155" s="1728">
        <v>0.05</v>
      </c>
    </row>
    <row r="156" spans="1:6" ht="24.75" thickBot="1">
      <c r="A156" s="1722" t="s">
        <v>1387</v>
      </c>
      <c r="B156" s="1726" t="s">
        <v>1913</v>
      </c>
      <c r="C156" s="1736"/>
      <c r="D156" s="1736"/>
      <c r="E156" s="1736"/>
      <c r="F156" s="1728">
        <v>0.05</v>
      </c>
    </row>
    <row r="157" spans="1:6" ht="14.25" thickBot="1">
      <c r="A157" s="1730" t="s">
        <v>1387</v>
      </c>
      <c r="B157" s="1737" t="s">
        <v>1914</v>
      </c>
      <c r="C157" s="1733"/>
      <c r="D157" s="1733"/>
      <c r="E157" s="1733"/>
      <c r="F157" s="1738">
        <v>0.05</v>
      </c>
    </row>
    <row r="158" spans="1:6" ht="14.25" thickBot="1">
      <c r="A158" s="1722" t="s">
        <v>1389</v>
      </c>
      <c r="B158" s="1723" t="s">
        <v>1915</v>
      </c>
      <c r="C158" s="1724">
        <v>0.13</v>
      </c>
      <c r="D158" s="1724">
        <v>0.13</v>
      </c>
      <c r="E158" s="1724">
        <v>0.13</v>
      </c>
      <c r="F158" s="1725">
        <v>0.13</v>
      </c>
    </row>
    <row r="159" spans="1:6" ht="14.25" thickBot="1">
      <c r="A159" s="1722" t="s">
        <v>1389</v>
      </c>
      <c r="B159" s="1726" t="s">
        <v>1054</v>
      </c>
      <c r="C159" s="1727">
        <v>0.13</v>
      </c>
      <c r="D159" s="1727">
        <v>0.13</v>
      </c>
      <c r="E159" s="1727">
        <v>0.13</v>
      </c>
      <c r="F159" s="1728">
        <v>0.13</v>
      </c>
    </row>
    <row r="160" spans="1:6" ht="14.25" thickBot="1">
      <c r="A160" s="1722" t="s">
        <v>1389</v>
      </c>
      <c r="B160" s="1726" t="s">
        <v>1068</v>
      </c>
      <c r="C160" s="1727">
        <v>0.13</v>
      </c>
      <c r="D160" s="1727">
        <v>0.13</v>
      </c>
      <c r="E160" s="1727">
        <v>0.129</v>
      </c>
      <c r="F160" s="1728">
        <v>0.13</v>
      </c>
    </row>
    <row r="161" spans="1:6" ht="14.25" thickBot="1">
      <c r="A161" s="1722" t="s">
        <v>1389</v>
      </c>
      <c r="B161" s="1726" t="s">
        <v>1081</v>
      </c>
      <c r="C161" s="1727">
        <v>0.128</v>
      </c>
      <c r="D161" s="1727">
        <v>0.128</v>
      </c>
      <c r="E161" s="1727">
        <v>0.125</v>
      </c>
      <c r="F161" s="1728">
        <v>0.13</v>
      </c>
    </row>
    <row r="162" spans="1:6" ht="14.25" thickBot="1">
      <c r="A162" s="1722" t="s">
        <v>1389</v>
      </c>
      <c r="B162" s="1726" t="s">
        <v>1095</v>
      </c>
      <c r="C162" s="1727">
        <v>0.122</v>
      </c>
      <c r="D162" s="1727">
        <v>0.122</v>
      </c>
      <c r="E162" s="1727">
        <v>0.126</v>
      </c>
      <c r="F162" s="1728">
        <v>0.122</v>
      </c>
    </row>
    <row r="163" spans="1:6" ht="14.25" thickBot="1">
      <c r="A163" s="1722" t="s">
        <v>1389</v>
      </c>
      <c r="B163" s="1726" t="s">
        <v>1106</v>
      </c>
      <c r="C163" s="1727">
        <v>0.13</v>
      </c>
      <c r="D163" s="1727">
        <v>0.13</v>
      </c>
      <c r="E163" s="1727">
        <v>0.125</v>
      </c>
      <c r="F163" s="1728">
        <v>0.13</v>
      </c>
    </row>
    <row r="164" spans="1:6" ht="14.25" thickBot="1">
      <c r="A164" s="1722" t="s">
        <v>1389</v>
      </c>
      <c r="B164" s="1726" t="s">
        <v>1117</v>
      </c>
      <c r="C164" s="1727">
        <v>0.13</v>
      </c>
      <c r="D164" s="1727">
        <v>0.13</v>
      </c>
      <c r="E164" s="1727">
        <v>0.13</v>
      </c>
      <c r="F164" s="1728">
        <v>0.13</v>
      </c>
    </row>
    <row r="165" spans="1:6" ht="14.25" thickBot="1">
      <c r="A165" s="1722" t="s">
        <v>1389</v>
      </c>
      <c r="B165" s="1726" t="s">
        <v>1128</v>
      </c>
      <c r="C165" s="1727">
        <v>0.13</v>
      </c>
      <c r="D165" s="1727">
        <v>0.13</v>
      </c>
      <c r="E165" s="1727">
        <v>0.124</v>
      </c>
      <c r="F165" s="1728">
        <v>0.13</v>
      </c>
    </row>
    <row r="166" spans="1:6" ht="14.25" thickBot="1">
      <c r="A166" s="1722" t="s">
        <v>1389</v>
      </c>
      <c r="B166" s="1726" t="s">
        <v>1140</v>
      </c>
      <c r="C166" s="1727">
        <v>0.13</v>
      </c>
      <c r="D166" s="1727">
        <v>0.13</v>
      </c>
      <c r="E166" s="1727">
        <v>0.13</v>
      </c>
      <c r="F166" s="1728">
        <v>0.13</v>
      </c>
    </row>
    <row r="167" spans="1:6" ht="14.25" thickBot="1">
      <c r="A167" s="1722" t="s">
        <v>1389</v>
      </c>
      <c r="B167" s="1726" t="s">
        <v>1150</v>
      </c>
      <c r="C167" s="1727">
        <v>0.125</v>
      </c>
      <c r="D167" s="1727">
        <v>0.125</v>
      </c>
      <c r="E167" s="1727">
        <v>0.121</v>
      </c>
      <c r="F167" s="1735"/>
    </row>
    <row r="168" spans="1:6" ht="14.25" thickBot="1">
      <c r="A168" s="1722" t="s">
        <v>1389</v>
      </c>
      <c r="B168" s="1726" t="s">
        <v>1160</v>
      </c>
      <c r="C168" s="1727">
        <v>0.13</v>
      </c>
      <c r="D168" s="1727">
        <v>0.13</v>
      </c>
      <c r="E168" s="1727">
        <v>0.126</v>
      </c>
      <c r="F168" s="1735"/>
    </row>
    <row r="169" spans="1:6" ht="14.25" thickBot="1">
      <c r="A169" s="1722" t="s">
        <v>1389</v>
      </c>
      <c r="B169" s="1726" t="s">
        <v>1170</v>
      </c>
      <c r="C169" s="1727">
        <v>0.128</v>
      </c>
      <c r="D169" s="1727">
        <v>0.129</v>
      </c>
      <c r="E169" s="1727">
        <v>0.13</v>
      </c>
      <c r="F169" s="1735"/>
    </row>
    <row r="170" spans="1:6" ht="14.25" thickBot="1">
      <c r="A170" s="1722" t="s">
        <v>1389</v>
      </c>
      <c r="B170" s="1726" t="s">
        <v>1180</v>
      </c>
      <c r="C170" s="1727">
        <v>0.14099999999999999</v>
      </c>
      <c r="D170" s="1727">
        <v>0.13</v>
      </c>
      <c r="E170" s="1727">
        <v>0.125</v>
      </c>
      <c r="F170" s="1735"/>
    </row>
    <row r="171" spans="1:6" ht="14.25" thickBot="1">
      <c r="A171" s="1722" t="s">
        <v>1389</v>
      </c>
      <c r="B171" s="1726" t="s">
        <v>1916</v>
      </c>
      <c r="C171" s="1727">
        <v>0.127</v>
      </c>
      <c r="D171" s="1727">
        <v>0.126</v>
      </c>
      <c r="E171" s="1727">
        <v>0.126</v>
      </c>
      <c r="F171" s="1728">
        <v>0.11799999999999999</v>
      </c>
    </row>
    <row r="172" spans="1:6" ht="14.25" thickBot="1">
      <c r="A172" s="1722" t="s">
        <v>1389</v>
      </c>
      <c r="B172" s="1726" t="s">
        <v>1917</v>
      </c>
      <c r="C172" s="1727">
        <v>0.13</v>
      </c>
      <c r="D172" s="1727">
        <v>0.13</v>
      </c>
      <c r="E172" s="1727">
        <v>0.13</v>
      </c>
      <c r="F172" s="1735"/>
    </row>
    <row r="173" spans="1:6" ht="14.25" thickBot="1">
      <c r="A173" s="1722" t="s">
        <v>1389</v>
      </c>
      <c r="B173" s="1726" t="s">
        <v>1210</v>
      </c>
      <c r="C173" s="1727">
        <v>0.13</v>
      </c>
      <c r="D173" s="1727">
        <v>0.13</v>
      </c>
      <c r="E173" s="1727">
        <v>0.13</v>
      </c>
      <c r="F173" s="1735"/>
    </row>
    <row r="174" spans="1:6" ht="14.25" thickBot="1">
      <c r="A174" s="1722" t="s">
        <v>1389</v>
      </c>
      <c r="B174" s="1726" t="s">
        <v>1918</v>
      </c>
      <c r="C174" s="1727">
        <v>0.13</v>
      </c>
      <c r="D174" s="1727">
        <v>0.13</v>
      </c>
      <c r="E174" s="1727">
        <v>0.13</v>
      </c>
      <c r="F174" s="1728">
        <v>0.13</v>
      </c>
    </row>
    <row r="175" spans="1:6" ht="14.25" thickBot="1">
      <c r="A175" s="1722" t="s">
        <v>1389</v>
      </c>
      <c r="B175" s="1726" t="s">
        <v>1919</v>
      </c>
      <c r="C175" s="1727">
        <v>0.13</v>
      </c>
      <c r="D175" s="1727">
        <v>0.13</v>
      </c>
      <c r="E175" s="1727">
        <v>0.13</v>
      </c>
      <c r="F175" s="1728">
        <v>0.13</v>
      </c>
    </row>
    <row r="176" spans="1:6" ht="14.25" thickBot="1">
      <c r="A176" s="1722" t="s">
        <v>1389</v>
      </c>
      <c r="B176" s="1726" t="s">
        <v>1240</v>
      </c>
      <c r="C176" s="1727">
        <v>0.13</v>
      </c>
      <c r="D176" s="1727">
        <v>0.13</v>
      </c>
      <c r="E176" s="1727">
        <v>0.13</v>
      </c>
      <c r="F176" s="1728">
        <v>0.13</v>
      </c>
    </row>
    <row r="177" spans="1:6" ht="14.25" thickBot="1">
      <c r="A177" s="1722" t="s">
        <v>1389</v>
      </c>
      <c r="B177" s="1726" t="s">
        <v>1920</v>
      </c>
      <c r="C177" s="1727">
        <v>0.13</v>
      </c>
      <c r="D177" s="1727">
        <v>0.13</v>
      </c>
      <c r="E177" s="1727">
        <v>0.13</v>
      </c>
      <c r="F177" s="1728">
        <v>0.13</v>
      </c>
    </row>
    <row r="178" spans="1:6" ht="14.25" thickBot="1">
      <c r="A178" s="1722" t="s">
        <v>1389</v>
      </c>
      <c r="B178" s="1726" t="s">
        <v>1258</v>
      </c>
      <c r="C178" s="1727">
        <v>0.13</v>
      </c>
      <c r="D178" s="1727">
        <v>0.13</v>
      </c>
      <c r="E178" s="1727">
        <v>0.13</v>
      </c>
      <c r="F178" s="1728">
        <v>0.127</v>
      </c>
    </row>
    <row r="179" spans="1:6" ht="14.25" thickBot="1">
      <c r="A179" s="1722" t="s">
        <v>1389</v>
      </c>
      <c r="B179" s="1726" t="s">
        <v>1266</v>
      </c>
      <c r="C179" s="1727">
        <v>0.13</v>
      </c>
      <c r="D179" s="1727">
        <v>0.13</v>
      </c>
      <c r="E179" s="1727">
        <v>0.13</v>
      </c>
      <c r="F179" s="1735"/>
    </row>
    <row r="180" spans="1:6" ht="14.25" thickBot="1">
      <c r="A180" s="1722" t="s">
        <v>1389</v>
      </c>
      <c r="B180" s="1726" t="s">
        <v>1921</v>
      </c>
      <c r="C180" s="1727">
        <v>0.13</v>
      </c>
      <c r="D180" s="1727">
        <v>0.13</v>
      </c>
      <c r="E180" s="1727">
        <v>0.125</v>
      </c>
      <c r="F180" s="1728">
        <v>0.13</v>
      </c>
    </row>
    <row r="181" spans="1:6" ht="14.25" thickBot="1">
      <c r="A181" s="1722" t="s">
        <v>1389</v>
      </c>
      <c r="B181" s="1726" t="s">
        <v>1280</v>
      </c>
      <c r="C181" s="1727">
        <v>0.122</v>
      </c>
      <c r="D181" s="1727">
        <v>0.123</v>
      </c>
      <c r="E181" s="1727">
        <v>0.126</v>
      </c>
      <c r="F181" s="1728">
        <v>0.121</v>
      </c>
    </row>
    <row r="182" spans="1:6" ht="14.25" thickBot="1">
      <c r="A182" s="1722" t="s">
        <v>1389</v>
      </c>
      <c r="B182" s="1726" t="s">
        <v>1287</v>
      </c>
      <c r="C182" s="1727">
        <v>0.125</v>
      </c>
      <c r="D182" s="1727">
        <v>0.125</v>
      </c>
      <c r="E182" s="1727">
        <v>0.11700000000000001</v>
      </c>
      <c r="F182" s="1728">
        <v>0.13</v>
      </c>
    </row>
    <row r="183" spans="1:6" ht="14.25" thickBot="1">
      <c r="A183" s="1722" t="s">
        <v>1389</v>
      </c>
      <c r="B183" s="1726" t="s">
        <v>1294</v>
      </c>
      <c r="C183" s="1727">
        <v>0.127</v>
      </c>
      <c r="D183" s="1727">
        <v>0.127</v>
      </c>
      <c r="E183" s="1727">
        <v>0.128</v>
      </c>
      <c r="F183" s="1735"/>
    </row>
    <row r="184" spans="1:6" ht="14.25" thickBot="1">
      <c r="A184" s="1722" t="s">
        <v>1389</v>
      </c>
      <c r="B184" s="1726" t="s">
        <v>1301</v>
      </c>
      <c r="C184" s="1727">
        <v>0.125</v>
      </c>
      <c r="D184" s="1727">
        <v>0.125</v>
      </c>
      <c r="E184" s="1727">
        <v>0.127</v>
      </c>
      <c r="F184" s="1735"/>
    </row>
    <row r="185" spans="1:6" ht="14.25" thickBot="1">
      <c r="A185" s="1722" t="s">
        <v>1389</v>
      </c>
      <c r="B185" s="1726" t="s">
        <v>1922</v>
      </c>
      <c r="C185" s="1727">
        <v>0.127</v>
      </c>
      <c r="D185" s="1727">
        <v>0.127</v>
      </c>
      <c r="E185" s="1727">
        <v>0.128</v>
      </c>
      <c r="F185" s="1728">
        <v>0.13</v>
      </c>
    </row>
    <row r="186" spans="1:6" ht="24.75" thickBot="1">
      <c r="A186" s="1722" t="s">
        <v>1389</v>
      </c>
      <c r="B186" s="1726" t="s">
        <v>1923</v>
      </c>
      <c r="C186" s="1736"/>
      <c r="D186" s="1736"/>
      <c r="E186" s="1736"/>
      <c r="F186" s="1728">
        <v>0.05</v>
      </c>
    </row>
    <row r="187" spans="1:6" ht="14.25" thickBot="1">
      <c r="A187" s="1722" t="s">
        <v>1389</v>
      </c>
      <c r="B187" s="1726" t="s">
        <v>1924</v>
      </c>
      <c r="C187" s="1736"/>
      <c r="D187" s="1736"/>
      <c r="E187" s="1736"/>
      <c r="F187" s="1728">
        <v>0.05</v>
      </c>
    </row>
    <row r="188" spans="1:6" ht="14.25" thickBot="1">
      <c r="A188" s="1722" t="s">
        <v>1389</v>
      </c>
      <c r="B188" s="1726" t="s">
        <v>1925</v>
      </c>
      <c r="C188" s="1736"/>
      <c r="D188" s="1736"/>
      <c r="E188" s="1736"/>
      <c r="F188" s="1728">
        <v>0.05</v>
      </c>
    </row>
    <row r="189" spans="1:6" ht="24.75" thickBot="1">
      <c r="A189" s="1722" t="s">
        <v>1389</v>
      </c>
      <c r="B189" s="1726" t="s">
        <v>1926</v>
      </c>
      <c r="C189" s="1736"/>
      <c r="D189" s="1736"/>
      <c r="E189" s="1736"/>
      <c r="F189" s="1728">
        <v>0.05</v>
      </c>
    </row>
    <row r="190" spans="1:6" ht="24.75" thickBot="1">
      <c r="A190" s="1722" t="s">
        <v>1389</v>
      </c>
      <c r="B190" s="1726" t="s">
        <v>1927</v>
      </c>
      <c r="C190" s="1736"/>
      <c r="D190" s="1736"/>
      <c r="E190" s="1736"/>
      <c r="F190" s="1728">
        <v>0.05</v>
      </c>
    </row>
    <row r="191" spans="1:6" ht="24.75" thickBot="1">
      <c r="A191" s="1722" t="s">
        <v>1389</v>
      </c>
      <c r="B191" s="1726" t="s">
        <v>1928</v>
      </c>
      <c r="C191" s="1736"/>
      <c r="D191" s="1736"/>
      <c r="E191" s="1736"/>
      <c r="F191" s="1728">
        <v>0.05</v>
      </c>
    </row>
    <row r="192" spans="1:6" ht="24.75" thickBot="1">
      <c r="A192" s="1722" t="s">
        <v>1389</v>
      </c>
      <c r="B192" s="1726" t="s">
        <v>1929</v>
      </c>
      <c r="C192" s="1736"/>
      <c r="D192" s="1736"/>
      <c r="E192" s="1736"/>
      <c r="F192" s="1728">
        <v>0.05</v>
      </c>
    </row>
    <row r="193" spans="1:6" ht="24.75" thickBot="1">
      <c r="A193" s="1722" t="s">
        <v>1389</v>
      </c>
      <c r="B193" s="1726" t="s">
        <v>1930</v>
      </c>
      <c r="C193" s="1736"/>
      <c r="D193" s="1736"/>
      <c r="E193" s="1736"/>
      <c r="F193" s="1728">
        <v>0.05</v>
      </c>
    </row>
    <row r="194" spans="1:6" ht="24.75" thickBot="1">
      <c r="A194" s="1722" t="s">
        <v>1389</v>
      </c>
      <c r="B194" s="1726" t="s">
        <v>1931</v>
      </c>
      <c r="C194" s="1736"/>
      <c r="D194" s="1736"/>
      <c r="E194" s="1736"/>
      <c r="F194" s="1728">
        <v>0.05</v>
      </c>
    </row>
    <row r="195" spans="1:6" ht="14.25" thickBot="1">
      <c r="A195" s="1722" t="s">
        <v>1389</v>
      </c>
      <c r="B195" s="1726" t="s">
        <v>1932</v>
      </c>
      <c r="C195" s="1736"/>
      <c r="D195" s="1736"/>
      <c r="E195" s="1736"/>
      <c r="F195" s="1728">
        <v>0.05</v>
      </c>
    </row>
    <row r="196" spans="1:6" ht="24.75" thickBot="1">
      <c r="A196" s="1722" t="s">
        <v>1389</v>
      </c>
      <c r="B196" s="1726" t="s">
        <v>1933</v>
      </c>
      <c r="C196" s="1736"/>
      <c r="D196" s="1736"/>
      <c r="E196" s="1736"/>
      <c r="F196" s="1728">
        <v>0.05</v>
      </c>
    </row>
    <row r="197" spans="1:6" ht="24.75" thickBot="1">
      <c r="A197" s="1722" t="s">
        <v>1389</v>
      </c>
      <c r="B197" s="1726" t="s">
        <v>1934</v>
      </c>
      <c r="C197" s="1736"/>
      <c r="D197" s="1736"/>
      <c r="E197" s="1736"/>
      <c r="F197" s="1728">
        <v>0.05</v>
      </c>
    </row>
    <row r="198" spans="1:6" ht="24.75" thickBot="1">
      <c r="A198" s="1722" t="s">
        <v>1389</v>
      </c>
      <c r="B198" s="1726" t="s">
        <v>1935</v>
      </c>
      <c r="C198" s="1736"/>
      <c r="D198" s="1736"/>
      <c r="E198" s="1736"/>
      <c r="F198" s="1728">
        <v>0.05</v>
      </c>
    </row>
    <row r="199" spans="1:6" ht="24.75" thickBot="1">
      <c r="A199" s="1722" t="s">
        <v>1389</v>
      </c>
      <c r="B199" s="1726" t="s">
        <v>1936</v>
      </c>
      <c r="C199" s="1736"/>
      <c r="D199" s="1736"/>
      <c r="E199" s="1736"/>
      <c r="F199" s="1728">
        <v>0.05</v>
      </c>
    </row>
    <row r="200" spans="1:6" ht="24.75" thickBot="1">
      <c r="A200" s="1722" t="s">
        <v>1389</v>
      </c>
      <c r="B200" s="1726" t="s">
        <v>1937</v>
      </c>
      <c r="C200" s="1736"/>
      <c r="D200" s="1736"/>
      <c r="E200" s="1736"/>
      <c r="F200" s="1728">
        <v>0.05</v>
      </c>
    </row>
    <row r="201" spans="1:6" ht="24.75" thickBot="1">
      <c r="A201" s="1722" t="s">
        <v>1389</v>
      </c>
      <c r="B201" s="1726" t="s">
        <v>1938</v>
      </c>
      <c r="C201" s="1736"/>
      <c r="D201" s="1736"/>
      <c r="E201" s="1736"/>
      <c r="F201" s="1728">
        <v>0.05</v>
      </c>
    </row>
    <row r="202" spans="1:6" ht="24.75" thickBot="1">
      <c r="A202" s="1722" t="s">
        <v>1389</v>
      </c>
      <c r="B202" s="1726" t="s">
        <v>1939</v>
      </c>
      <c r="C202" s="1736"/>
      <c r="D202" s="1736"/>
      <c r="E202" s="1736"/>
      <c r="F202" s="1728">
        <v>0.05</v>
      </c>
    </row>
    <row r="203" spans="1:6" ht="24.75" thickBot="1">
      <c r="A203" s="1722" t="s">
        <v>1389</v>
      </c>
      <c r="B203" s="1726" t="s">
        <v>1940</v>
      </c>
      <c r="C203" s="1736"/>
      <c r="D203" s="1736"/>
      <c r="E203" s="1736"/>
      <c r="F203" s="1728">
        <v>0.05</v>
      </c>
    </row>
    <row r="204" spans="1:6" ht="14.25" thickBot="1">
      <c r="A204" s="1722" t="s">
        <v>1389</v>
      </c>
      <c r="B204" s="1726" t="s">
        <v>1941</v>
      </c>
      <c r="C204" s="1736"/>
      <c r="D204" s="1736"/>
      <c r="E204" s="1736"/>
      <c r="F204" s="1728">
        <v>0.05</v>
      </c>
    </row>
    <row r="205" spans="1:6" ht="14.25" thickBot="1">
      <c r="A205" s="1730" t="s">
        <v>1389</v>
      </c>
      <c r="B205" s="1737" t="s">
        <v>1942</v>
      </c>
      <c r="C205" s="1733"/>
      <c r="D205" s="1733"/>
      <c r="E205" s="1733"/>
      <c r="F205" s="1738">
        <v>0.05</v>
      </c>
    </row>
    <row r="206" spans="1:6" ht="14.25" thickBot="1">
      <c r="A206" s="1722" t="s">
        <v>1391</v>
      </c>
      <c r="B206" s="1723" t="s">
        <v>1943</v>
      </c>
      <c r="C206" s="1724">
        <v>0.15</v>
      </c>
      <c r="D206" s="1724">
        <v>0.15</v>
      </c>
      <c r="E206" s="1724">
        <v>0.15</v>
      </c>
      <c r="F206" s="1725">
        <v>0.15</v>
      </c>
    </row>
    <row r="207" spans="1:6" ht="14.25" thickBot="1">
      <c r="A207" s="1722" t="s">
        <v>1391</v>
      </c>
      <c r="B207" s="1726" t="s">
        <v>1055</v>
      </c>
      <c r="C207" s="1727">
        <v>0.15</v>
      </c>
      <c r="D207" s="1727">
        <v>0.15</v>
      </c>
      <c r="E207" s="1727">
        <v>0.15</v>
      </c>
      <c r="F207" s="1728">
        <v>0.14399999999999999</v>
      </c>
    </row>
    <row r="208" spans="1:6" ht="14.25" thickBot="1">
      <c r="A208" s="1722" t="s">
        <v>1391</v>
      </c>
      <c r="B208" s="1726" t="s">
        <v>1069</v>
      </c>
      <c r="C208" s="1727">
        <v>0.15</v>
      </c>
      <c r="D208" s="1727">
        <v>0.15</v>
      </c>
      <c r="E208" s="1727">
        <v>0.15</v>
      </c>
      <c r="F208" s="1728">
        <v>0.15</v>
      </c>
    </row>
    <row r="209" spans="1:6" ht="14.25" thickBot="1">
      <c r="A209" s="1722" t="s">
        <v>1391</v>
      </c>
      <c r="B209" s="1726" t="s">
        <v>1082</v>
      </c>
      <c r="C209" s="1727">
        <v>0.13700000000000001</v>
      </c>
      <c r="D209" s="1727">
        <v>0.13700000000000001</v>
      </c>
      <c r="E209" s="1727">
        <v>0.14000000000000001</v>
      </c>
      <c r="F209" s="1728">
        <v>0.11700000000000001</v>
      </c>
    </row>
    <row r="210" spans="1:6" ht="14.25" thickBot="1">
      <c r="A210" s="1722" t="s">
        <v>1391</v>
      </c>
      <c r="B210" s="1726" t="s">
        <v>1944</v>
      </c>
      <c r="C210" s="1727">
        <v>0.15</v>
      </c>
      <c r="D210" s="1727">
        <v>0.15</v>
      </c>
      <c r="E210" s="1727">
        <v>0.15</v>
      </c>
      <c r="F210" s="1728">
        <v>0.13800000000000001</v>
      </c>
    </row>
    <row r="211" spans="1:6" ht="14.25" thickBot="1">
      <c r="A211" s="1722" t="s">
        <v>1391</v>
      </c>
      <c r="B211" s="1726" t="s">
        <v>1945</v>
      </c>
      <c r="C211" s="1727">
        <v>0.13700000000000001</v>
      </c>
      <c r="D211" s="1727">
        <v>0.13500000000000001</v>
      </c>
      <c r="E211" s="1727">
        <v>0.13600000000000001</v>
      </c>
      <c r="F211" s="1728">
        <v>0.1</v>
      </c>
    </row>
    <row r="212" spans="1:6" ht="14.25" thickBot="1">
      <c r="A212" s="1722" t="s">
        <v>1391</v>
      </c>
      <c r="B212" s="1726" t="s">
        <v>1946</v>
      </c>
      <c r="C212" s="1727">
        <v>0.15</v>
      </c>
      <c r="D212" s="1727">
        <v>0.15</v>
      </c>
      <c r="E212" s="1727">
        <v>0.14799999999999999</v>
      </c>
      <c r="F212" s="1728">
        <v>0.13600000000000001</v>
      </c>
    </row>
    <row r="213" spans="1:6" ht="14.25" thickBot="1">
      <c r="A213" s="1722" t="s">
        <v>1391</v>
      </c>
      <c r="B213" s="1726" t="s">
        <v>1129</v>
      </c>
      <c r="C213" s="1727">
        <v>0.15</v>
      </c>
      <c r="D213" s="1727">
        <v>0.15</v>
      </c>
      <c r="E213" s="1727">
        <v>0.15</v>
      </c>
      <c r="F213" s="1728">
        <v>0.13800000000000001</v>
      </c>
    </row>
    <row r="214" spans="1:6" ht="14.25" thickBot="1">
      <c r="A214" s="1722" t="s">
        <v>1391</v>
      </c>
      <c r="B214" s="1726" t="s">
        <v>1141</v>
      </c>
      <c r="C214" s="1727">
        <v>9.0999999999999998E-2</v>
      </c>
      <c r="D214" s="1727">
        <v>0.09</v>
      </c>
      <c r="E214" s="1727">
        <v>9.1999999999999998E-2</v>
      </c>
      <c r="F214" s="1735"/>
    </row>
    <row r="215" spans="1:6" ht="14.25" thickBot="1">
      <c r="A215" s="1722" t="s">
        <v>1391</v>
      </c>
      <c r="B215" s="1726" t="s">
        <v>1947</v>
      </c>
      <c r="C215" s="1727">
        <v>0.15</v>
      </c>
      <c r="D215" s="1727">
        <v>0.15</v>
      </c>
      <c r="E215" s="1727">
        <v>0.15</v>
      </c>
      <c r="F215" s="1728">
        <v>0.15</v>
      </c>
    </row>
    <row r="216" spans="1:6" ht="14.25" thickBot="1">
      <c r="A216" s="1722" t="s">
        <v>1391</v>
      </c>
      <c r="B216" s="1726" t="s">
        <v>1161</v>
      </c>
      <c r="C216" s="1727">
        <v>0.14699999999999999</v>
      </c>
      <c r="D216" s="1727">
        <v>0.14699999999999999</v>
      </c>
      <c r="E216" s="1727">
        <v>0.15</v>
      </c>
      <c r="F216" s="1728">
        <v>0.14000000000000001</v>
      </c>
    </row>
    <row r="217" spans="1:6" ht="14.25" thickBot="1">
      <c r="A217" s="1722" t="s">
        <v>1391</v>
      </c>
      <c r="B217" s="1726" t="s">
        <v>1171</v>
      </c>
      <c r="C217" s="1727">
        <v>0.15</v>
      </c>
      <c r="D217" s="1727">
        <v>0.15</v>
      </c>
      <c r="E217" s="1727">
        <v>0.15</v>
      </c>
      <c r="F217" s="1728">
        <v>0.15</v>
      </c>
    </row>
    <row r="218" spans="1:6" ht="14.25" thickBot="1">
      <c r="A218" s="1722" t="s">
        <v>1391</v>
      </c>
      <c r="B218" s="1726" t="s">
        <v>1948</v>
      </c>
      <c r="C218" s="1727">
        <v>0.15</v>
      </c>
      <c r="D218" s="1727">
        <v>0.15</v>
      </c>
      <c r="E218" s="1727">
        <v>0.15</v>
      </c>
      <c r="F218" s="1728">
        <v>0.15</v>
      </c>
    </row>
    <row r="219" spans="1:6" ht="14.25" thickBot="1">
      <c r="A219" s="1722" t="s">
        <v>1391</v>
      </c>
      <c r="B219" s="1726" t="s">
        <v>1191</v>
      </c>
      <c r="C219" s="1727">
        <v>0.15</v>
      </c>
      <c r="D219" s="1727">
        <v>0.15</v>
      </c>
      <c r="E219" s="1727">
        <v>0.15</v>
      </c>
      <c r="F219" s="1728">
        <v>0.14799999999999999</v>
      </c>
    </row>
    <row r="220" spans="1:6" ht="14.25" thickBot="1">
      <c r="A220" s="1722" t="s">
        <v>1391</v>
      </c>
      <c r="B220" s="1726" t="s">
        <v>1949</v>
      </c>
      <c r="C220" s="1727">
        <v>0.15</v>
      </c>
      <c r="D220" s="1727">
        <v>0.15</v>
      </c>
      <c r="E220" s="1727">
        <v>0.15</v>
      </c>
      <c r="F220" s="1728">
        <v>0.15</v>
      </c>
    </row>
    <row r="221" spans="1:6" ht="14.25" thickBot="1">
      <c r="A221" s="1722" t="s">
        <v>1391</v>
      </c>
      <c r="B221" s="1726" t="s">
        <v>1211</v>
      </c>
      <c r="C221" s="1727"/>
      <c r="D221" s="1736"/>
      <c r="E221" s="1736"/>
      <c r="F221" s="1728">
        <v>0.14799999999999999</v>
      </c>
    </row>
    <row r="222" spans="1:6" ht="14.25" thickBot="1">
      <c r="A222" s="1722" t="s">
        <v>1391</v>
      </c>
      <c r="B222" s="1726" t="s">
        <v>1221</v>
      </c>
      <c r="C222" s="1727"/>
      <c r="D222" s="1736"/>
      <c r="E222" s="1736"/>
      <c r="F222" s="1728">
        <v>0.1</v>
      </c>
    </row>
    <row r="223" spans="1:6" ht="14.25" thickBot="1">
      <c r="A223" s="1722" t="s">
        <v>1391</v>
      </c>
      <c r="B223" s="1726" t="s">
        <v>1231</v>
      </c>
      <c r="C223" s="1727"/>
      <c r="D223" s="1736"/>
      <c r="E223" s="1736"/>
      <c r="F223" s="1728">
        <v>0.15</v>
      </c>
    </row>
    <row r="224" spans="1:6" ht="14.25" thickBot="1">
      <c r="A224" s="1722" t="s">
        <v>1391</v>
      </c>
      <c r="B224" s="1726" t="s">
        <v>1241</v>
      </c>
      <c r="C224" s="1727"/>
      <c r="D224" s="1736"/>
      <c r="E224" s="1736"/>
      <c r="F224" s="1728">
        <v>0.15</v>
      </c>
    </row>
    <row r="225" spans="1:6" ht="14.25" thickBot="1">
      <c r="A225" s="1722" t="s">
        <v>1391</v>
      </c>
      <c r="B225" s="1726" t="s">
        <v>1950</v>
      </c>
      <c r="C225" s="1727">
        <v>0.15</v>
      </c>
      <c r="D225" s="1727">
        <v>0.15</v>
      </c>
      <c r="E225" s="1727">
        <v>0.15</v>
      </c>
      <c r="F225" s="1728">
        <v>0.15</v>
      </c>
    </row>
    <row r="226" spans="1:6" ht="14.25" thickBot="1">
      <c r="A226" s="1722" t="s">
        <v>1391</v>
      </c>
      <c r="B226" s="1726" t="s">
        <v>1259</v>
      </c>
      <c r="C226" s="1727">
        <v>0.15</v>
      </c>
      <c r="D226" s="1727">
        <v>0.15</v>
      </c>
      <c r="E226" s="1727">
        <v>0.15</v>
      </c>
      <c r="F226" s="1728">
        <v>0.14799999999999999</v>
      </c>
    </row>
    <row r="227" spans="1:6" ht="14.25" thickBot="1">
      <c r="A227" s="1722" t="s">
        <v>1391</v>
      </c>
      <c r="B227" s="1726" t="s">
        <v>1951</v>
      </c>
      <c r="C227" s="1727">
        <v>0.15</v>
      </c>
      <c r="D227" s="1727">
        <v>0.15</v>
      </c>
      <c r="E227" s="1727">
        <v>0.15</v>
      </c>
      <c r="F227" s="1728">
        <v>0.15</v>
      </c>
    </row>
    <row r="228" spans="1:6" ht="14.25" thickBot="1">
      <c r="A228" s="1722" t="s">
        <v>1391</v>
      </c>
      <c r="B228" s="1726" t="s">
        <v>1274</v>
      </c>
      <c r="C228" s="1727">
        <v>0.15</v>
      </c>
      <c r="D228" s="1727">
        <v>0.15</v>
      </c>
      <c r="E228" s="1727">
        <v>0.15</v>
      </c>
      <c r="F228" s="1728">
        <v>0.15</v>
      </c>
    </row>
    <row r="229" spans="1:6" ht="14.25" thickBot="1">
      <c r="A229" s="1722" t="s">
        <v>1391</v>
      </c>
      <c r="B229" s="1726" t="s">
        <v>1281</v>
      </c>
      <c r="C229" s="1727">
        <v>0.15</v>
      </c>
      <c r="D229" s="1727">
        <v>0.15</v>
      </c>
      <c r="E229" s="1727">
        <v>0.15</v>
      </c>
      <c r="F229" s="1735"/>
    </row>
    <row r="230" spans="1:6" ht="14.25" thickBot="1">
      <c r="A230" s="1722" t="s">
        <v>1391</v>
      </c>
      <c r="B230" s="1726" t="s">
        <v>1288</v>
      </c>
      <c r="C230" s="1727">
        <v>0.14499999999999999</v>
      </c>
      <c r="D230" s="1727">
        <v>0.14499999999999999</v>
      </c>
      <c r="E230" s="1727">
        <v>0.14399999999999999</v>
      </c>
      <c r="F230" s="1735"/>
    </row>
    <row r="231" spans="1:6" ht="14.25" thickBot="1">
      <c r="A231" s="1722" t="s">
        <v>1391</v>
      </c>
      <c r="B231" s="1726" t="s">
        <v>1952</v>
      </c>
      <c r="C231" s="1727">
        <v>0.128</v>
      </c>
      <c r="D231" s="1727">
        <v>0.125</v>
      </c>
      <c r="E231" s="1727">
        <v>0.13200000000000001</v>
      </c>
      <c r="F231" s="1735"/>
    </row>
    <row r="232" spans="1:6" ht="14.25" thickBot="1">
      <c r="A232" s="1722" t="s">
        <v>1391</v>
      </c>
      <c r="B232" s="1726" t="s">
        <v>1953</v>
      </c>
      <c r="C232" s="1727">
        <v>0.14499999999999999</v>
      </c>
      <c r="D232" s="1727">
        <v>0.14399999999999999</v>
      </c>
      <c r="E232" s="1727">
        <v>0.14599999999999999</v>
      </c>
      <c r="F232" s="1728">
        <v>0.13800000000000001</v>
      </c>
    </row>
    <row r="233" spans="1:6" ht="14.25" thickBot="1">
      <c r="A233" s="1722" t="s">
        <v>1391</v>
      </c>
      <c r="B233" s="1726" t="s">
        <v>1954</v>
      </c>
      <c r="C233" s="1727">
        <v>0.14499999999999999</v>
      </c>
      <c r="D233" s="1727">
        <v>0.14299999999999999</v>
      </c>
      <c r="E233" s="1727">
        <v>0.14199999999999999</v>
      </c>
      <c r="F233" s="1735"/>
    </row>
    <row r="234" spans="1:6" ht="14.25" thickBot="1">
      <c r="A234" s="1722" t="s">
        <v>1391</v>
      </c>
      <c r="B234" s="1726" t="s">
        <v>1955</v>
      </c>
      <c r="C234" s="1727">
        <v>0.14000000000000001</v>
      </c>
      <c r="D234" s="1727">
        <v>0.14000000000000001</v>
      </c>
      <c r="E234" s="1727">
        <v>0.14399999999999999</v>
      </c>
      <c r="F234" s="1735"/>
    </row>
    <row r="235" spans="1:6" ht="14.25" thickBot="1">
      <c r="A235" s="1722" t="s">
        <v>1391</v>
      </c>
      <c r="B235" s="1726" t="s">
        <v>1956</v>
      </c>
      <c r="C235" s="1727">
        <v>0.14099999999999999</v>
      </c>
      <c r="D235" s="1727">
        <v>0.14199999999999999</v>
      </c>
      <c r="E235" s="1727">
        <v>0.14499999999999999</v>
      </c>
      <c r="F235" s="1728">
        <v>0.15</v>
      </c>
    </row>
    <row r="236" spans="1:6" ht="14.25" thickBot="1">
      <c r="A236" s="1722" t="s">
        <v>1391</v>
      </c>
      <c r="B236" s="1726" t="s">
        <v>1323</v>
      </c>
      <c r="C236" s="1736"/>
      <c r="D236" s="1736"/>
      <c r="E236" s="1736"/>
      <c r="F236" s="1728">
        <v>0.14299999999999999</v>
      </c>
    </row>
    <row r="237" spans="1:6" ht="24.75" thickBot="1">
      <c r="A237" s="1722" t="s">
        <v>1391</v>
      </c>
      <c r="B237" s="1726" t="s">
        <v>1957</v>
      </c>
      <c r="C237" s="1736"/>
      <c r="D237" s="1736"/>
      <c r="E237" s="1736"/>
      <c r="F237" s="1728">
        <v>0.05</v>
      </c>
    </row>
    <row r="238" spans="1:6" ht="24.75" thickBot="1">
      <c r="A238" s="1722" t="s">
        <v>1391</v>
      </c>
      <c r="B238" s="1726" t="s">
        <v>1958</v>
      </c>
      <c r="C238" s="1736"/>
      <c r="D238" s="1736"/>
      <c r="E238" s="1736"/>
      <c r="F238" s="1728">
        <v>0.05</v>
      </c>
    </row>
    <row r="239" spans="1:6" ht="24.75" thickBot="1">
      <c r="A239" s="1722" t="s">
        <v>1391</v>
      </c>
      <c r="B239" s="1726" t="s">
        <v>1959</v>
      </c>
      <c r="C239" s="1736"/>
      <c r="D239" s="1736"/>
      <c r="E239" s="1736"/>
      <c r="F239" s="1728">
        <v>0.05</v>
      </c>
    </row>
    <row r="240" spans="1:6" ht="24.75" thickBot="1">
      <c r="A240" s="1722" t="s">
        <v>1391</v>
      </c>
      <c r="B240" s="1726" t="s">
        <v>1960</v>
      </c>
      <c r="C240" s="1736"/>
      <c r="D240" s="1736"/>
      <c r="E240" s="1736"/>
      <c r="F240" s="1728">
        <v>0.05</v>
      </c>
    </row>
    <row r="241" spans="1:6" ht="24.75" thickBot="1">
      <c r="A241" s="1722" t="s">
        <v>1391</v>
      </c>
      <c r="B241" s="1726" t="s">
        <v>1961</v>
      </c>
      <c r="C241" s="1736"/>
      <c r="D241" s="1736"/>
      <c r="E241" s="1736"/>
      <c r="F241" s="1728">
        <v>0.05</v>
      </c>
    </row>
    <row r="242" spans="1:6" ht="24.75" thickBot="1">
      <c r="A242" s="1722" t="s">
        <v>1391</v>
      </c>
      <c r="B242" s="1726" t="s">
        <v>1962</v>
      </c>
      <c r="C242" s="1736"/>
      <c r="D242" s="1736"/>
      <c r="E242" s="1736"/>
      <c r="F242" s="1728">
        <v>0.05</v>
      </c>
    </row>
    <row r="243" spans="1:6" ht="24.75" thickBot="1">
      <c r="A243" s="1722" t="s">
        <v>1391</v>
      </c>
      <c r="B243" s="1726" t="s">
        <v>1963</v>
      </c>
      <c r="C243" s="1736"/>
      <c r="D243" s="1736"/>
      <c r="E243" s="1736"/>
      <c r="F243" s="1728">
        <v>0.05</v>
      </c>
    </row>
    <row r="244" spans="1:6" ht="24.75" thickBot="1">
      <c r="A244" s="1730" t="s">
        <v>1391</v>
      </c>
      <c r="B244" s="1737" t="s">
        <v>1964</v>
      </c>
      <c r="C244" s="1733"/>
      <c r="D244" s="1733"/>
      <c r="E244" s="1733"/>
      <c r="F244" s="1738">
        <v>0.05</v>
      </c>
    </row>
    <row r="245" spans="1:6" ht="14.25" thickBot="1">
      <c r="A245" s="1722" t="s">
        <v>1393</v>
      </c>
      <c r="B245" s="1723" t="s">
        <v>1965</v>
      </c>
      <c r="C245" s="1724">
        <v>0.15</v>
      </c>
      <c r="D245" s="1724">
        <v>0.15</v>
      </c>
      <c r="E245" s="1724">
        <v>0.15</v>
      </c>
      <c r="F245" s="1725">
        <v>0.14299999999999999</v>
      </c>
    </row>
    <row r="246" spans="1:6" ht="14.25" thickBot="1">
      <c r="A246" s="1722" t="s">
        <v>1393</v>
      </c>
      <c r="B246" s="1726" t="s">
        <v>1056</v>
      </c>
      <c r="C246" s="1727">
        <v>0.15</v>
      </c>
      <c r="D246" s="1727">
        <v>0.15</v>
      </c>
      <c r="E246" s="1727">
        <v>0.15</v>
      </c>
      <c r="F246" s="1728">
        <v>0.114</v>
      </c>
    </row>
    <row r="247" spans="1:6" ht="14.25" thickBot="1">
      <c r="A247" s="1722" t="s">
        <v>1393</v>
      </c>
      <c r="B247" s="1726" t="s">
        <v>1966</v>
      </c>
      <c r="C247" s="1727">
        <v>0.15</v>
      </c>
      <c r="D247" s="1727">
        <v>0.15</v>
      </c>
      <c r="E247" s="1727">
        <v>0.15</v>
      </c>
      <c r="F247" s="1728">
        <v>0.15</v>
      </c>
    </row>
    <row r="248" spans="1:6" ht="14.25" thickBot="1">
      <c r="A248" s="1722" t="s">
        <v>1393</v>
      </c>
      <c r="B248" s="1726" t="s">
        <v>1967</v>
      </c>
      <c r="C248" s="1727">
        <v>0.15</v>
      </c>
      <c r="D248" s="1727">
        <v>0.15</v>
      </c>
      <c r="E248" s="1727">
        <v>0.15</v>
      </c>
      <c r="F248" s="1728">
        <v>0.14000000000000001</v>
      </c>
    </row>
    <row r="249" spans="1:6" ht="14.25" thickBot="1">
      <c r="A249" s="1722" t="s">
        <v>1393</v>
      </c>
      <c r="B249" s="1726" t="s">
        <v>1968</v>
      </c>
      <c r="C249" s="1727">
        <v>0.15</v>
      </c>
      <c r="D249" s="1727">
        <v>0.14899999999999999</v>
      </c>
      <c r="E249" s="1727">
        <v>0.15</v>
      </c>
      <c r="F249" s="1728">
        <v>0.1</v>
      </c>
    </row>
    <row r="250" spans="1:6" ht="14.25" thickBot="1">
      <c r="A250" s="1722" t="s">
        <v>1393</v>
      </c>
      <c r="B250" s="1726" t="s">
        <v>1969</v>
      </c>
      <c r="C250" s="1727">
        <v>0.15</v>
      </c>
      <c r="D250" s="1727">
        <v>0.15</v>
      </c>
      <c r="E250" s="1727">
        <v>0.15</v>
      </c>
      <c r="F250" s="1728">
        <v>0.14399999999999999</v>
      </c>
    </row>
    <row r="251" spans="1:6" ht="14.25" thickBot="1">
      <c r="A251" s="1722" t="s">
        <v>1393</v>
      </c>
      <c r="B251" s="1726" t="s">
        <v>1119</v>
      </c>
      <c r="C251" s="1727">
        <v>0.15</v>
      </c>
      <c r="D251" s="1727">
        <v>0.15</v>
      </c>
      <c r="E251" s="1727">
        <v>0.15</v>
      </c>
      <c r="F251" s="1728">
        <v>0.14299999999999999</v>
      </c>
    </row>
    <row r="252" spans="1:6" ht="14.25" thickBot="1">
      <c r="A252" s="1722" t="s">
        <v>1393</v>
      </c>
      <c r="B252" s="1726" t="s">
        <v>1130</v>
      </c>
      <c r="C252" s="1727">
        <v>0.15</v>
      </c>
      <c r="D252" s="1727">
        <v>0.15</v>
      </c>
      <c r="E252" s="1727">
        <v>0.15</v>
      </c>
      <c r="F252" s="1728">
        <v>0.1</v>
      </c>
    </row>
    <row r="253" spans="1:6" ht="14.25" thickBot="1">
      <c r="A253" s="1722" t="s">
        <v>1393</v>
      </c>
      <c r="B253" s="1726" t="s">
        <v>1142</v>
      </c>
      <c r="C253" s="1727">
        <v>0.15</v>
      </c>
      <c r="D253" s="1727">
        <v>0.15</v>
      </c>
      <c r="E253" s="1727">
        <v>0.15</v>
      </c>
      <c r="F253" s="1728">
        <v>0.1</v>
      </c>
    </row>
    <row r="254" spans="1:6" ht="14.25" thickBot="1">
      <c r="A254" s="1722" t="s">
        <v>1393</v>
      </c>
      <c r="B254" s="1726" t="s">
        <v>1152</v>
      </c>
      <c r="C254" s="1736"/>
      <c r="D254" s="1736"/>
      <c r="E254" s="1736"/>
      <c r="F254" s="1728">
        <v>0.15</v>
      </c>
    </row>
    <row r="255" spans="1:6" ht="14.25" thickBot="1">
      <c r="A255" s="1722" t="s">
        <v>1393</v>
      </c>
      <c r="B255" s="1726" t="s">
        <v>1162</v>
      </c>
      <c r="C255" s="1736"/>
      <c r="D255" s="1736"/>
      <c r="E255" s="1736"/>
      <c r="F255" s="1728">
        <v>0.14299999999999999</v>
      </c>
    </row>
    <row r="256" spans="1:6" ht="14.25" thickBot="1">
      <c r="A256" s="1722" t="s">
        <v>1393</v>
      </c>
      <c r="B256" s="1726" t="s">
        <v>1970</v>
      </c>
      <c r="C256" s="1727">
        <v>0.14599999999999999</v>
      </c>
      <c r="D256" s="1727">
        <v>0.14699999999999999</v>
      </c>
      <c r="E256" s="1727">
        <v>0.15</v>
      </c>
      <c r="F256" s="1728">
        <v>0.13200000000000001</v>
      </c>
    </row>
    <row r="257" spans="1:6" ht="14.25" thickBot="1">
      <c r="A257" s="1722" t="s">
        <v>1393</v>
      </c>
      <c r="B257" s="1726" t="s">
        <v>1182</v>
      </c>
      <c r="C257" s="1727">
        <v>0.15</v>
      </c>
      <c r="D257" s="1727">
        <v>0.15</v>
      </c>
      <c r="E257" s="1727">
        <v>0.15</v>
      </c>
      <c r="F257" s="1728">
        <v>0.13900000000000001</v>
      </c>
    </row>
    <row r="258" spans="1:6" ht="14.25" thickBot="1">
      <c r="A258" s="1722" t="s">
        <v>1393</v>
      </c>
      <c r="B258" s="1726" t="s">
        <v>1192</v>
      </c>
      <c r="C258" s="1727">
        <v>0.15</v>
      </c>
      <c r="D258" s="1727">
        <v>0.15</v>
      </c>
      <c r="E258" s="1727">
        <v>0.15</v>
      </c>
      <c r="F258" s="1728">
        <v>0.13</v>
      </c>
    </row>
    <row r="259" spans="1:6" ht="14.25" thickBot="1">
      <c r="A259" s="1722" t="s">
        <v>1393</v>
      </c>
      <c r="B259" s="1726" t="s">
        <v>1971</v>
      </c>
      <c r="C259" s="1727">
        <v>0.14799999999999999</v>
      </c>
      <c r="D259" s="1727">
        <v>0.14899999999999999</v>
      </c>
      <c r="E259" s="1727">
        <v>0.15</v>
      </c>
      <c r="F259" s="1728">
        <v>0.13700000000000001</v>
      </c>
    </row>
    <row r="260" spans="1:6" ht="14.25" thickBot="1">
      <c r="A260" s="1722" t="s">
        <v>1393</v>
      </c>
      <c r="B260" s="1726" t="s">
        <v>1212</v>
      </c>
      <c r="C260" s="1727">
        <v>0.15</v>
      </c>
      <c r="D260" s="1727">
        <v>0.15</v>
      </c>
      <c r="E260" s="1727">
        <v>0.15</v>
      </c>
      <c r="F260" s="1728">
        <v>0.14199999999999999</v>
      </c>
    </row>
    <row r="261" spans="1:6" ht="14.25" thickBot="1">
      <c r="A261" s="1722" t="s">
        <v>1393</v>
      </c>
      <c r="B261" s="1726" t="s">
        <v>1222</v>
      </c>
      <c r="C261" s="1727">
        <v>0.15</v>
      </c>
      <c r="D261" s="1727">
        <v>0.15</v>
      </c>
      <c r="E261" s="1727">
        <v>0.14899999999999999</v>
      </c>
      <c r="F261" s="1728">
        <v>0.14799999999999999</v>
      </c>
    </row>
    <row r="262" spans="1:6" ht="14.25" thickBot="1">
      <c r="A262" s="1722" t="s">
        <v>1393</v>
      </c>
      <c r="B262" s="1726" t="s">
        <v>1232</v>
      </c>
      <c r="C262" s="1727">
        <v>0.15</v>
      </c>
      <c r="D262" s="1727">
        <v>0.15</v>
      </c>
      <c r="E262" s="1727">
        <v>0.15</v>
      </c>
      <c r="F262" s="1735"/>
    </row>
    <row r="263" spans="1:6" ht="14.25" thickBot="1">
      <c r="A263" s="1722" t="s">
        <v>1393</v>
      </c>
      <c r="B263" s="1726" t="s">
        <v>1972</v>
      </c>
      <c r="C263" s="1727">
        <v>0.14899999999999999</v>
      </c>
      <c r="D263" s="1727">
        <v>0.14899999999999999</v>
      </c>
      <c r="E263" s="1727">
        <v>0.15</v>
      </c>
      <c r="F263" s="1728">
        <v>0.13</v>
      </c>
    </row>
    <row r="264" spans="1:6" ht="14.25" thickBot="1">
      <c r="A264" s="1722" t="s">
        <v>1393</v>
      </c>
      <c r="B264" s="1726" t="s">
        <v>1251</v>
      </c>
      <c r="C264" s="1727">
        <v>0.14799999999999999</v>
      </c>
      <c r="D264" s="1727">
        <v>0.14699999999999999</v>
      </c>
      <c r="E264" s="1727">
        <v>0.15</v>
      </c>
      <c r="F264" s="1728">
        <v>7.8E-2</v>
      </c>
    </row>
    <row r="265" spans="1:6" ht="14.25" thickBot="1">
      <c r="A265" s="1722" t="s">
        <v>1393</v>
      </c>
      <c r="B265" s="1726" t="s">
        <v>1260</v>
      </c>
      <c r="C265" s="1727">
        <v>0.15</v>
      </c>
      <c r="D265" s="1727">
        <v>0.15</v>
      </c>
      <c r="E265" s="1727">
        <v>0.15</v>
      </c>
      <c r="F265" s="1728">
        <v>7.3999999999999996E-2</v>
      </c>
    </row>
    <row r="266" spans="1:6" ht="14.25" thickBot="1">
      <c r="A266" s="1722" t="s">
        <v>1393</v>
      </c>
      <c r="B266" s="1726" t="s">
        <v>1268</v>
      </c>
      <c r="C266" s="1727">
        <v>0.14699999999999999</v>
      </c>
      <c r="D266" s="1727">
        <v>0.14699999999999999</v>
      </c>
      <c r="E266" s="1727">
        <v>0.15</v>
      </c>
      <c r="F266" s="1728">
        <v>0.14299999999999999</v>
      </c>
    </row>
    <row r="267" spans="1:6" ht="14.25" thickBot="1">
      <c r="A267" s="1722" t="s">
        <v>1393</v>
      </c>
      <c r="B267" s="1726" t="s">
        <v>1275</v>
      </c>
      <c r="C267" s="1727">
        <v>0.14199999999999999</v>
      </c>
      <c r="D267" s="1727">
        <v>0.14299999999999999</v>
      </c>
      <c r="E267" s="1727">
        <v>0.15</v>
      </c>
      <c r="F267" s="1735"/>
    </row>
    <row r="268" spans="1:6" ht="14.25" thickBot="1">
      <c r="A268" s="1722" t="s">
        <v>1393</v>
      </c>
      <c r="B268" s="1726" t="s">
        <v>1973</v>
      </c>
      <c r="C268" s="1727">
        <v>0.15</v>
      </c>
      <c r="D268" s="1727">
        <v>0.15</v>
      </c>
      <c r="E268" s="1727">
        <v>0.15</v>
      </c>
      <c r="F268" s="1728">
        <v>0.13</v>
      </c>
    </row>
    <row r="269" spans="1:6" ht="14.25" thickBot="1">
      <c r="A269" s="1722" t="s">
        <v>1393</v>
      </c>
      <c r="B269" s="1726" t="s">
        <v>1289</v>
      </c>
      <c r="C269" s="1727">
        <v>0.15</v>
      </c>
      <c r="D269" s="1727">
        <v>0.15</v>
      </c>
      <c r="E269" s="1727">
        <v>0.15</v>
      </c>
      <c r="F269" s="1728">
        <v>0.14299999999999999</v>
      </c>
    </row>
    <row r="270" spans="1:6" ht="14.25" thickBot="1">
      <c r="A270" s="1722" t="s">
        <v>1393</v>
      </c>
      <c r="B270" s="1726" t="s">
        <v>1296</v>
      </c>
      <c r="C270" s="1727">
        <v>0.14499999999999999</v>
      </c>
      <c r="D270" s="1727">
        <v>0.14499999999999999</v>
      </c>
      <c r="E270" s="1727">
        <v>0.15</v>
      </c>
      <c r="F270" s="1728">
        <v>0.14699999999999999</v>
      </c>
    </row>
    <row r="271" spans="1:6" ht="14.25" thickBot="1">
      <c r="A271" s="1722" t="s">
        <v>1393</v>
      </c>
      <c r="B271" s="1726" t="s">
        <v>1303</v>
      </c>
      <c r="C271" s="1727">
        <v>0.15</v>
      </c>
      <c r="D271" s="1727">
        <v>0.15</v>
      </c>
      <c r="E271" s="1727">
        <v>0.15</v>
      </c>
      <c r="F271" s="1728">
        <v>0.13800000000000001</v>
      </c>
    </row>
    <row r="272" spans="1:6" ht="14.25" thickBot="1">
      <c r="A272" s="1722" t="s">
        <v>1393</v>
      </c>
      <c r="B272" s="1726" t="s">
        <v>1310</v>
      </c>
      <c r="C272" s="1736"/>
      <c r="D272" s="1736"/>
      <c r="E272" s="1736"/>
      <c r="F272" s="1728">
        <v>0.14000000000000001</v>
      </c>
    </row>
    <row r="273" spans="1:6" ht="14.25" thickBot="1">
      <c r="A273" s="1722" t="s">
        <v>1393</v>
      </c>
      <c r="B273" s="1726" t="s">
        <v>1974</v>
      </c>
      <c r="C273" s="1727">
        <v>0.14199999999999999</v>
      </c>
      <c r="D273" s="1727">
        <v>0.14299999999999999</v>
      </c>
      <c r="E273" s="1727">
        <v>0.15</v>
      </c>
      <c r="F273" s="1728">
        <v>0.1</v>
      </c>
    </row>
    <row r="274" spans="1:6" ht="14.25" thickBot="1">
      <c r="A274" s="1722" t="s">
        <v>1393</v>
      </c>
      <c r="B274" s="1726" t="s">
        <v>1975</v>
      </c>
      <c r="C274" s="1727">
        <v>0.14799999999999999</v>
      </c>
      <c r="D274" s="1727">
        <v>0.14799999999999999</v>
      </c>
      <c r="E274" s="1727">
        <v>0.15</v>
      </c>
      <c r="F274" s="1728">
        <v>6.7000000000000004E-2</v>
      </c>
    </row>
    <row r="275" spans="1:6" ht="14.25" thickBot="1">
      <c r="A275" s="1722" t="s">
        <v>1393</v>
      </c>
      <c r="B275" s="1726" t="s">
        <v>1976</v>
      </c>
      <c r="C275" s="1727">
        <v>0.15</v>
      </c>
      <c r="D275" s="1727">
        <v>0.15</v>
      </c>
      <c r="E275" s="1727">
        <v>0.15</v>
      </c>
      <c r="F275" s="1728">
        <v>0.15</v>
      </c>
    </row>
    <row r="276" spans="1:6" ht="14.25" thickBot="1">
      <c r="A276" s="1722" t="s">
        <v>1393</v>
      </c>
      <c r="B276" s="1726" t="s">
        <v>1977</v>
      </c>
      <c r="C276" s="1727">
        <v>0.14499999999999999</v>
      </c>
      <c r="D276" s="1727">
        <v>0.14299999999999999</v>
      </c>
      <c r="E276" s="1727">
        <v>0.15</v>
      </c>
      <c r="F276" s="1728">
        <v>5.8999999999999997E-2</v>
      </c>
    </row>
    <row r="277" spans="1:6" ht="14.25" thickBot="1">
      <c r="A277" s="1722" t="s">
        <v>1393</v>
      </c>
      <c r="B277" s="1726" t="s">
        <v>1978</v>
      </c>
      <c r="C277" s="1727">
        <v>0.15</v>
      </c>
      <c r="D277" s="1727">
        <v>0.15</v>
      </c>
      <c r="E277" s="1727">
        <v>0.15</v>
      </c>
      <c r="F277" s="1728">
        <v>0.121</v>
      </c>
    </row>
    <row r="278" spans="1:6" ht="14.25" thickBot="1">
      <c r="A278" s="1722" t="s">
        <v>1393</v>
      </c>
      <c r="B278" s="1726" t="s">
        <v>1979</v>
      </c>
      <c r="C278" s="1727">
        <v>0.15</v>
      </c>
      <c r="D278" s="1727">
        <v>0.15</v>
      </c>
      <c r="E278" s="1727">
        <v>0.15</v>
      </c>
      <c r="F278" s="1728">
        <v>0.13800000000000001</v>
      </c>
    </row>
    <row r="279" spans="1:6" ht="24.75" thickBot="1">
      <c r="A279" s="1722" t="s">
        <v>1393</v>
      </c>
      <c r="B279" s="1726" t="s">
        <v>1980</v>
      </c>
      <c r="C279" s="1736"/>
      <c r="D279" s="1736"/>
      <c r="E279" s="1736"/>
      <c r="F279" s="1728">
        <v>0.05</v>
      </c>
    </row>
    <row r="280" spans="1:6" ht="24.75" thickBot="1">
      <c r="A280" s="1722" t="s">
        <v>1393</v>
      </c>
      <c r="B280" s="1726" t="s">
        <v>1981</v>
      </c>
      <c r="C280" s="1736"/>
      <c r="D280" s="1736"/>
      <c r="E280" s="1736"/>
      <c r="F280" s="1728">
        <v>0.05</v>
      </c>
    </row>
    <row r="281" spans="1:6" ht="24.75" thickBot="1">
      <c r="A281" s="1722" t="s">
        <v>1393</v>
      </c>
      <c r="B281" s="1726" t="s">
        <v>1982</v>
      </c>
      <c r="C281" s="1736"/>
      <c r="D281" s="1736"/>
      <c r="E281" s="1736"/>
      <c r="F281" s="1728">
        <v>0.05</v>
      </c>
    </row>
    <row r="282" spans="1:6" ht="24.75" thickBot="1">
      <c r="A282" s="1722" t="s">
        <v>1393</v>
      </c>
      <c r="B282" s="1726" t="s">
        <v>1983</v>
      </c>
      <c r="C282" s="1736"/>
      <c r="D282" s="1736"/>
      <c r="E282" s="1736"/>
      <c r="F282" s="1728">
        <v>0.05</v>
      </c>
    </row>
    <row r="283" spans="1:6" ht="24.75" thickBot="1">
      <c r="A283" s="1722" t="s">
        <v>1393</v>
      </c>
      <c r="B283" s="1726" t="s">
        <v>1984</v>
      </c>
      <c r="C283" s="1736"/>
      <c r="D283" s="1736"/>
      <c r="E283" s="1736"/>
      <c r="F283" s="1728">
        <v>0.05</v>
      </c>
    </row>
    <row r="284" spans="1:6" ht="24.75" thickBot="1">
      <c r="A284" s="1722" t="s">
        <v>1393</v>
      </c>
      <c r="B284" s="1726" t="s">
        <v>1985</v>
      </c>
      <c r="C284" s="1736"/>
      <c r="D284" s="1736"/>
      <c r="E284" s="1736"/>
      <c r="F284" s="1728">
        <v>0.05</v>
      </c>
    </row>
    <row r="285" spans="1:6" ht="24.75" thickBot="1">
      <c r="A285" s="1722" t="s">
        <v>1393</v>
      </c>
      <c r="B285" s="1726" t="s">
        <v>1986</v>
      </c>
      <c r="C285" s="1736"/>
      <c r="D285" s="1736"/>
      <c r="E285" s="1736"/>
      <c r="F285" s="1728">
        <v>0.05</v>
      </c>
    </row>
    <row r="286" spans="1:6" ht="24.75" thickBot="1">
      <c r="A286" s="1722" t="s">
        <v>1393</v>
      </c>
      <c r="B286" s="1726" t="s">
        <v>1987</v>
      </c>
      <c r="C286" s="1736"/>
      <c r="D286" s="1736"/>
      <c r="E286" s="1736"/>
      <c r="F286" s="1728">
        <v>0.05</v>
      </c>
    </row>
    <row r="287" spans="1:6" ht="24.75" thickBot="1">
      <c r="A287" s="1722" t="s">
        <v>1393</v>
      </c>
      <c r="B287" s="1726" t="s">
        <v>1988</v>
      </c>
      <c r="C287" s="1736"/>
      <c r="D287" s="1736"/>
      <c r="E287" s="1736"/>
      <c r="F287" s="1728">
        <v>0.05</v>
      </c>
    </row>
    <row r="288" spans="1:6" ht="24.75" thickBot="1">
      <c r="A288" s="1722" t="s">
        <v>1393</v>
      </c>
      <c r="B288" s="1726" t="s">
        <v>1989</v>
      </c>
      <c r="C288" s="1736"/>
      <c r="D288" s="1736"/>
      <c r="E288" s="1736"/>
      <c r="F288" s="1728">
        <v>0.05</v>
      </c>
    </row>
    <row r="289" spans="1:6" ht="24.75" thickBot="1">
      <c r="A289" s="1730" t="s">
        <v>1393</v>
      </c>
      <c r="B289" s="1737" t="s">
        <v>1990</v>
      </c>
      <c r="C289" s="1733"/>
      <c r="D289" s="1733"/>
      <c r="E289" s="1733"/>
      <c r="F289" s="1738">
        <v>0.05</v>
      </c>
    </row>
    <row r="290" spans="1:6" ht="14.25" thickBot="1">
      <c r="A290" s="1722" t="s">
        <v>1397</v>
      </c>
      <c r="B290" s="1723" t="s">
        <v>1991</v>
      </c>
      <c r="C290" s="1724">
        <v>0.15</v>
      </c>
      <c r="D290" s="1724">
        <v>0.15</v>
      </c>
      <c r="E290" s="1724">
        <v>0.15</v>
      </c>
      <c r="F290" s="1746"/>
    </row>
    <row r="291" spans="1:6" ht="14.25" thickBot="1">
      <c r="A291" s="1722" t="s">
        <v>1397</v>
      </c>
      <c r="B291" s="1726" t="s">
        <v>1057</v>
      </c>
      <c r="C291" s="1727">
        <v>0.15</v>
      </c>
      <c r="D291" s="1727">
        <v>0.15</v>
      </c>
      <c r="E291" s="1727">
        <v>0.15</v>
      </c>
      <c r="F291" s="1735"/>
    </row>
    <row r="292" spans="1:6" ht="14.25" thickBot="1">
      <c r="A292" s="1722" t="s">
        <v>1397</v>
      </c>
      <c r="B292" s="1726" t="s">
        <v>1992</v>
      </c>
      <c r="C292" s="1727">
        <v>0.15</v>
      </c>
      <c r="D292" s="1727">
        <v>0.15</v>
      </c>
      <c r="E292" s="1727">
        <v>0.15</v>
      </c>
      <c r="F292" s="1728">
        <v>0.14699999999999999</v>
      </c>
    </row>
    <row r="293" spans="1:6" ht="14.25" thickBot="1">
      <c r="A293" s="1722" t="s">
        <v>1397</v>
      </c>
      <c r="B293" s="1726" t="s">
        <v>1993</v>
      </c>
      <c r="C293" s="1736"/>
      <c r="D293" s="1736"/>
      <c r="E293" s="1736"/>
      <c r="F293" s="1728">
        <v>0.1</v>
      </c>
    </row>
    <row r="294" spans="1:6" ht="14.25" thickBot="1">
      <c r="A294" s="1722" t="s">
        <v>1397</v>
      </c>
      <c r="B294" s="1726" t="s">
        <v>1994</v>
      </c>
      <c r="C294" s="1727">
        <v>0.15</v>
      </c>
      <c r="D294" s="1727">
        <v>0.15</v>
      </c>
      <c r="E294" s="1727">
        <v>0.15</v>
      </c>
      <c r="F294" s="1728">
        <v>0.15</v>
      </c>
    </row>
    <row r="295" spans="1:6" ht="14.25" thickBot="1">
      <c r="A295" s="1722" t="s">
        <v>1397</v>
      </c>
      <c r="B295" s="1726" t="s">
        <v>1098</v>
      </c>
      <c r="C295" s="1727">
        <v>0.15</v>
      </c>
      <c r="D295" s="1727">
        <v>0.15</v>
      </c>
      <c r="E295" s="1727">
        <v>0.15</v>
      </c>
      <c r="F295" s="1728">
        <v>0.15</v>
      </c>
    </row>
    <row r="296" spans="1:6" ht="14.25" thickBot="1">
      <c r="A296" s="1722" t="s">
        <v>1397</v>
      </c>
      <c r="B296" s="1726" t="s">
        <v>1995</v>
      </c>
      <c r="C296" s="1727">
        <v>0.15</v>
      </c>
      <c r="D296" s="1727">
        <v>0.15</v>
      </c>
      <c r="E296" s="1727">
        <v>0.15</v>
      </c>
      <c r="F296" s="1728">
        <v>0.15</v>
      </c>
    </row>
    <row r="297" spans="1:6" ht="14.25" thickBot="1">
      <c r="A297" s="1722" t="s">
        <v>1397</v>
      </c>
      <c r="B297" s="1726" t="s">
        <v>1996</v>
      </c>
      <c r="C297" s="1727">
        <v>0.14799999999999999</v>
      </c>
      <c r="D297" s="1727">
        <v>0.14899999999999999</v>
      </c>
      <c r="E297" s="1727">
        <v>0.15</v>
      </c>
      <c r="F297" s="1728">
        <v>0.13700000000000001</v>
      </c>
    </row>
    <row r="298" spans="1:6" ht="14.25" thickBot="1">
      <c r="A298" s="1722" t="s">
        <v>1397</v>
      </c>
      <c r="B298" s="1726" t="s">
        <v>1131</v>
      </c>
      <c r="C298" s="1727">
        <v>0.13400000000000001</v>
      </c>
      <c r="D298" s="1727">
        <v>0.13400000000000001</v>
      </c>
      <c r="E298" s="1727">
        <v>0.14499999999999999</v>
      </c>
      <c r="F298" s="1728">
        <v>0.14799999999999999</v>
      </c>
    </row>
    <row r="299" spans="1:6" ht="14.25" thickBot="1">
      <c r="A299" s="1722" t="s">
        <v>1397</v>
      </c>
      <c r="B299" s="1726" t="s">
        <v>1143</v>
      </c>
      <c r="C299" s="1727">
        <v>0.15</v>
      </c>
      <c r="D299" s="1727">
        <v>0.15</v>
      </c>
      <c r="E299" s="1727">
        <v>0.15</v>
      </c>
      <c r="F299" s="1735"/>
    </row>
    <row r="300" spans="1:6" ht="14.25" thickBot="1">
      <c r="A300" s="1722" t="s">
        <v>1397</v>
      </c>
      <c r="B300" s="1726" t="s">
        <v>1997</v>
      </c>
      <c r="C300" s="1727">
        <v>0.15</v>
      </c>
      <c r="D300" s="1727">
        <v>0.15</v>
      </c>
      <c r="E300" s="1727">
        <v>0.15</v>
      </c>
      <c r="F300" s="1728">
        <v>0.15</v>
      </c>
    </row>
    <row r="301" spans="1:6" ht="14.25" thickBot="1">
      <c r="A301" s="1722" t="s">
        <v>1397</v>
      </c>
      <c r="B301" s="1726" t="s">
        <v>1163</v>
      </c>
      <c r="C301" s="1727">
        <v>0.15</v>
      </c>
      <c r="D301" s="1727">
        <v>0.15</v>
      </c>
      <c r="E301" s="1727">
        <v>0.15</v>
      </c>
      <c r="F301" s="1735"/>
    </row>
    <row r="302" spans="1:6" ht="14.25" thickBot="1">
      <c r="A302" s="1722" t="s">
        <v>1397</v>
      </c>
      <c r="B302" s="1726" t="s">
        <v>1998</v>
      </c>
      <c r="C302" s="1727">
        <v>0.15</v>
      </c>
      <c r="D302" s="1727">
        <v>0.15</v>
      </c>
      <c r="E302" s="1727">
        <v>0.15</v>
      </c>
      <c r="F302" s="1728">
        <v>0.15</v>
      </c>
    </row>
    <row r="303" spans="1:6" ht="14.25" thickBot="1">
      <c r="A303" s="1722" t="s">
        <v>1397</v>
      </c>
      <c r="B303" s="1726" t="s">
        <v>1183</v>
      </c>
      <c r="C303" s="1727">
        <v>0.15</v>
      </c>
      <c r="D303" s="1727">
        <v>0.15</v>
      </c>
      <c r="E303" s="1727">
        <v>0.15</v>
      </c>
      <c r="F303" s="1728">
        <v>0.15</v>
      </c>
    </row>
    <row r="304" spans="1:6" ht="14.25" thickBot="1">
      <c r="A304" s="1722" t="s">
        <v>1397</v>
      </c>
      <c r="B304" s="1726" t="s">
        <v>1193</v>
      </c>
      <c r="C304" s="1727">
        <v>0.15</v>
      </c>
      <c r="D304" s="1727">
        <v>0.15</v>
      </c>
      <c r="E304" s="1727">
        <v>0.15</v>
      </c>
      <c r="F304" s="1735"/>
    </row>
    <row r="305" spans="1:6" ht="14.25" thickBot="1">
      <c r="A305" s="1722" t="s">
        <v>1397</v>
      </c>
      <c r="B305" s="1726" t="s">
        <v>1999</v>
      </c>
      <c r="C305" s="1727">
        <v>0.15</v>
      </c>
      <c r="D305" s="1727">
        <v>0.15</v>
      </c>
      <c r="E305" s="1727">
        <v>0.15</v>
      </c>
      <c r="F305" s="1728">
        <v>0.14000000000000001</v>
      </c>
    </row>
    <row r="306" spans="1:6" ht="14.25" thickBot="1">
      <c r="A306" s="1722" t="s">
        <v>1397</v>
      </c>
      <c r="B306" s="1726" t="s">
        <v>1213</v>
      </c>
      <c r="C306" s="1727">
        <v>0.15</v>
      </c>
      <c r="D306" s="1727">
        <v>0.15</v>
      </c>
      <c r="E306" s="1727">
        <v>0.15</v>
      </c>
      <c r="F306" s="1735"/>
    </row>
    <row r="307" spans="1:6" ht="14.25" thickBot="1">
      <c r="A307" s="1722" t="s">
        <v>1397</v>
      </c>
      <c r="B307" s="1726" t="s">
        <v>2000</v>
      </c>
      <c r="C307" s="1727">
        <v>0.15</v>
      </c>
      <c r="D307" s="1727">
        <v>0.15</v>
      </c>
      <c r="E307" s="1727">
        <v>0.15</v>
      </c>
      <c r="F307" s="1728">
        <v>0.14299999999999999</v>
      </c>
    </row>
    <row r="308" spans="1:6" ht="14.25" thickBot="1">
      <c r="A308" s="1722" t="s">
        <v>1397</v>
      </c>
      <c r="B308" s="1726" t="s">
        <v>1233</v>
      </c>
      <c r="C308" s="1727">
        <v>0.15</v>
      </c>
      <c r="D308" s="1727">
        <v>0.15</v>
      </c>
      <c r="E308" s="1727">
        <v>0.15</v>
      </c>
      <c r="F308" s="1728">
        <v>0.15</v>
      </c>
    </row>
    <row r="309" spans="1:6" ht="14.25" thickBot="1">
      <c r="A309" s="1722" t="s">
        <v>1397</v>
      </c>
      <c r="B309" s="1726" t="s">
        <v>1243</v>
      </c>
      <c r="C309" s="1727">
        <v>0.15</v>
      </c>
      <c r="D309" s="1727">
        <v>0.15</v>
      </c>
      <c r="E309" s="1727">
        <v>0.15</v>
      </c>
      <c r="F309" s="1735"/>
    </row>
    <row r="310" spans="1:6" ht="14.25" thickBot="1">
      <c r="A310" s="1722" t="s">
        <v>1397</v>
      </c>
      <c r="B310" s="1726" t="s">
        <v>2001</v>
      </c>
      <c r="C310" s="1727">
        <v>0.15</v>
      </c>
      <c r="D310" s="1727">
        <v>0.15</v>
      </c>
      <c r="E310" s="1727">
        <v>0.15</v>
      </c>
      <c r="F310" s="1728">
        <v>0.13700000000000001</v>
      </c>
    </row>
    <row r="311" spans="1:6" ht="14.25" thickBot="1">
      <c r="A311" s="1722" t="s">
        <v>1397</v>
      </c>
      <c r="B311" s="1726" t="s">
        <v>2002</v>
      </c>
      <c r="C311" s="1727">
        <v>0.15</v>
      </c>
      <c r="D311" s="1727">
        <v>0.15</v>
      </c>
      <c r="E311" s="1727">
        <v>0.15</v>
      </c>
      <c r="F311" s="1728">
        <v>0.15</v>
      </c>
    </row>
    <row r="312" spans="1:6" ht="14.25" thickBot="1">
      <c r="A312" s="1722" t="s">
        <v>1397</v>
      </c>
      <c r="B312" s="1726" t="s">
        <v>1269</v>
      </c>
      <c r="C312" s="1727">
        <v>0.15</v>
      </c>
      <c r="D312" s="1727">
        <v>0.15</v>
      </c>
      <c r="E312" s="1727">
        <v>0.15</v>
      </c>
      <c r="F312" s="1728">
        <v>0.1</v>
      </c>
    </row>
    <row r="313" spans="1:6" ht="14.25" thickBot="1">
      <c r="A313" s="1722" t="s">
        <v>1397</v>
      </c>
      <c r="B313" s="1726" t="s">
        <v>2003</v>
      </c>
      <c r="C313" s="1727">
        <v>0.15</v>
      </c>
      <c r="D313" s="1727">
        <v>0.15</v>
      </c>
      <c r="E313" s="1727">
        <v>0.15</v>
      </c>
      <c r="F313" s="1728">
        <v>0.15</v>
      </c>
    </row>
    <row r="314" spans="1:6" ht="24.75" thickBot="1">
      <c r="A314" s="1722" t="s">
        <v>1397</v>
      </c>
      <c r="B314" s="1726" t="s">
        <v>2004</v>
      </c>
      <c r="C314" s="1736"/>
      <c r="D314" s="1736"/>
      <c r="E314" s="1736"/>
      <c r="F314" s="1728">
        <v>0.05</v>
      </c>
    </row>
    <row r="315" spans="1:6" ht="24.75" thickBot="1">
      <c r="A315" s="1722" t="s">
        <v>1397</v>
      </c>
      <c r="B315" s="1726" t="s">
        <v>2005</v>
      </c>
      <c r="C315" s="1736"/>
      <c r="D315" s="1736"/>
      <c r="E315" s="1736"/>
      <c r="F315" s="1728">
        <v>0.05</v>
      </c>
    </row>
    <row r="316" spans="1:6" ht="24.75" thickBot="1">
      <c r="A316" s="1730" t="s">
        <v>1397</v>
      </c>
      <c r="B316" s="1737" t="s">
        <v>2006</v>
      </c>
      <c r="C316" s="1733"/>
      <c r="D316" s="1733"/>
      <c r="E316" s="1733"/>
      <c r="F316" s="1738">
        <v>0.05</v>
      </c>
    </row>
    <row r="317" spans="1:6" ht="14.25" thickBot="1">
      <c r="A317" s="1722" t="s">
        <v>2007</v>
      </c>
      <c r="B317" s="1723" t="s">
        <v>2008</v>
      </c>
      <c r="C317" s="1724">
        <v>0.15</v>
      </c>
      <c r="D317" s="1724">
        <v>0.15</v>
      </c>
      <c r="E317" s="1724">
        <v>0.15</v>
      </c>
      <c r="F317" s="1725">
        <v>0.15</v>
      </c>
    </row>
    <row r="318" spans="1:6" ht="14.25" thickBot="1">
      <c r="A318" s="1722" t="s">
        <v>2007</v>
      </c>
      <c r="B318" s="1726" t="s">
        <v>2009</v>
      </c>
      <c r="C318" s="1727">
        <v>0.107</v>
      </c>
      <c r="D318" s="1727">
        <v>0.11</v>
      </c>
      <c r="E318" s="1727">
        <v>0.112</v>
      </c>
      <c r="F318" s="1735"/>
    </row>
    <row r="319" spans="1:6" ht="14.25" thickBot="1">
      <c r="A319" s="1722" t="s">
        <v>2007</v>
      </c>
      <c r="B319" s="1726" t="s">
        <v>2010</v>
      </c>
      <c r="C319" s="1727">
        <v>0.15</v>
      </c>
      <c r="D319" s="1727">
        <v>0.15</v>
      </c>
      <c r="E319" s="1727">
        <v>0.15</v>
      </c>
      <c r="F319" s="1728">
        <v>0.15</v>
      </c>
    </row>
    <row r="320" spans="1:6" ht="14.25" thickBot="1">
      <c r="A320" s="1722" t="s">
        <v>2007</v>
      </c>
      <c r="B320" s="1726" t="s">
        <v>1085</v>
      </c>
      <c r="C320" s="1727">
        <v>0.15</v>
      </c>
      <c r="D320" s="1727">
        <v>0.15</v>
      </c>
      <c r="E320" s="1727">
        <v>0.15</v>
      </c>
      <c r="F320" s="1735"/>
    </row>
    <row r="321" spans="1:6" ht="14.25" thickBot="1">
      <c r="A321" s="1722" t="s">
        <v>2007</v>
      </c>
      <c r="B321" s="1726" t="s">
        <v>2011</v>
      </c>
      <c r="C321" s="1727">
        <v>0.15</v>
      </c>
      <c r="D321" s="1727">
        <v>0.15</v>
      </c>
      <c r="E321" s="1727">
        <v>0.15</v>
      </c>
      <c r="F321" s="1735"/>
    </row>
    <row r="322" spans="1:6" ht="14.25" thickBot="1">
      <c r="A322" s="1722" t="s">
        <v>2007</v>
      </c>
      <c r="B322" s="1726" t="s">
        <v>2012</v>
      </c>
      <c r="C322" s="1727">
        <v>0.15</v>
      </c>
      <c r="D322" s="1727">
        <v>0.15</v>
      </c>
      <c r="E322" s="1727">
        <v>0.15</v>
      </c>
      <c r="F322" s="1728">
        <v>0.15</v>
      </c>
    </row>
    <row r="323" spans="1:6" ht="14.25" thickBot="1">
      <c r="A323" s="1722" t="s">
        <v>2007</v>
      </c>
      <c r="B323" s="1726" t="s">
        <v>2013</v>
      </c>
      <c r="C323" s="1727">
        <v>0.15</v>
      </c>
      <c r="D323" s="1727">
        <v>0.15</v>
      </c>
      <c r="E323" s="1727">
        <v>0.15</v>
      </c>
      <c r="F323" s="1735"/>
    </row>
    <row r="324" spans="1:6" ht="14.25" thickBot="1">
      <c r="A324" s="1722" t="s">
        <v>2007</v>
      </c>
      <c r="B324" s="1726" t="s">
        <v>2014</v>
      </c>
      <c r="C324" s="1727">
        <v>0.15</v>
      </c>
      <c r="D324" s="1727">
        <v>0.15</v>
      </c>
      <c r="E324" s="1727">
        <v>0.15</v>
      </c>
      <c r="F324" s="1735"/>
    </row>
    <row r="325" spans="1:6" ht="14.25" thickBot="1">
      <c r="A325" s="1722" t="s">
        <v>2007</v>
      </c>
      <c r="B325" s="1726" t="s">
        <v>2015</v>
      </c>
      <c r="C325" s="1727">
        <v>0.15</v>
      </c>
      <c r="D325" s="1727">
        <v>0.15</v>
      </c>
      <c r="E325" s="1727">
        <v>0.15</v>
      </c>
      <c r="F325" s="1728">
        <v>0.14699999999999999</v>
      </c>
    </row>
    <row r="326" spans="1:6" ht="14.25" thickBot="1">
      <c r="A326" s="1722" t="s">
        <v>2007</v>
      </c>
      <c r="B326" s="1726" t="s">
        <v>1154</v>
      </c>
      <c r="C326" s="1727">
        <v>0.15</v>
      </c>
      <c r="D326" s="1727">
        <v>0.15</v>
      </c>
      <c r="E326" s="1727">
        <v>0.15</v>
      </c>
      <c r="F326" s="1735"/>
    </row>
    <row r="327" spans="1:6" ht="14.25" thickBot="1">
      <c r="A327" s="1722" t="s">
        <v>2007</v>
      </c>
      <c r="B327" s="1726" t="s">
        <v>2016</v>
      </c>
      <c r="C327" s="1727">
        <v>0.15</v>
      </c>
      <c r="D327" s="1727">
        <v>0.15</v>
      </c>
      <c r="E327" s="1727">
        <v>0.15</v>
      </c>
      <c r="F327" s="1728">
        <v>0.15</v>
      </c>
    </row>
    <row r="328" spans="1:6" ht="14.25" thickBot="1">
      <c r="A328" s="1722" t="s">
        <v>2007</v>
      </c>
      <c r="B328" s="1726" t="s">
        <v>1174</v>
      </c>
      <c r="C328" s="1727">
        <v>0.15</v>
      </c>
      <c r="D328" s="1727">
        <v>0.15</v>
      </c>
      <c r="E328" s="1727">
        <v>0.15</v>
      </c>
      <c r="F328" s="1728">
        <v>0.14099999999999999</v>
      </c>
    </row>
    <row r="329" spans="1:6" ht="14.25" thickBot="1">
      <c r="A329" s="1722" t="s">
        <v>2007</v>
      </c>
      <c r="B329" s="1726" t="s">
        <v>1184</v>
      </c>
      <c r="C329" s="1727">
        <v>0.15</v>
      </c>
      <c r="D329" s="1727">
        <v>0.15</v>
      </c>
      <c r="E329" s="1727">
        <v>0.15</v>
      </c>
      <c r="F329" s="1728">
        <v>0.15</v>
      </c>
    </row>
    <row r="330" spans="1:6" ht="14.25" thickBot="1">
      <c r="A330" s="1722" t="s">
        <v>2007</v>
      </c>
      <c r="B330" s="1726" t="s">
        <v>1194</v>
      </c>
      <c r="C330" s="1727">
        <v>0.15</v>
      </c>
      <c r="D330" s="1727">
        <v>0.15</v>
      </c>
      <c r="E330" s="1727">
        <v>0.15</v>
      </c>
      <c r="F330" s="1735"/>
    </row>
    <row r="331" spans="1:6" ht="14.25" thickBot="1">
      <c r="A331" s="1722" t="s">
        <v>2007</v>
      </c>
      <c r="B331" s="1726" t="s">
        <v>2017</v>
      </c>
      <c r="C331" s="1727">
        <v>0.15</v>
      </c>
      <c r="D331" s="1727">
        <v>0.15</v>
      </c>
      <c r="E331" s="1727">
        <v>0.15</v>
      </c>
      <c r="F331" s="1728">
        <v>0.15</v>
      </c>
    </row>
    <row r="332" spans="1:6" ht="14.25" thickBot="1">
      <c r="A332" s="1722" t="s">
        <v>2007</v>
      </c>
      <c r="B332" s="1726" t="s">
        <v>1214</v>
      </c>
      <c r="C332" s="1727">
        <v>0.15</v>
      </c>
      <c r="D332" s="1727">
        <v>0.15</v>
      </c>
      <c r="E332" s="1727">
        <v>0.15</v>
      </c>
      <c r="F332" s="1728">
        <v>0.15</v>
      </c>
    </row>
    <row r="333" spans="1:6" ht="14.25" thickBot="1">
      <c r="A333" s="1722" t="s">
        <v>2007</v>
      </c>
      <c r="B333" s="1726" t="s">
        <v>2018</v>
      </c>
      <c r="C333" s="1727">
        <v>0.15</v>
      </c>
      <c r="D333" s="1727">
        <v>0.15</v>
      </c>
      <c r="E333" s="1727">
        <v>0.15</v>
      </c>
      <c r="F333" s="1728">
        <v>0.14099999999999999</v>
      </c>
    </row>
    <row r="334" spans="1:6" ht="14.25" thickBot="1">
      <c r="A334" s="1722" t="s">
        <v>2007</v>
      </c>
      <c r="B334" s="1726" t="s">
        <v>1234</v>
      </c>
      <c r="C334" s="1727">
        <v>0.15</v>
      </c>
      <c r="D334" s="1727">
        <v>0.15</v>
      </c>
      <c r="E334" s="1727">
        <v>0.15</v>
      </c>
      <c r="F334" s="1728">
        <v>0.15</v>
      </c>
    </row>
    <row r="335" spans="1:6" ht="14.25" thickBot="1">
      <c r="A335" s="1722" t="s">
        <v>2007</v>
      </c>
      <c r="B335" s="1726" t="s">
        <v>1244</v>
      </c>
      <c r="C335" s="1727">
        <v>0.15</v>
      </c>
      <c r="D335" s="1727">
        <v>0.15</v>
      </c>
      <c r="E335" s="1727">
        <v>0.15</v>
      </c>
      <c r="F335" s="1735"/>
    </row>
    <row r="336" spans="1:6" ht="14.25" thickBot="1">
      <c r="A336" s="1722" t="s">
        <v>2007</v>
      </c>
      <c r="B336" s="1726" t="s">
        <v>2019</v>
      </c>
      <c r="C336" s="1727">
        <v>0.15</v>
      </c>
      <c r="D336" s="1727">
        <v>0.15</v>
      </c>
      <c r="E336" s="1727">
        <v>0.15</v>
      </c>
      <c r="F336" s="1728">
        <v>0.11799999999999999</v>
      </c>
    </row>
    <row r="337" spans="1:6" ht="14.25" thickBot="1">
      <c r="A337" s="1730" t="s">
        <v>2007</v>
      </c>
      <c r="B337" s="1737" t="s">
        <v>1262</v>
      </c>
      <c r="C337" s="1733"/>
      <c r="D337" s="1733"/>
      <c r="E337" s="1733"/>
      <c r="F337" s="1738">
        <v>0.14299999999999999</v>
      </c>
    </row>
    <row r="338" spans="1:6" ht="14.25" thickBot="1">
      <c r="A338" s="1722" t="s">
        <v>2020</v>
      </c>
      <c r="B338" s="1723" t="s">
        <v>2021</v>
      </c>
      <c r="C338" s="1724">
        <v>0.15</v>
      </c>
      <c r="D338" s="1724">
        <v>0.15</v>
      </c>
      <c r="E338" s="1724">
        <v>0.15</v>
      </c>
      <c r="F338" s="1746"/>
    </row>
    <row r="339" spans="1:6" ht="14.25" thickBot="1">
      <c r="A339" s="1722" t="s">
        <v>2020</v>
      </c>
      <c r="B339" s="1726" t="s">
        <v>2022</v>
      </c>
      <c r="C339" s="1727">
        <v>0.15</v>
      </c>
      <c r="D339" s="1727">
        <v>0.15</v>
      </c>
      <c r="E339" s="1727">
        <v>0.15</v>
      </c>
      <c r="F339" s="1735"/>
    </row>
    <row r="340" spans="1:6" ht="14.25" thickBot="1">
      <c r="A340" s="1722" t="s">
        <v>2020</v>
      </c>
      <c r="B340" s="1726" t="s">
        <v>2023</v>
      </c>
      <c r="C340" s="1727">
        <v>0.15</v>
      </c>
      <c r="D340" s="1727">
        <v>0.15</v>
      </c>
      <c r="E340" s="1727">
        <v>0.15</v>
      </c>
      <c r="F340" s="1735"/>
    </row>
    <row r="341" spans="1:6" ht="14.25" thickBot="1">
      <c r="A341" s="1722" t="s">
        <v>2024</v>
      </c>
      <c r="B341" s="1726" t="s">
        <v>2025</v>
      </c>
      <c r="C341" s="1727">
        <v>0.15</v>
      </c>
      <c r="D341" s="1727">
        <v>0.15</v>
      </c>
      <c r="E341" s="1727">
        <v>0.15</v>
      </c>
      <c r="F341" s="1728">
        <v>0.15</v>
      </c>
    </row>
    <row r="342" spans="1:6" ht="14.25" thickBot="1">
      <c r="A342" s="1722" t="s">
        <v>2020</v>
      </c>
      <c r="B342" s="1726" t="s">
        <v>2026</v>
      </c>
      <c r="C342" s="1727">
        <v>0.15</v>
      </c>
      <c r="D342" s="1727">
        <v>0.15</v>
      </c>
      <c r="E342" s="1727">
        <v>0.15</v>
      </c>
      <c r="F342" s="1728">
        <v>0.15</v>
      </c>
    </row>
    <row r="343" spans="1:6" ht="14.25" thickBot="1">
      <c r="A343" s="1722" t="s">
        <v>2020</v>
      </c>
      <c r="B343" s="1726" t="s">
        <v>2027</v>
      </c>
      <c r="C343" s="1727">
        <v>0.15</v>
      </c>
      <c r="D343" s="1727">
        <v>0.15</v>
      </c>
      <c r="E343" s="1727">
        <v>0.15</v>
      </c>
      <c r="F343" s="1728">
        <v>0.15</v>
      </c>
    </row>
    <row r="344" spans="1:6" ht="14.25" thickBot="1">
      <c r="A344" s="1730" t="s">
        <v>2020</v>
      </c>
      <c r="B344" s="1737" t="s">
        <v>2028</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1"/>
    <col min="2" max="6" width="9" style="2801" customWidth="1"/>
    <col min="7" max="7" width="9" style="2829" customWidth="1"/>
    <col min="8" max="12" width="9" style="2801" customWidth="1"/>
    <col min="13" max="13" width="2.25" style="2801" customWidth="1"/>
    <col min="14" max="14" width="9" style="2829" customWidth="1"/>
    <col min="15" max="17" width="9" style="2801" customWidth="1"/>
    <col min="18" max="18" width="2.375" style="2801" customWidth="1"/>
    <col min="19" max="19" width="7.125" style="2829" customWidth="1"/>
    <col min="20" max="22" width="7.125" style="2801" customWidth="1"/>
    <col min="23" max="23" width="24" style="2801" customWidth="1"/>
    <col min="24" max="25" width="9" style="2801"/>
    <col min="26" max="27" width="11.625" style="2801" customWidth="1"/>
    <col min="28" max="28" width="9" style="2801"/>
    <col min="29" max="29" width="2" style="2801" customWidth="1"/>
    <col min="30" max="16384" width="9" style="2801"/>
  </cols>
  <sheetData>
    <row r="1" spans="1:34" s="2779" customFormat="1">
      <c r="B1" s="3770" t="s">
        <v>2292</v>
      </c>
      <c r="C1" s="3770"/>
      <c r="D1" s="3770"/>
      <c r="E1" s="3770"/>
      <c r="F1" s="3770"/>
      <c r="G1" s="3769" t="s">
        <v>2293</v>
      </c>
      <c r="H1" s="3769"/>
      <c r="I1" s="3769"/>
      <c r="J1" s="3769"/>
      <c r="K1" s="3769"/>
      <c r="L1" s="3769"/>
      <c r="N1" s="3769" t="s">
        <v>2294</v>
      </c>
      <c r="O1" s="3769"/>
      <c r="P1" s="3769"/>
      <c r="Q1" s="3769"/>
      <c r="S1" s="3769" t="s">
        <v>2295</v>
      </c>
      <c r="T1" s="3769"/>
      <c r="U1" s="3769"/>
      <c r="V1" s="3769"/>
      <c r="X1" s="3768" t="s">
        <v>2355</v>
      </c>
      <c r="Y1" s="3769"/>
      <c r="Z1" s="3769"/>
      <c r="AA1" s="3769"/>
      <c r="AB1" s="3769"/>
      <c r="AD1" s="3768" t="s">
        <v>2359</v>
      </c>
      <c r="AE1" s="3769"/>
      <c r="AF1" s="3769"/>
      <c r="AG1" s="3769"/>
      <c r="AH1" s="3769"/>
    </row>
    <row r="2" spans="1:34" s="2780" customFormat="1" ht="14.25" thickBot="1">
      <c r="B2" s="2781" t="s">
        <v>2296</v>
      </c>
      <c r="C2" s="2781" t="s">
        <v>2357</v>
      </c>
      <c r="D2" s="2782" t="s">
        <v>1443</v>
      </c>
      <c r="E2" s="2782" t="s">
        <v>1740</v>
      </c>
      <c r="F2" s="2781" t="s">
        <v>2358</v>
      </c>
      <c r="G2" s="2783"/>
      <c r="I2" s="2781" t="s">
        <v>2655</v>
      </c>
      <c r="J2" s="2782" t="s">
        <v>2657</v>
      </c>
      <c r="K2" s="2782" t="s">
        <v>2658</v>
      </c>
      <c r="L2" s="2781" t="s">
        <v>2659</v>
      </c>
      <c r="N2" s="2781" t="s">
        <v>2296</v>
      </c>
      <c r="O2" s="2782" t="s">
        <v>2656</v>
      </c>
      <c r="P2" s="2782" t="s">
        <v>1740</v>
      </c>
      <c r="Q2" s="2781" t="s">
        <v>2358</v>
      </c>
      <c r="S2" s="2781" t="s">
        <v>2296</v>
      </c>
      <c r="T2" s="2782" t="s">
        <v>2656</v>
      </c>
      <c r="U2" s="2782" t="s">
        <v>1740</v>
      </c>
      <c r="V2" s="2781" t="s">
        <v>2358</v>
      </c>
      <c r="X2" s="2781" t="s">
        <v>2296</v>
      </c>
      <c r="Y2" s="2781" t="s">
        <v>2357</v>
      </c>
      <c r="Z2" s="2782" t="s">
        <v>1443</v>
      </c>
      <c r="AA2" s="2782" t="s">
        <v>1740</v>
      </c>
      <c r="AB2" s="2781" t="s">
        <v>2358</v>
      </c>
      <c r="AD2" s="2781" t="s">
        <v>2296</v>
      </c>
      <c r="AE2" s="2781" t="s">
        <v>2357</v>
      </c>
      <c r="AF2" s="2782" t="s">
        <v>1443</v>
      </c>
      <c r="AG2" s="2782" t="s">
        <v>1740</v>
      </c>
      <c r="AH2" s="2781" t="s">
        <v>2358</v>
      </c>
    </row>
    <row r="3" spans="1:34" s="2790" customFormat="1" ht="14.25">
      <c r="A3" s="2784" t="s">
        <v>2666</v>
      </c>
      <c r="B3" s="2785"/>
      <c r="C3" s="2785"/>
      <c r="D3" s="2786"/>
      <c r="E3" s="2786"/>
      <c r="F3" s="2785"/>
      <c r="G3" s="2787"/>
      <c r="H3" s="2788"/>
      <c r="I3" s="2789">
        <f>ROUND(AVERAGE($I4:$I41),2)</f>
        <v>1.47</v>
      </c>
      <c r="J3" s="2789">
        <f>ROUND(AVERAGE($J4:$J41),2)</f>
        <v>0.92</v>
      </c>
      <c r="K3" s="2789">
        <f>ROUND(AVERAGE($K4:$K41),2)</f>
        <v>1.61</v>
      </c>
      <c r="L3" s="2789">
        <f>ROUND(AVERAGE($L4:$L41),2)</f>
        <v>1.07</v>
      </c>
      <c r="N3" s="2787"/>
      <c r="S3" s="2787"/>
      <c r="W3" s="2791"/>
      <c r="X3" s="2792">
        <f>ROUND(SUMPRODUCT(PRODUCT(1+N3:N$40)),4)</f>
        <v>1.6585000000000001</v>
      </c>
      <c r="Y3" s="2792">
        <f>ROUND(SUMPRODUCT(PRODUCT(1+O3:O$40)),4)</f>
        <v>1.3676999999999999</v>
      </c>
      <c r="Z3" s="2792">
        <f t="shared" ref="Z3:Z38" si="0">Y3</f>
        <v>1.3676999999999999</v>
      </c>
      <c r="AA3" s="2792">
        <f>ROUND(SUMPRODUCT(PRODUCT(1+P3:P$40)),4)</f>
        <v>1.7434000000000001</v>
      </c>
      <c r="AB3" s="2792">
        <f>ROUND(SUMPRODUCT(PRODUCT(1+Q3:Q$40)),4)</f>
        <v>1.4609000000000001</v>
      </c>
      <c r="AD3" s="2793">
        <f>ROUND(AVERAGE(I3:I$41)/100,4)</f>
        <v>1.47E-2</v>
      </c>
      <c r="AE3" s="2793">
        <f>ROUND(AVERAGE(J3:J$41)/100,4)</f>
        <v>9.1999999999999998E-3</v>
      </c>
      <c r="AF3" s="2793">
        <f t="shared" ref="AF3:AF39" si="1">AE3</f>
        <v>9.1999999999999998E-3</v>
      </c>
      <c r="AG3" s="2793">
        <f>ROUND(AVERAGE(K3:K$41)/100,4)</f>
        <v>1.61E-2</v>
      </c>
      <c r="AH3" s="2793">
        <f>ROUND(AVERAGE(L3:L$41)/100,4)</f>
        <v>1.0699999999999999E-2</v>
      </c>
    </row>
    <row r="4" spans="1:34" s="2794" customFormat="1" ht="14.25">
      <c r="B4" s="2795"/>
      <c r="C4" s="2795"/>
      <c r="D4" s="2796"/>
      <c r="E4" s="2796"/>
      <c r="F4" s="2795"/>
      <c r="G4" s="2797"/>
      <c r="H4" s="2798"/>
      <c r="I4" s="2799"/>
      <c r="J4" s="2799"/>
      <c r="K4" s="2799"/>
      <c r="L4" s="2799"/>
      <c r="N4" s="2797"/>
      <c r="S4" s="2797"/>
      <c r="W4" s="2800"/>
      <c r="X4" s="2801"/>
      <c r="Y4" s="2801"/>
      <c r="Z4" s="2801"/>
      <c r="AA4" s="2801"/>
      <c r="AB4" s="2801"/>
      <c r="AD4" s="2802"/>
      <c r="AE4" s="2802"/>
      <c r="AF4" s="2802"/>
      <c r="AG4" s="2802"/>
      <c r="AH4" s="2802"/>
    </row>
    <row r="5" spans="1:34" s="2810" customFormat="1">
      <c r="A5" s="2803" t="s">
        <v>2890</v>
      </c>
      <c r="B5" s="2804">
        <f t="shared" ref="B5" si="2">B6*(1+N5)</f>
        <v>510.07089659554606</v>
      </c>
      <c r="C5" s="2804">
        <f t="shared" ref="C5" si="3">C6*(1+O5)</f>
        <v>352.55593185737411</v>
      </c>
      <c r="D5" s="2804">
        <f t="shared" ref="D5" si="4">C5</f>
        <v>352.55593185737411</v>
      </c>
      <c r="E5" s="2804">
        <f t="shared" ref="E5" si="5">E6*(1+P5)</f>
        <v>737.27992463403655</v>
      </c>
      <c r="F5" s="2804">
        <f t="shared" ref="F5" si="6">F6*(1+Q5)</f>
        <v>335.88319198297864</v>
      </c>
      <c r="G5" s="2797">
        <v>2023</v>
      </c>
      <c r="H5" s="2805">
        <v>1</v>
      </c>
      <c r="I5" s="2777">
        <v>0</v>
      </c>
      <c r="J5" s="2777">
        <v>0</v>
      </c>
      <c r="K5" s="2777">
        <v>0</v>
      </c>
      <c r="L5" s="2778">
        <v>0</v>
      </c>
      <c r="M5" s="2801"/>
      <c r="N5" s="2806">
        <f t="shared" ref="N5" si="7">I5/100</f>
        <v>0</v>
      </c>
      <c r="O5" s="2802">
        <f t="shared" ref="O5" si="8">J5/100</f>
        <v>0</v>
      </c>
      <c r="P5" s="2802">
        <f t="shared" ref="P5" si="9">K5/100</f>
        <v>0</v>
      </c>
      <c r="Q5" s="2802">
        <f t="shared" ref="Q5" si="10">L5/100</f>
        <v>0</v>
      </c>
      <c r="R5" s="2807"/>
      <c r="S5" s="2808">
        <f>B5/B6-1</f>
        <v>0</v>
      </c>
      <c r="T5" s="2809">
        <f>C5/C6-1</f>
        <v>0</v>
      </c>
      <c r="U5" s="2809">
        <f>E5/E6-1</f>
        <v>0</v>
      </c>
      <c r="V5" s="2809">
        <f>F5/F6-1</f>
        <v>0</v>
      </c>
      <c r="W5" s="2801"/>
      <c r="X5" s="2801">
        <f>ROUND(IF(项目基本情况!B8="出让",SUMPRODUCT(PRODUCT(1+N5:N$41)),SUMPRODUCT(PRODUCT(1+N5:N$40))),4)</f>
        <v>1.6585000000000001</v>
      </c>
      <c r="Y5" s="2801">
        <f>ROUND(IF(项目基本情况!B8="出让",SUMPRODUCT(PRODUCT(1+O5:O$41)),SUMPRODUCT(PRODUCT(1+O5:O$40))),4)</f>
        <v>1.3676999999999999</v>
      </c>
      <c r="Z5" s="2801">
        <f t="shared" ref="Z5" si="11">Y5</f>
        <v>1.3676999999999999</v>
      </c>
      <c r="AA5" s="2801">
        <f>ROUND(IF(项目基本情况!B8="出让",SUMPRODUCT(PRODUCT(1+P5:P$41)),SUMPRODUCT(PRODUCT(1+P5:P$40))),4)</f>
        <v>1.7434000000000001</v>
      </c>
      <c r="AB5" s="2801">
        <f>ROUND(IF(项目基本情况!B8="出让",SUMPRODUCT(PRODUCT(1+Q5:Q$41)),SUMPRODUCT(PRODUCT(1+Q5:Q$40))),4)</f>
        <v>1.4609000000000001</v>
      </c>
      <c r="AC5" s="2801"/>
      <c r="AD5" s="2802">
        <f>ROUND(AVERAGE(I5:I$41)/100,4)</f>
        <v>1.47E-2</v>
      </c>
      <c r="AE5" s="2802">
        <f>ROUND(AVERAGE(J5:J$41)/100,4)</f>
        <v>9.1999999999999998E-3</v>
      </c>
      <c r="AF5" s="2802">
        <f t="shared" ref="AF5" si="12">AE5</f>
        <v>9.1999999999999998E-3</v>
      </c>
      <c r="AG5" s="2802">
        <f>ROUND(AVERAGE(K5:K$41)/100,4)</f>
        <v>1.61E-2</v>
      </c>
      <c r="AH5" s="2802">
        <f>ROUND(AVERAGE(L5:L$41)/100,4)</f>
        <v>1.0699999999999999E-2</v>
      </c>
    </row>
    <row r="6" spans="1:34" s="2810" customFormat="1">
      <c r="A6" s="2803" t="s">
        <v>2889</v>
      </c>
      <c r="B6" s="2804">
        <f t="shared" ref="B6" si="13">B7*(1+N6)</f>
        <v>510.07089659554606</v>
      </c>
      <c r="C6" s="2804">
        <f t="shared" ref="C6" si="14">C7*(1+O6)</f>
        <v>352.55593185737411</v>
      </c>
      <c r="D6" s="2804">
        <f t="shared" ref="D6" si="15">C6</f>
        <v>352.55593185737411</v>
      </c>
      <c r="E6" s="2804">
        <f t="shared" ref="E6" si="16">E7*(1+P6)</f>
        <v>737.27992463403655</v>
      </c>
      <c r="F6" s="2804">
        <f t="shared" ref="F6" si="17">F7*(1+Q6)</f>
        <v>335.88319198297864</v>
      </c>
      <c r="G6" s="2797">
        <v>2022</v>
      </c>
      <c r="H6" s="2805">
        <v>4</v>
      </c>
      <c r="I6" s="2777">
        <v>0</v>
      </c>
      <c r="J6" s="2777">
        <v>0</v>
      </c>
      <c r="K6" s="2777">
        <v>0</v>
      </c>
      <c r="L6" s="2778">
        <v>0</v>
      </c>
      <c r="M6" s="2801"/>
      <c r="N6" s="2806">
        <f t="shared" ref="N6" si="18">I6/100</f>
        <v>0</v>
      </c>
      <c r="O6" s="2802">
        <f t="shared" ref="O6" si="19">J6/100</f>
        <v>0</v>
      </c>
      <c r="P6" s="2802">
        <f t="shared" ref="P6" si="20">K6/100</f>
        <v>0</v>
      </c>
      <c r="Q6" s="2802">
        <f t="shared" ref="Q6" si="21">L6/100</f>
        <v>0</v>
      </c>
      <c r="R6" s="2807"/>
      <c r="S6" s="2808"/>
      <c r="T6" s="2809"/>
      <c r="U6" s="2809"/>
      <c r="V6" s="2809"/>
      <c r="W6" s="2801"/>
      <c r="X6" s="2801">
        <f>ROUND(IF(项目基本情况!B8="出让",SUMPRODUCT(PRODUCT(1+N6:N$41)),SUMPRODUCT(PRODUCT(1+N6:N$40))),4)</f>
        <v>1.6585000000000001</v>
      </c>
      <c r="Y6" s="2801">
        <f>ROUND(IF(项目基本情况!B8="出让",SUMPRODUCT(PRODUCT(1+O6:O$41)),SUMPRODUCT(PRODUCT(1+O6:O$40))),4)</f>
        <v>1.3676999999999999</v>
      </c>
      <c r="Z6" s="2801">
        <f t="shared" ref="Z6" si="22">Y6</f>
        <v>1.3676999999999999</v>
      </c>
      <c r="AA6" s="2801">
        <f>ROUND(IF(项目基本情况!B8="出让",SUMPRODUCT(PRODUCT(1+P6:P$41)),SUMPRODUCT(PRODUCT(1+P6:P$40))),4)</f>
        <v>1.7434000000000001</v>
      </c>
      <c r="AB6" s="2801">
        <f>ROUND(IF(项目基本情况!B8="出让",SUMPRODUCT(PRODUCT(1+Q6:Q$41)),SUMPRODUCT(PRODUCT(1+Q6:Q$40))),4)</f>
        <v>1.4609000000000001</v>
      </c>
      <c r="AC6" s="2801"/>
      <c r="AD6" s="2802">
        <f>ROUND(AVERAGE(I6:I$41)/100,4)</f>
        <v>1.5100000000000001E-2</v>
      </c>
      <c r="AE6" s="2802">
        <f>ROUND(AVERAGE(J6:J$41)/100,4)</f>
        <v>9.4000000000000004E-3</v>
      </c>
      <c r="AF6" s="2802">
        <f t="shared" ref="AF6" si="23">AE6</f>
        <v>9.4000000000000004E-3</v>
      </c>
      <c r="AG6" s="2802">
        <f>ROUND(AVERAGE(K6:K$41)/100,4)</f>
        <v>1.66E-2</v>
      </c>
      <c r="AH6" s="2802">
        <f>ROUND(AVERAGE(L6:L$41)/100,4)</f>
        <v>1.0999999999999999E-2</v>
      </c>
    </row>
    <row r="7" spans="1:34" s="2810" customFormat="1">
      <c r="A7" s="2803" t="s">
        <v>2888</v>
      </c>
      <c r="B7" s="2804">
        <f t="shared" ref="B7" si="24">B8*(1+N7)</f>
        <v>510.07089659554606</v>
      </c>
      <c r="C7" s="2804">
        <f t="shared" ref="C7" si="25">C8*(1+O7)</f>
        <v>352.55593185737411</v>
      </c>
      <c r="D7" s="2804">
        <f t="shared" ref="D7" si="26">C7</f>
        <v>352.55593185737411</v>
      </c>
      <c r="E7" s="2804">
        <f t="shared" ref="E7" si="27">E8*(1+P7)</f>
        <v>737.27992463403655</v>
      </c>
      <c r="F7" s="2804">
        <f t="shared" ref="F7" si="28">F8*(1+Q7)</f>
        <v>335.88319198297864</v>
      </c>
      <c r="G7" s="2797">
        <v>2022</v>
      </c>
      <c r="H7" s="2805">
        <v>3</v>
      </c>
      <c r="I7" s="2777">
        <v>0</v>
      </c>
      <c r="J7" s="2777">
        <v>0</v>
      </c>
      <c r="K7" s="2777">
        <v>0</v>
      </c>
      <c r="L7" s="2778">
        <v>0</v>
      </c>
      <c r="M7" s="2801"/>
      <c r="N7" s="2806">
        <f t="shared" ref="N7" si="29">I7/100</f>
        <v>0</v>
      </c>
      <c r="O7" s="2802">
        <f t="shared" ref="O7" si="30">J7/100</f>
        <v>0</v>
      </c>
      <c r="P7" s="2802">
        <f t="shared" ref="P7" si="31">K7/100</f>
        <v>0</v>
      </c>
      <c r="Q7" s="2802">
        <f t="shared" ref="Q7" si="32">L7/100</f>
        <v>0</v>
      </c>
      <c r="R7" s="2807"/>
      <c r="S7" s="2808"/>
      <c r="T7" s="2809"/>
      <c r="U7" s="2809"/>
      <c r="V7" s="2809"/>
      <c r="W7" s="2801"/>
      <c r="X7" s="2801">
        <f>ROUND(IF(项目基本情况!B8="出让",SUMPRODUCT(PRODUCT(1+N7:N$41)),SUMPRODUCT(PRODUCT(1+N7:N$40))),4)</f>
        <v>1.6585000000000001</v>
      </c>
      <c r="Y7" s="2801">
        <f>ROUND(IF(项目基本情况!B8="出让",SUMPRODUCT(PRODUCT(1+O7:O$41)),SUMPRODUCT(PRODUCT(1+O7:O$40))),4)</f>
        <v>1.3676999999999999</v>
      </c>
      <c r="Z7" s="2801">
        <f t="shared" ref="Z7" si="33">Y7</f>
        <v>1.3676999999999999</v>
      </c>
      <c r="AA7" s="2801">
        <f>ROUND(IF(项目基本情况!B8="出让",SUMPRODUCT(PRODUCT(1+P7:P$41)),SUMPRODUCT(PRODUCT(1+P7:P$40))),4)</f>
        <v>1.7434000000000001</v>
      </c>
      <c r="AB7" s="2801">
        <f>ROUND(IF(项目基本情况!B8="出让",SUMPRODUCT(PRODUCT(1+Q7:Q$41)),SUMPRODUCT(PRODUCT(1+Q7:Q$40))),4)</f>
        <v>1.4609000000000001</v>
      </c>
      <c r="AC7" s="2801"/>
      <c r="AD7" s="2802">
        <f>ROUND(AVERAGE(I7:I$41)/100,4)</f>
        <v>1.55E-2</v>
      </c>
      <c r="AE7" s="2802">
        <f>ROUND(AVERAGE(J7:J$41)/100,4)</f>
        <v>9.7000000000000003E-3</v>
      </c>
      <c r="AF7" s="2802">
        <f t="shared" ref="AF7" si="34">AE7</f>
        <v>9.7000000000000003E-3</v>
      </c>
      <c r="AG7" s="2802">
        <f>ROUND(AVERAGE(K7:K$41)/100,4)</f>
        <v>1.7100000000000001E-2</v>
      </c>
      <c r="AH7" s="2802">
        <f>ROUND(AVERAGE(L7:L$41)/100,4)</f>
        <v>1.1299999999999999E-2</v>
      </c>
    </row>
    <row r="8" spans="1:34" s="2810" customFormat="1">
      <c r="A8" s="2803" t="s">
        <v>2887</v>
      </c>
      <c r="B8" s="2804">
        <f t="shared" ref="B8" si="35">B9*(1+N8)</f>
        <v>510.07089659554606</v>
      </c>
      <c r="C8" s="2804">
        <f t="shared" ref="C8" si="36">C9*(1+O8)</f>
        <v>352.55593185737411</v>
      </c>
      <c r="D8" s="2804">
        <f t="shared" ref="D8" si="37">C8</f>
        <v>352.55593185737411</v>
      </c>
      <c r="E8" s="2804">
        <f t="shared" ref="E8" si="38">E9*(1+P8)</f>
        <v>737.27992463403655</v>
      </c>
      <c r="F8" s="2804">
        <f t="shared" ref="F8" si="39">F9*(1+Q8)</f>
        <v>335.88319198297864</v>
      </c>
      <c r="G8" s="2797">
        <v>2022</v>
      </c>
      <c r="H8" s="2805">
        <v>2</v>
      </c>
      <c r="I8" s="2777">
        <v>0</v>
      </c>
      <c r="J8" s="2777">
        <v>0</v>
      </c>
      <c r="K8" s="2777">
        <v>0</v>
      </c>
      <c r="L8" s="2778">
        <v>0</v>
      </c>
      <c r="M8" s="2801"/>
      <c r="N8" s="2806">
        <f t="shared" ref="N8" si="40">I8/100</f>
        <v>0</v>
      </c>
      <c r="O8" s="2802">
        <f t="shared" ref="O8" si="41">J8/100</f>
        <v>0</v>
      </c>
      <c r="P8" s="2802">
        <f t="shared" ref="P8" si="42">K8/100</f>
        <v>0</v>
      </c>
      <c r="Q8" s="2802">
        <f t="shared" ref="Q8" si="43">L8/100</f>
        <v>0</v>
      </c>
      <c r="R8" s="2807"/>
      <c r="S8" s="2808"/>
      <c r="T8" s="2809"/>
      <c r="U8" s="2809"/>
      <c r="V8" s="2809"/>
      <c r="W8" s="2801"/>
      <c r="X8" s="2801">
        <f>ROUND(IF(项目基本情况!B8="出让",SUMPRODUCT(PRODUCT(1+N8:N$41)),SUMPRODUCT(PRODUCT(1+N8:N$40))),4)</f>
        <v>1.6585000000000001</v>
      </c>
      <c r="Y8" s="2801">
        <f>ROUND(IF(项目基本情况!B8="出让",SUMPRODUCT(PRODUCT(1+O8:O$41)),SUMPRODUCT(PRODUCT(1+O8:O$40))),4)</f>
        <v>1.3676999999999999</v>
      </c>
      <c r="Z8" s="2801">
        <f t="shared" ref="Z8" si="44">Y8</f>
        <v>1.3676999999999999</v>
      </c>
      <c r="AA8" s="2801">
        <f>ROUND(IF(项目基本情况!B8="出让",SUMPRODUCT(PRODUCT(1+P8:P$41)),SUMPRODUCT(PRODUCT(1+P8:P$40))),4)</f>
        <v>1.7434000000000001</v>
      </c>
      <c r="AB8" s="2801">
        <f>ROUND(IF(项目基本情况!B8="出让",SUMPRODUCT(PRODUCT(1+Q8:Q$41)),SUMPRODUCT(PRODUCT(1+Q8:Q$40))),4)</f>
        <v>1.4609000000000001</v>
      </c>
      <c r="AC8" s="2801"/>
      <c r="AD8" s="2802">
        <f>ROUND(AVERAGE(I8:I$41)/100,4)</f>
        <v>1.6E-2</v>
      </c>
      <c r="AE8" s="2802">
        <f>ROUND(AVERAGE(J8:J$41)/100,4)</f>
        <v>0.01</v>
      </c>
      <c r="AF8" s="2802">
        <f t="shared" ref="AF8" si="45">AE8</f>
        <v>0.01</v>
      </c>
      <c r="AG8" s="2802">
        <f>ROUND(AVERAGE(K8:K$41)/100,4)</f>
        <v>1.7600000000000001E-2</v>
      </c>
      <c r="AH8" s="2802">
        <f>ROUND(AVERAGE(L8:L$41)/100,4)</f>
        <v>1.1599999999999999E-2</v>
      </c>
    </row>
    <row r="9" spans="1:34" s="2810" customFormat="1">
      <c r="A9" s="2803" t="s">
        <v>2886</v>
      </c>
      <c r="B9" s="2804">
        <f t="shared" ref="B9" si="46">B10*(1+N9)</f>
        <v>510.07089659554606</v>
      </c>
      <c r="C9" s="2804">
        <f t="shared" ref="C9" si="47">C10*(1+O9)</f>
        <v>352.55593185737411</v>
      </c>
      <c r="D9" s="2804">
        <f t="shared" ref="D9" si="48">C9</f>
        <v>352.55593185737411</v>
      </c>
      <c r="E9" s="2804">
        <f t="shared" ref="E9" si="49">E10*(1+P9)</f>
        <v>737.27992463403655</v>
      </c>
      <c r="F9" s="2804">
        <f t="shared" ref="F9" si="50">F10*(1+Q9)</f>
        <v>335.88319198297864</v>
      </c>
      <c r="G9" s="2797">
        <v>2022</v>
      </c>
      <c r="H9" s="2805">
        <v>1</v>
      </c>
      <c r="I9" s="2777">
        <v>0</v>
      </c>
      <c r="J9" s="2777">
        <v>0</v>
      </c>
      <c r="K9" s="2777">
        <v>0</v>
      </c>
      <c r="L9" s="2778">
        <v>0</v>
      </c>
      <c r="M9" s="2801"/>
      <c r="N9" s="2806">
        <f t="shared" ref="N9" si="51">I9/100</f>
        <v>0</v>
      </c>
      <c r="O9" s="2802">
        <f t="shared" ref="O9" si="52">J9/100</f>
        <v>0</v>
      </c>
      <c r="P9" s="2802">
        <f t="shared" ref="P9" si="53">K9/100</f>
        <v>0</v>
      </c>
      <c r="Q9" s="2802">
        <f t="shared" ref="Q9" si="54">L9/100</f>
        <v>0</v>
      </c>
      <c r="R9" s="2807"/>
      <c r="S9" s="2808">
        <f>B9/B10-1</f>
        <v>0</v>
      </c>
      <c r="T9" s="2809">
        <f>C9/C10-1</f>
        <v>0</v>
      </c>
      <c r="U9" s="2809">
        <f>E9/E10-1</f>
        <v>0</v>
      </c>
      <c r="V9" s="2809">
        <f>F9/F10-1</f>
        <v>0</v>
      </c>
      <c r="W9" s="2801"/>
      <c r="X9" s="2801">
        <f>ROUND(IF(项目基本情况!B1="出让",SUMPRODUCT(PRODUCT(1+N9:N$41)),SUMPRODUCT(PRODUCT(1+N9:N$40))),4)</f>
        <v>1.6585000000000001</v>
      </c>
      <c r="Y9" s="2801">
        <f>ROUND(IF(项目基本情况!B1="出让",SUMPRODUCT(PRODUCT(1+O9:O$41)),SUMPRODUCT(PRODUCT(1+O9:O$40))),4)</f>
        <v>1.3676999999999999</v>
      </c>
      <c r="Z9" s="2801">
        <f t="shared" ref="Z9" si="55">Y9</f>
        <v>1.3676999999999999</v>
      </c>
      <c r="AA9" s="2801">
        <f>ROUND(IF(项目基本情况!B1="出让",SUMPRODUCT(PRODUCT(1+P9:P$41)),SUMPRODUCT(PRODUCT(1+P9:P$40))),4)</f>
        <v>1.7434000000000001</v>
      </c>
      <c r="AB9" s="2801">
        <f>ROUND(IF(项目基本情况!B1="出让",SUMPRODUCT(PRODUCT(1+Q9:Q$41)),SUMPRODUCT(PRODUCT(1+Q9:Q$40))),4)</f>
        <v>1.4609000000000001</v>
      </c>
      <c r="AC9" s="2801"/>
      <c r="AD9" s="2802">
        <f>ROUND(AVERAGE(I9:I$41)/100,4)</f>
        <v>1.6400000000000001E-2</v>
      </c>
      <c r="AE9" s="2802">
        <f>ROUND(AVERAGE(J9:J$41)/100,4)</f>
        <v>1.03E-2</v>
      </c>
      <c r="AF9" s="2802">
        <f t="shared" ref="AF9" si="56">AE9</f>
        <v>1.03E-2</v>
      </c>
      <c r="AG9" s="2802">
        <f>ROUND(AVERAGE(K9:K$41)/100,4)</f>
        <v>1.8100000000000002E-2</v>
      </c>
      <c r="AH9" s="2802">
        <f>ROUND(AVERAGE(L9:L$41)/100,4)</f>
        <v>1.2E-2</v>
      </c>
    </row>
    <row r="10" spans="1:34" s="2810" customFormat="1">
      <c r="A10" s="2803" t="s">
        <v>2735</v>
      </c>
      <c r="B10" s="2804">
        <f t="shared" ref="B10" si="57">B11*(1+N10)</f>
        <v>510.07089659554606</v>
      </c>
      <c r="C10" s="2804">
        <f t="shared" ref="C10" si="58">C11*(1+O10)</f>
        <v>352.55593185737411</v>
      </c>
      <c r="D10" s="2804">
        <f t="shared" ref="D10" si="59">C10</f>
        <v>352.55593185737411</v>
      </c>
      <c r="E10" s="2804">
        <f t="shared" ref="E10" si="60">E11*(1+P10)</f>
        <v>737.27992463403655</v>
      </c>
      <c r="F10" s="2804">
        <f t="shared" ref="F10" si="61">F11*(1+Q10)</f>
        <v>335.88319198297864</v>
      </c>
      <c r="G10" s="2797">
        <v>2021</v>
      </c>
      <c r="H10" s="2805">
        <v>4</v>
      </c>
      <c r="I10" s="2777">
        <v>1.03</v>
      </c>
      <c r="J10" s="2777">
        <v>0.24</v>
      </c>
      <c r="K10" s="2777">
        <v>1.17</v>
      </c>
      <c r="L10" s="2778">
        <v>0.55000000000000004</v>
      </c>
      <c r="M10" s="2801"/>
      <c r="N10" s="2806">
        <f t="shared" ref="N10" si="62">I10/100</f>
        <v>1.03E-2</v>
      </c>
      <c r="O10" s="2802">
        <f t="shared" ref="O10" si="63">J10/100</f>
        <v>2.3999999999999998E-3</v>
      </c>
      <c r="P10" s="2802">
        <f t="shared" ref="P10" si="64">K10/100</f>
        <v>1.1699999999999999E-2</v>
      </c>
      <c r="Q10" s="2802">
        <f t="shared" ref="Q10" si="65">L10/100</f>
        <v>5.5000000000000005E-3</v>
      </c>
      <c r="R10" s="2807"/>
      <c r="S10" s="2808"/>
      <c r="T10" s="2809"/>
      <c r="U10" s="2809"/>
      <c r="V10" s="2809"/>
      <c r="W10" s="2801"/>
      <c r="X10" s="2801">
        <f>ROUND(IF(项目基本情况!B2="出让",SUMPRODUCT(PRODUCT(1+N10:N$41)),SUMPRODUCT(PRODUCT(1+N10:N$40))),4)</f>
        <v>1.6585000000000001</v>
      </c>
      <c r="Y10" s="2801">
        <f>ROUND(IF(项目基本情况!B2="出让",SUMPRODUCT(PRODUCT(1+O10:O$41)),SUMPRODUCT(PRODUCT(1+O10:O$40))),4)</f>
        <v>1.3676999999999999</v>
      </c>
      <c r="Z10" s="2801">
        <f t="shared" ref="Z10" si="66">Y10</f>
        <v>1.3676999999999999</v>
      </c>
      <c r="AA10" s="2801">
        <f>ROUND(IF(项目基本情况!B2="出让",SUMPRODUCT(PRODUCT(1+P10:P$41)),SUMPRODUCT(PRODUCT(1+P10:P$40))),4)</f>
        <v>1.7434000000000001</v>
      </c>
      <c r="AB10" s="2801">
        <f>ROUND(IF(项目基本情况!B2="出让",SUMPRODUCT(PRODUCT(1+Q10:Q$41)),SUMPRODUCT(PRODUCT(1+Q10:Q$40))),4)</f>
        <v>1.4609000000000001</v>
      </c>
      <c r="AC10" s="2801"/>
      <c r="AD10" s="2802">
        <f>ROUND(AVERAGE(I10:I$41)/100,4)</f>
        <v>1.6899999999999998E-2</v>
      </c>
      <c r="AE10" s="2802">
        <f>ROUND(AVERAGE(J10:J$41)/100,4)</f>
        <v>1.06E-2</v>
      </c>
      <c r="AF10" s="2802">
        <f t="shared" ref="AF10" si="67">AE10</f>
        <v>1.06E-2</v>
      </c>
      <c r="AG10" s="2802">
        <f>ROUND(AVERAGE(K10:K$41)/100,4)</f>
        <v>1.8700000000000001E-2</v>
      </c>
      <c r="AH10" s="2802">
        <f>ROUND(AVERAGE(L10:L$41)/100,4)</f>
        <v>1.24E-2</v>
      </c>
    </row>
    <row r="11" spans="1:34" s="2810" customFormat="1">
      <c r="A11" s="2803" t="s">
        <v>2734</v>
      </c>
      <c r="B11" s="2804">
        <f t="shared" ref="B11" si="68">B12*(1+N11)</f>
        <v>504.87072809615569</v>
      </c>
      <c r="C11" s="2804">
        <f t="shared" ref="C11" si="69">C12*(1+O11)</f>
        <v>351.71182348101968</v>
      </c>
      <c r="D11" s="2804">
        <f t="shared" ref="D11" si="70">C11</f>
        <v>351.71182348101968</v>
      </c>
      <c r="E11" s="2804">
        <f t="shared" ref="E11" si="71">E12*(1+P11)</f>
        <v>728.75350858360832</v>
      </c>
      <c r="F11" s="2804">
        <f t="shared" ref="F11" si="72">F12*(1+Q11)</f>
        <v>334.04593931673656</v>
      </c>
      <c r="G11" s="2797">
        <v>2021</v>
      </c>
      <c r="H11" s="2805">
        <v>3</v>
      </c>
      <c r="I11" s="2777">
        <v>0.47</v>
      </c>
      <c r="J11" s="2777">
        <v>0.41</v>
      </c>
      <c r="K11" s="2777">
        <v>0.48</v>
      </c>
      <c r="L11" s="2778">
        <v>0.48</v>
      </c>
      <c r="M11" s="2801"/>
      <c r="N11" s="2806">
        <f t="shared" ref="N11" si="73">I11/100</f>
        <v>4.6999999999999993E-3</v>
      </c>
      <c r="O11" s="2802">
        <f t="shared" ref="O11" si="74">J11/100</f>
        <v>4.0999999999999995E-3</v>
      </c>
      <c r="P11" s="2802">
        <f t="shared" ref="P11" si="75">K11/100</f>
        <v>4.7999999999999996E-3</v>
      </c>
      <c r="Q11" s="2802">
        <f t="shared" ref="Q11" si="76">L11/100</f>
        <v>4.7999999999999996E-3</v>
      </c>
      <c r="R11" s="2807"/>
      <c r="S11" s="2808"/>
      <c r="T11" s="2809"/>
      <c r="U11" s="2809"/>
      <c r="V11" s="2809"/>
      <c r="W11" s="2801"/>
      <c r="X11" s="2801">
        <f>ROUND(IF(项目基本情况!B3="出让",SUMPRODUCT(PRODUCT(1+N11:N$41)),SUMPRODUCT(PRODUCT(1+N11:N$40))),4)</f>
        <v>1.6415999999999999</v>
      </c>
      <c r="Y11" s="2801">
        <f>ROUND(IF(项目基本情况!B3="出让",SUMPRODUCT(PRODUCT(1+O11:O$41)),SUMPRODUCT(PRODUCT(1+O11:O$40))),4)</f>
        <v>1.3644000000000001</v>
      </c>
      <c r="Z11" s="2801">
        <f t="shared" ref="Z11" si="77">Y11</f>
        <v>1.3644000000000001</v>
      </c>
      <c r="AA11" s="2801">
        <f>ROUND(IF(项目基本情况!B3="出让",SUMPRODUCT(PRODUCT(1+P11:P$41)),SUMPRODUCT(PRODUCT(1+P11:P$40))),4)</f>
        <v>1.7232000000000001</v>
      </c>
      <c r="AB11" s="2801">
        <f>ROUND(IF(项目基本情况!B3="出让",SUMPRODUCT(PRODUCT(1+Q11:Q$41)),SUMPRODUCT(PRODUCT(1+Q11:Q$40))),4)</f>
        <v>1.4529000000000001</v>
      </c>
      <c r="AC11" s="2801"/>
      <c r="AD11" s="2802">
        <f>ROUND(AVERAGE(I11:I$41)/100,4)</f>
        <v>1.72E-2</v>
      </c>
      <c r="AE11" s="2802">
        <f>ROUND(AVERAGE(J11:J$41)/100,4)</f>
        <v>1.09E-2</v>
      </c>
      <c r="AF11" s="2802">
        <f t="shared" ref="AF11" si="78">AE11</f>
        <v>1.09E-2</v>
      </c>
      <c r="AG11" s="2802">
        <f>ROUND(AVERAGE(K11:K$41)/100,4)</f>
        <v>1.89E-2</v>
      </c>
      <c r="AH11" s="2802">
        <f>ROUND(AVERAGE(L11:L$41)/100,4)</f>
        <v>1.26E-2</v>
      </c>
    </row>
    <row r="12" spans="1:34" s="2810" customFormat="1">
      <c r="A12" s="2803" t="s">
        <v>2733</v>
      </c>
      <c r="B12" s="2804">
        <f t="shared" ref="B12" si="79">B13*(1+N12)</f>
        <v>502.50893609650217</v>
      </c>
      <c r="C12" s="2804">
        <f t="shared" ref="C12" si="80">C13*(1+O12)</f>
        <v>350.27569313914915</v>
      </c>
      <c r="D12" s="2804">
        <f t="shared" ref="D12" si="81">C12</f>
        <v>350.27569313914915</v>
      </c>
      <c r="E12" s="2804">
        <f t="shared" ref="E12" si="82">E13*(1+P12)</f>
        <v>725.27220201394141</v>
      </c>
      <c r="F12" s="2804">
        <f t="shared" ref="F12" si="83">F13*(1+Q12)</f>
        <v>332.45017846012797</v>
      </c>
      <c r="G12" s="2797">
        <v>2021</v>
      </c>
      <c r="H12" s="2805">
        <v>2</v>
      </c>
      <c r="I12" s="2777">
        <v>0.92</v>
      </c>
      <c r="J12" s="2777">
        <v>0.72</v>
      </c>
      <c r="K12" s="2777">
        <v>0.95</v>
      </c>
      <c r="L12" s="2778">
        <v>1.01</v>
      </c>
      <c r="M12" s="2801"/>
      <c r="N12" s="2806">
        <f t="shared" ref="N12" si="84">I12/100</f>
        <v>9.1999999999999998E-3</v>
      </c>
      <c r="O12" s="2802">
        <f t="shared" ref="O12" si="85">J12/100</f>
        <v>7.1999999999999998E-3</v>
      </c>
      <c r="P12" s="2802">
        <f t="shared" ref="P12" si="86">K12/100</f>
        <v>9.4999999999999998E-3</v>
      </c>
      <c r="Q12" s="2802">
        <f t="shared" ref="Q12" si="87">L12/100</f>
        <v>1.01E-2</v>
      </c>
      <c r="R12" s="2807"/>
      <c r="S12" s="2808"/>
      <c r="T12" s="2809"/>
      <c r="U12" s="2809"/>
      <c r="V12" s="2809"/>
      <c r="W12" s="2801"/>
      <c r="X12" s="2801">
        <f>ROUND(IF(项目基本情况!B4="出让",SUMPRODUCT(PRODUCT(1+N12:N$41)),SUMPRODUCT(PRODUCT(1+N12:N$40))),4)</f>
        <v>1.6338999999999999</v>
      </c>
      <c r="Y12" s="2801">
        <f>ROUND(IF(项目基本情况!B4="出让",SUMPRODUCT(PRODUCT(1+O12:O$41)),SUMPRODUCT(PRODUCT(1+O12:O$40))),4)</f>
        <v>1.3588</v>
      </c>
      <c r="Z12" s="2801">
        <f t="shared" ref="Z12" si="88">Y12</f>
        <v>1.3588</v>
      </c>
      <c r="AA12" s="2801">
        <f>ROUND(IF(项目基本情况!B4="出让",SUMPRODUCT(PRODUCT(1+P12:P$41)),SUMPRODUCT(PRODUCT(1+P12:P$40))),4)</f>
        <v>1.7150000000000001</v>
      </c>
      <c r="AB12" s="2801">
        <f>ROUND(IF(项目基本情况!B4="出让",SUMPRODUCT(PRODUCT(1+Q12:Q$41)),SUMPRODUCT(PRODUCT(1+Q12:Q$40))),4)</f>
        <v>1.446</v>
      </c>
      <c r="AC12" s="2801"/>
      <c r="AD12" s="2802">
        <f>ROUND(AVERAGE(I12:I$41)/100,4)</f>
        <v>1.7600000000000001E-2</v>
      </c>
      <c r="AE12" s="2802">
        <f>ROUND(AVERAGE(J12:J$41)/100,4)</f>
        <v>1.11E-2</v>
      </c>
      <c r="AF12" s="2802">
        <f t="shared" ref="AF12" si="89">AE12</f>
        <v>1.11E-2</v>
      </c>
      <c r="AG12" s="2802">
        <f>ROUND(AVERAGE(K12:K$41)/100,4)</f>
        <v>1.9400000000000001E-2</v>
      </c>
      <c r="AH12" s="2802">
        <f>ROUND(AVERAGE(L12:L$41)/100,4)</f>
        <v>1.2800000000000001E-2</v>
      </c>
    </row>
    <row r="13" spans="1:34" s="2810" customFormat="1">
      <c r="A13" s="2803" t="s">
        <v>2732</v>
      </c>
      <c r="B13" s="2804">
        <f t="shared" ref="B13" si="90">B14*(1+N13)</f>
        <v>497.92799851020823</v>
      </c>
      <c r="C13" s="2804">
        <f t="shared" ref="C13" si="91">C14*(1+O13)</f>
        <v>347.77173663537445</v>
      </c>
      <c r="D13" s="2804">
        <f t="shared" ref="D13" si="92">C13</f>
        <v>347.77173663537445</v>
      </c>
      <c r="E13" s="2804">
        <f t="shared" ref="E13" si="93">E14*(1+P13)</f>
        <v>718.44695593258189</v>
      </c>
      <c r="F13" s="2804">
        <f t="shared" ref="F13" si="94">F14*(1+Q13)</f>
        <v>329.12600580153247</v>
      </c>
      <c r="G13" s="2797">
        <v>2021</v>
      </c>
      <c r="H13" s="2805">
        <v>1</v>
      </c>
      <c r="I13" s="2777">
        <v>0.97</v>
      </c>
      <c r="J13" s="2777">
        <v>0.16</v>
      </c>
      <c r="K13" s="2777">
        <v>1.1100000000000001</v>
      </c>
      <c r="L13" s="2778">
        <v>0.36</v>
      </c>
      <c r="M13" s="2801"/>
      <c r="N13" s="2806">
        <f t="shared" ref="N13" si="95">I13/100</f>
        <v>9.7000000000000003E-3</v>
      </c>
      <c r="O13" s="2802">
        <f t="shared" ref="O13" si="96">J13/100</f>
        <v>1.6000000000000001E-3</v>
      </c>
      <c r="P13" s="2802">
        <f t="shared" ref="P13" si="97">K13/100</f>
        <v>1.11E-2</v>
      </c>
      <c r="Q13" s="2802">
        <f t="shared" ref="Q13" si="98">L13/100</f>
        <v>3.5999999999999999E-3</v>
      </c>
      <c r="R13" s="2807"/>
      <c r="S13" s="2808">
        <f>B13/B14-1</f>
        <v>9.7000000000000419E-3</v>
      </c>
      <c r="T13" s="2809">
        <f>C13/C14-1</f>
        <v>1.6000000000000458E-3</v>
      </c>
      <c r="U13" s="2809">
        <f>E13/E14-1</f>
        <v>1.110000000000011E-2</v>
      </c>
      <c r="V13" s="2809">
        <f>F13/F14-1</f>
        <v>3.6000000000000476E-3</v>
      </c>
      <c r="W13" s="2801"/>
      <c r="X13" s="2801">
        <f>ROUND(IF(项目基本情况!B5="出让",SUMPRODUCT(PRODUCT(1+N13:N$41)),SUMPRODUCT(PRODUCT(1+N13:N$40))),4)</f>
        <v>1.619</v>
      </c>
      <c r="Y13" s="2801">
        <f>ROUND(IF(项目基本情况!B5="出让",SUMPRODUCT(PRODUCT(1+O13:O$41)),SUMPRODUCT(PRODUCT(1+O13:O$40))),4)</f>
        <v>1.3491</v>
      </c>
      <c r="Z13" s="2801">
        <f t="shared" ref="Z13" si="99">Y13</f>
        <v>1.3491</v>
      </c>
      <c r="AA13" s="2801">
        <f>ROUND(IF(项目基本情况!B5="出让",SUMPRODUCT(PRODUCT(1+P13:P$41)),SUMPRODUCT(PRODUCT(1+P13:P$40))),4)</f>
        <v>1.6988000000000001</v>
      </c>
      <c r="AB13" s="2801">
        <f>ROUND(IF(项目基本情况!B5="出让",SUMPRODUCT(PRODUCT(1+Q13:Q$41)),SUMPRODUCT(PRODUCT(1+Q13:Q$40))),4)</f>
        <v>1.4315</v>
      </c>
      <c r="AC13" s="2801"/>
      <c r="AD13" s="2802">
        <f>ROUND(AVERAGE(I13:I$41)/100,4)</f>
        <v>1.7899999999999999E-2</v>
      </c>
      <c r="AE13" s="2802">
        <f>ROUND(AVERAGE(J13:J$41)/100,4)</f>
        <v>1.12E-2</v>
      </c>
      <c r="AF13" s="2802">
        <f t="shared" ref="AF13" si="100">AE13</f>
        <v>1.12E-2</v>
      </c>
      <c r="AG13" s="2802">
        <f>ROUND(AVERAGE(K13:K$41)/100,4)</f>
        <v>1.9699999999999999E-2</v>
      </c>
      <c r="AH13" s="2802">
        <f>ROUND(AVERAGE(L13:L$41)/100,4)</f>
        <v>1.29E-2</v>
      </c>
    </row>
    <row r="14" spans="1:34" s="2810" customFormat="1">
      <c r="A14" s="2803" t="s">
        <v>2730</v>
      </c>
      <c r="B14" s="2804">
        <f t="shared" ref="B14" si="101">B15*(1+N14)</f>
        <v>493.14449689037161</v>
      </c>
      <c r="C14" s="2804">
        <f t="shared" ref="C14" si="102">C15*(1+O14)</f>
        <v>347.21619073020611</v>
      </c>
      <c r="D14" s="2804">
        <f t="shared" ref="D14" si="103">C14</f>
        <v>347.21619073020611</v>
      </c>
      <c r="E14" s="2804">
        <f t="shared" ref="E14" si="104">E15*(1+P14)</f>
        <v>710.55974278763904</v>
      </c>
      <c r="F14" s="2804">
        <f t="shared" ref="F14" si="105">F15*(1+Q14)</f>
        <v>327.94540235306141</v>
      </c>
      <c r="G14" s="2797">
        <v>2020</v>
      </c>
      <c r="H14" s="2805">
        <v>4</v>
      </c>
      <c r="I14" s="2777">
        <v>2.0699999999999998</v>
      </c>
      <c r="J14" s="2777">
        <v>0.37</v>
      </c>
      <c r="K14" s="2777">
        <v>2.35</v>
      </c>
      <c r="L14" s="2778">
        <v>2.69</v>
      </c>
      <c r="M14" s="2801"/>
      <c r="N14" s="2806">
        <f t="shared" ref="N14" si="106">I14/100</f>
        <v>2.07E-2</v>
      </c>
      <c r="O14" s="2802">
        <f t="shared" ref="O14" si="107">J14/100</f>
        <v>3.7000000000000002E-3</v>
      </c>
      <c r="P14" s="2802">
        <f t="shared" ref="P14" si="108">K14/100</f>
        <v>2.35E-2</v>
      </c>
      <c r="Q14" s="2802">
        <f t="shared" ref="Q14" si="109">L14/100</f>
        <v>2.69E-2</v>
      </c>
      <c r="R14" s="2807"/>
      <c r="S14" s="2808"/>
      <c r="T14" s="2809"/>
      <c r="U14" s="2809"/>
      <c r="V14" s="2809"/>
      <c r="W14" s="2801"/>
      <c r="X14" s="2801">
        <f>ROUND(IF(项目基本情况!B6="出让",SUMPRODUCT(PRODUCT(1+N14:N$41)),SUMPRODUCT(PRODUCT(1+N14:N$40))),4)</f>
        <v>1.6034999999999999</v>
      </c>
      <c r="Y14" s="2801">
        <f>ROUND(IF(项目基本情况!B6="出让",SUMPRODUCT(PRODUCT(1+O14:O$41)),SUMPRODUCT(PRODUCT(1+O14:O$40))),4)</f>
        <v>1.3469</v>
      </c>
      <c r="Z14" s="2801">
        <f t="shared" ref="Z14" si="110">Y14</f>
        <v>1.3469</v>
      </c>
      <c r="AA14" s="2801">
        <f>ROUND(IF(项目基本情况!B6="出让",SUMPRODUCT(PRODUCT(1+P14:P$41)),SUMPRODUCT(PRODUCT(1+P14:P$40))),4)</f>
        <v>1.6801999999999999</v>
      </c>
      <c r="AB14" s="2801">
        <f>ROUND(IF(项目基本情况!B6="出让",SUMPRODUCT(PRODUCT(1+Q14:Q$41)),SUMPRODUCT(PRODUCT(1+Q14:Q$40))),4)</f>
        <v>1.4263999999999999</v>
      </c>
      <c r="AC14" s="2801"/>
      <c r="AD14" s="2802">
        <f>ROUND(AVERAGE(I14:I$41)/100,4)</f>
        <v>1.8200000000000001E-2</v>
      </c>
      <c r="AE14" s="2802">
        <f>ROUND(AVERAGE(J14:J$41)/100,4)</f>
        <v>1.1599999999999999E-2</v>
      </c>
      <c r="AF14" s="2802">
        <f t="shared" ref="AF14" si="111">AE14</f>
        <v>1.1599999999999999E-2</v>
      </c>
      <c r="AG14" s="2802">
        <f>ROUND(AVERAGE(K14:K$41)/100,4)</f>
        <v>0.02</v>
      </c>
      <c r="AH14" s="2802">
        <f>ROUND(AVERAGE(L14:L$41)/100,4)</f>
        <v>1.3299999999999999E-2</v>
      </c>
    </row>
    <row r="15" spans="1:34" s="2810" customFormat="1">
      <c r="A15" s="2803" t="s">
        <v>2729</v>
      </c>
      <c r="B15" s="2804">
        <f t="shared" ref="B15" si="112">B16*(1+N15)</f>
        <v>483.1434279321756</v>
      </c>
      <c r="C15" s="2804">
        <f t="shared" ref="C15" si="113">C16*(1+O15)</f>
        <v>345.93622669144776</v>
      </c>
      <c r="D15" s="2804">
        <f t="shared" ref="D15" si="114">C15</f>
        <v>345.93622669144776</v>
      </c>
      <c r="E15" s="2804">
        <f t="shared" ref="E15" si="115">E16*(1+P15)</f>
        <v>694.24498562544113</v>
      </c>
      <c r="F15" s="2804">
        <f t="shared" ref="F15" si="116">F16*(1+Q15)</f>
        <v>319.35475932716082</v>
      </c>
      <c r="G15" s="2797">
        <v>2020</v>
      </c>
      <c r="H15" s="2805">
        <v>3</v>
      </c>
      <c r="I15" s="2777">
        <v>0.36</v>
      </c>
      <c r="J15" s="2777">
        <v>-0.39</v>
      </c>
      <c r="K15" s="2777">
        <v>0.49</v>
      </c>
      <c r="L15" s="2778">
        <v>7.0000000000000007E-2</v>
      </c>
      <c r="M15" s="2801"/>
      <c r="N15" s="2806">
        <f t="shared" ref="N15" si="117">I15/100</f>
        <v>3.5999999999999999E-3</v>
      </c>
      <c r="O15" s="2802">
        <f t="shared" ref="O15" si="118">J15/100</f>
        <v>-3.9000000000000003E-3</v>
      </c>
      <c r="P15" s="2802">
        <f t="shared" ref="P15" si="119">K15/100</f>
        <v>4.8999999999999998E-3</v>
      </c>
      <c r="Q15" s="2802">
        <f t="shared" ref="Q15" si="120">L15/100</f>
        <v>7.000000000000001E-4</v>
      </c>
      <c r="R15" s="2807"/>
      <c r="S15" s="2808"/>
      <c r="T15" s="2809"/>
      <c r="U15" s="2809"/>
      <c r="V15" s="2809"/>
      <c r="W15" s="2801"/>
      <c r="X15" s="2801">
        <f>ROUND(IF(项目基本情况!B7="出让",SUMPRODUCT(PRODUCT(1+N15:N$41)),SUMPRODUCT(PRODUCT(1+N15:N$40))),4)</f>
        <v>1.571</v>
      </c>
      <c r="Y15" s="2801">
        <f>ROUND(IF(项目基本情况!B7="出让",SUMPRODUCT(PRODUCT(1+O15:O$41)),SUMPRODUCT(PRODUCT(1+O15:O$40))),4)</f>
        <v>1.3420000000000001</v>
      </c>
      <c r="Z15" s="2801">
        <f t="shared" ref="Z15" si="121">Y15</f>
        <v>1.3420000000000001</v>
      </c>
      <c r="AA15" s="2801">
        <f>ROUND(IF(项目基本情况!B7="出让",SUMPRODUCT(PRODUCT(1+P15:P$41)),SUMPRODUCT(PRODUCT(1+P15:P$40))),4)</f>
        <v>1.6415999999999999</v>
      </c>
      <c r="AB15" s="2801">
        <f>ROUND(IF(项目基本情况!B7="出让",SUMPRODUCT(PRODUCT(1+Q15:Q$41)),SUMPRODUCT(PRODUCT(1+Q15:Q$40))),4)</f>
        <v>1.389</v>
      </c>
      <c r="AC15" s="2801"/>
      <c r="AD15" s="2802">
        <f>ROUND(AVERAGE(I15:I$41)/100,4)</f>
        <v>1.8100000000000002E-2</v>
      </c>
      <c r="AE15" s="2802">
        <f>ROUND(AVERAGE(J15:J$41)/100,4)</f>
        <v>1.1900000000000001E-2</v>
      </c>
      <c r="AF15" s="2802">
        <f t="shared" ref="AF15" si="122">AE15</f>
        <v>1.1900000000000001E-2</v>
      </c>
      <c r="AG15" s="2802">
        <f>ROUND(AVERAGE(K15:K$41)/100,4)</f>
        <v>1.9900000000000001E-2</v>
      </c>
      <c r="AH15" s="2802">
        <f>ROUND(AVERAGE(L15:L$41)/100,4)</f>
        <v>1.2800000000000001E-2</v>
      </c>
    </row>
    <row r="16" spans="1:34" s="2810" customFormat="1">
      <c r="A16" s="2803" t="s">
        <v>2693</v>
      </c>
      <c r="B16" s="2804">
        <f t="shared" ref="B16" si="123">B17*(1+N16)</f>
        <v>481.4103506697644</v>
      </c>
      <c r="C16" s="2804">
        <f t="shared" ref="C16" si="124">C17*(1+O16)</f>
        <v>347.29066026648707</v>
      </c>
      <c r="D16" s="2804">
        <f t="shared" ref="D16" si="125">C16</f>
        <v>347.29066026648707</v>
      </c>
      <c r="E16" s="2804">
        <f t="shared" ref="E16" si="126">E17*(1+P16)</f>
        <v>690.85977273901995</v>
      </c>
      <c r="F16" s="2804">
        <f t="shared" ref="F16" si="127">F17*(1+Q16)</f>
        <v>319.13136737000184</v>
      </c>
      <c r="G16" s="2797">
        <v>2020</v>
      </c>
      <c r="H16" s="2805">
        <v>2</v>
      </c>
      <c r="I16" s="2777">
        <v>0.31</v>
      </c>
      <c r="J16" s="2777">
        <v>-0.78</v>
      </c>
      <c r="K16" s="2777">
        <v>0.5</v>
      </c>
      <c r="L16" s="2778">
        <v>0.47</v>
      </c>
      <c r="M16" s="2801"/>
      <c r="N16" s="2806">
        <f t="shared" ref="N16" si="128">I16/100</f>
        <v>3.0999999999999999E-3</v>
      </c>
      <c r="O16" s="2802">
        <f t="shared" ref="O16" si="129">J16/100</f>
        <v>-7.8000000000000005E-3</v>
      </c>
      <c r="P16" s="2802">
        <f t="shared" ref="P16" si="130">K16/100</f>
        <v>5.0000000000000001E-3</v>
      </c>
      <c r="Q16" s="2802">
        <f t="shared" ref="Q16" si="131">L16/100</f>
        <v>4.6999999999999993E-3</v>
      </c>
      <c r="R16" s="2807"/>
      <c r="S16" s="2808"/>
      <c r="T16" s="2809"/>
      <c r="U16" s="2809"/>
      <c r="V16" s="2809"/>
      <c r="W16" s="2801"/>
      <c r="X16" s="2801">
        <f>ROUND(IF(项目基本情况!B8="出让",SUMPRODUCT(PRODUCT(1+N16:N$41)),SUMPRODUCT(PRODUCT(1+N16:N$40))),4)</f>
        <v>1.5652999999999999</v>
      </c>
      <c r="Y16" s="2801">
        <f>ROUND(IF(项目基本情况!B8="出让",SUMPRODUCT(PRODUCT(1+O16:O$41)),SUMPRODUCT(PRODUCT(1+O16:O$40))),4)</f>
        <v>1.3472</v>
      </c>
      <c r="Z16" s="2801">
        <f t="shared" ref="Z16" si="132">Y16</f>
        <v>1.3472</v>
      </c>
      <c r="AA16" s="2801">
        <f>ROUND(IF(项目基本情况!B8="出让",SUMPRODUCT(PRODUCT(1+P16:P$41)),SUMPRODUCT(PRODUCT(1+P16:P$40))),4)</f>
        <v>1.6335999999999999</v>
      </c>
      <c r="AB16" s="2801">
        <f>ROUND(IF(项目基本情况!B8="出让",SUMPRODUCT(PRODUCT(1+Q16:Q$41)),SUMPRODUCT(PRODUCT(1+Q16:Q$40))),4)</f>
        <v>1.3880999999999999</v>
      </c>
      <c r="AC16" s="2801"/>
      <c r="AD16" s="2802">
        <f>ROUND(AVERAGE(I16:I$41)/100,4)</f>
        <v>1.8599999999999998E-2</v>
      </c>
      <c r="AE16" s="2802">
        <f>ROUND(AVERAGE(J16:J$41)/100,4)</f>
        <v>1.2500000000000001E-2</v>
      </c>
      <c r="AF16" s="2802">
        <f t="shared" ref="AF16" si="133">AE16</f>
        <v>1.2500000000000001E-2</v>
      </c>
      <c r="AG16" s="2802">
        <f>ROUND(AVERAGE(K16:K$41)/100,4)</f>
        <v>2.0400000000000001E-2</v>
      </c>
      <c r="AH16" s="2802">
        <f>ROUND(AVERAGE(L16:L$41)/100,4)</f>
        <v>1.32E-2</v>
      </c>
    </row>
    <row r="17" spans="1:34" s="2810" customFormat="1">
      <c r="A17" s="2803" t="s">
        <v>2691</v>
      </c>
      <c r="B17" s="2804">
        <f t="shared" ref="B17" si="134">B18*(1+N17)</f>
        <v>479.92259063878413</v>
      </c>
      <c r="C17" s="2804">
        <f t="shared" ref="C17" si="135">C18*(1+O17)</f>
        <v>350.02082268341775</v>
      </c>
      <c r="D17" s="2804">
        <f t="shared" ref="D17" si="136">C17</f>
        <v>350.02082268341775</v>
      </c>
      <c r="E17" s="2804">
        <f t="shared" ref="E17" si="137">E18*(1+P17)</f>
        <v>687.42265944181099</v>
      </c>
      <c r="F17" s="2804">
        <f t="shared" ref="F17" si="138">F18*(1+Q17)</f>
        <v>317.63846657708956</v>
      </c>
      <c r="G17" s="2797">
        <v>2020</v>
      </c>
      <c r="H17" s="2805">
        <v>1</v>
      </c>
      <c r="I17" s="2777">
        <v>0.12</v>
      </c>
      <c r="J17" s="2777">
        <v>-0.4</v>
      </c>
      <c r="K17" s="2777">
        <v>0.21</v>
      </c>
      <c r="L17" s="2778">
        <v>0.27</v>
      </c>
      <c r="M17" s="2801"/>
      <c r="N17" s="2806">
        <f t="shared" ref="N17" si="139">I17/100</f>
        <v>1.1999999999999999E-3</v>
      </c>
      <c r="O17" s="2802">
        <f t="shared" ref="O17" si="140">J17/100</f>
        <v>-4.0000000000000001E-3</v>
      </c>
      <c r="P17" s="2802">
        <f t="shared" ref="P17" si="141">K17/100</f>
        <v>2.0999999999999999E-3</v>
      </c>
      <c r="Q17" s="2802">
        <f t="shared" ref="Q17" si="142">L17/100</f>
        <v>2.7000000000000001E-3</v>
      </c>
      <c r="R17" s="2807"/>
      <c r="S17" s="2808">
        <f>B17/B18-1</f>
        <v>1.2000000000000899E-3</v>
      </c>
      <c r="T17" s="2809">
        <f>C17/C18-1</f>
        <v>-4.0000000000000036E-3</v>
      </c>
      <c r="U17" s="2809">
        <f>E17/E18-1</f>
        <v>2.0999999999999908E-3</v>
      </c>
      <c r="V17" s="2809">
        <f>F17/F18-1</f>
        <v>2.6999999999999247E-3</v>
      </c>
      <c r="W17" s="2801"/>
      <c r="X17" s="2801">
        <f>ROUND(IF(项目基本情况!B8="出让",SUMPRODUCT(PRODUCT(1+N17:N$41)),SUMPRODUCT(PRODUCT(1+N17:N$40))),4)</f>
        <v>1.5605</v>
      </c>
      <c r="Y17" s="2801">
        <f>ROUND(IF(项目基本情况!B8="出让",SUMPRODUCT(PRODUCT(1+O17:O$41)),SUMPRODUCT(PRODUCT(1+O17:O$40))),4)</f>
        <v>1.3577999999999999</v>
      </c>
      <c r="Z17" s="2801">
        <f t="shared" ref="Z17" si="143">Y17</f>
        <v>1.3577999999999999</v>
      </c>
      <c r="AA17" s="2801">
        <f>ROUND(IF(项目基本情况!B8="出让",SUMPRODUCT(PRODUCT(1+P17:P$41)),SUMPRODUCT(PRODUCT(1+P17:P$40))),4)</f>
        <v>1.6254999999999999</v>
      </c>
      <c r="AB17" s="2801">
        <f>ROUND(IF(项目基本情况!B8="出让",SUMPRODUCT(PRODUCT(1+Q17:Q$41)),SUMPRODUCT(PRODUCT(1+Q17:Q$40))),4)</f>
        <v>1.3815999999999999</v>
      </c>
      <c r="AC17" s="2801"/>
      <c r="AD17" s="2802">
        <f>ROUND(AVERAGE(I17:I$41)/100,4)</f>
        <v>1.9199999999999998E-2</v>
      </c>
      <c r="AE17" s="2802">
        <f>ROUND(AVERAGE(J17:J$41)/100,4)</f>
        <v>1.3299999999999999E-2</v>
      </c>
      <c r="AF17" s="2802">
        <f t="shared" ref="AF17" si="144">AE17</f>
        <v>1.3299999999999999E-2</v>
      </c>
      <c r="AG17" s="2802">
        <f>ROUND(AVERAGE(K17:K$41)/100,4)</f>
        <v>2.1100000000000001E-2</v>
      </c>
      <c r="AH17" s="2802">
        <f>ROUND(AVERAGE(L17:L$41)/100,4)</f>
        <v>1.3599999999999999E-2</v>
      </c>
    </row>
    <row r="18" spans="1:34" s="2810" customFormat="1">
      <c r="A18" s="2803" t="s">
        <v>2689</v>
      </c>
      <c r="B18" s="2804">
        <f t="shared" ref="B18" si="145">B19*(1+N18)</f>
        <v>479.34737379023579</v>
      </c>
      <c r="C18" s="2804">
        <f t="shared" ref="C18" si="146">C19*(1+O18)</f>
        <v>351.4265287986122</v>
      </c>
      <c r="D18" s="2804">
        <f t="shared" ref="D18" si="147">C18</f>
        <v>351.4265287986122</v>
      </c>
      <c r="E18" s="2804">
        <f t="shared" ref="E18" si="148">E19*(1+P18)</f>
        <v>685.98209703803116</v>
      </c>
      <c r="F18" s="2804">
        <f t="shared" ref="F18" si="149">F19*(1+Q18)</f>
        <v>316.78315206651001</v>
      </c>
      <c r="G18" s="2797">
        <v>2019</v>
      </c>
      <c r="H18" s="2805">
        <v>4</v>
      </c>
      <c r="I18" s="2805">
        <v>0.45</v>
      </c>
      <c r="J18" s="2805">
        <v>-0.12</v>
      </c>
      <c r="K18" s="2805">
        <v>0.54</v>
      </c>
      <c r="L18" s="2811">
        <v>0.48</v>
      </c>
      <c r="M18" s="2801"/>
      <c r="N18" s="2806">
        <f t="shared" ref="N18" si="150">I18/100</f>
        <v>4.5000000000000005E-3</v>
      </c>
      <c r="O18" s="2802">
        <f t="shared" ref="O18" si="151">J18/100</f>
        <v>-1.1999999999999999E-3</v>
      </c>
      <c r="P18" s="2802">
        <f t="shared" ref="P18" si="152">K18/100</f>
        <v>5.4000000000000003E-3</v>
      </c>
      <c r="Q18" s="2802">
        <f t="shared" ref="Q18" si="153">L18/100</f>
        <v>4.7999999999999996E-3</v>
      </c>
      <c r="R18" s="2807"/>
      <c r="S18" s="2808"/>
      <c r="T18" s="2809"/>
      <c r="U18" s="2809"/>
      <c r="V18" s="2809"/>
      <c r="W18" s="2801"/>
      <c r="X18" s="2801">
        <f>ROUND(IF(项目基本情况!B8="出让",SUMPRODUCT(PRODUCT(1+N18:N$41)),SUMPRODUCT(PRODUCT(1+N18:N$40))),4)</f>
        <v>1.5586</v>
      </c>
      <c r="Y18" s="2801">
        <f>ROUND(IF(项目基本情况!B8="出让",SUMPRODUCT(PRODUCT(1+O18:O$41)),SUMPRODUCT(PRODUCT(1+O18:O$40))),4)</f>
        <v>1.3633</v>
      </c>
      <c r="Z18" s="2801">
        <f t="shared" ref="Z18" si="154">Y18</f>
        <v>1.3633</v>
      </c>
      <c r="AA18" s="2801">
        <f>ROUND(IF(项目基本情况!B8="出让",SUMPRODUCT(PRODUCT(1+P18:P$41)),SUMPRODUCT(PRODUCT(1+P18:P$40))),4)</f>
        <v>1.6221000000000001</v>
      </c>
      <c r="AB18" s="2801">
        <f>ROUND(IF(项目基本情况!B8="出让",SUMPRODUCT(PRODUCT(1+Q18:Q$41)),SUMPRODUCT(PRODUCT(1+Q18:Q$40))),4)</f>
        <v>1.3777999999999999</v>
      </c>
      <c r="AC18" s="2801"/>
      <c r="AD18" s="2802">
        <f>ROUND(AVERAGE(I18:I$41)/100,4)</f>
        <v>0.02</v>
      </c>
      <c r="AE18" s="2802">
        <f>ROUND(AVERAGE(J18:J$41)/100,4)</f>
        <v>1.4E-2</v>
      </c>
      <c r="AF18" s="2802">
        <f t="shared" ref="AF18" si="155">AE18</f>
        <v>1.4E-2</v>
      </c>
      <c r="AG18" s="2802">
        <f>ROUND(AVERAGE(K18:K$41)/100,4)</f>
        <v>2.1899999999999999E-2</v>
      </c>
      <c r="AH18" s="2802">
        <f>ROUND(AVERAGE(L18:L$41)/100,4)</f>
        <v>1.4E-2</v>
      </c>
    </row>
    <row r="19" spans="1:34" s="2810" customFormat="1" ht="13.5" thickBot="1">
      <c r="A19" s="2803" t="s">
        <v>2688</v>
      </c>
      <c r="B19" s="2804">
        <f t="shared" ref="B19" si="156">B20*(1+N19)</f>
        <v>477.19997390765138</v>
      </c>
      <c r="C19" s="2804">
        <f t="shared" ref="C19" si="157">C20*(1+O19)</f>
        <v>351.84874729536665</v>
      </c>
      <c r="D19" s="2804">
        <f t="shared" ref="D19" si="158">C19</f>
        <v>351.84874729536665</v>
      </c>
      <c r="E19" s="2804">
        <f t="shared" ref="E19" si="159">E20*(1+P19)</f>
        <v>682.29768951465201</v>
      </c>
      <c r="F19" s="2804">
        <f t="shared" ref="F19" si="160">F20*(1+Q19)</f>
        <v>315.26985675409043</v>
      </c>
      <c r="G19" s="2797">
        <v>2019</v>
      </c>
      <c r="H19" s="2805">
        <v>3</v>
      </c>
      <c r="I19" s="2805">
        <v>0.61</v>
      </c>
      <c r="J19" s="2805">
        <v>0.67</v>
      </c>
      <c r="K19" s="2805">
        <v>0.6</v>
      </c>
      <c r="L19" s="2811">
        <v>1.03</v>
      </c>
      <c r="M19" s="2801"/>
      <c r="N19" s="2806">
        <f t="shared" ref="N19" si="161">I19/100</f>
        <v>6.0999999999999995E-3</v>
      </c>
      <c r="O19" s="2802">
        <f t="shared" ref="O19" si="162">J19/100</f>
        <v>6.7000000000000002E-3</v>
      </c>
      <c r="P19" s="2802">
        <f t="shared" ref="P19" si="163">K19/100</f>
        <v>6.0000000000000001E-3</v>
      </c>
      <c r="Q19" s="2802">
        <f t="shared" ref="Q19" si="164">L19/100</f>
        <v>1.03E-2</v>
      </c>
      <c r="R19" s="2807"/>
      <c r="S19" s="2808"/>
      <c r="T19" s="2809"/>
      <c r="U19" s="2809"/>
      <c r="V19" s="2809"/>
      <c r="W19" s="2801"/>
      <c r="X19" s="2801">
        <f>ROUND(IF(项目基本情况!B8="出让",SUMPRODUCT(PRODUCT(1+N19:N$41)),SUMPRODUCT(PRODUCT(1+N19:N$40))),4)</f>
        <v>1.5516000000000001</v>
      </c>
      <c r="Y19" s="2801">
        <f>ROUND(IF(项目基本情况!B8="出让",SUMPRODUCT(PRODUCT(1+O19:O$41)),SUMPRODUCT(PRODUCT(1+O19:O$40))),4)</f>
        <v>1.3649</v>
      </c>
      <c r="Z19" s="2801">
        <f t="shared" ref="Z19" si="165">Y19</f>
        <v>1.3649</v>
      </c>
      <c r="AA19" s="2801">
        <f>ROUND(IF(项目基本情况!B8="出让",SUMPRODUCT(PRODUCT(1+P19:P$41)),SUMPRODUCT(PRODUCT(1+P19:P$40))),4)</f>
        <v>1.6133999999999999</v>
      </c>
      <c r="AB19" s="2801">
        <f>ROUND(IF(项目基本情况!B8="出让",SUMPRODUCT(PRODUCT(1+Q19:Q$41)),SUMPRODUCT(PRODUCT(1+Q19:Q$40))),4)</f>
        <v>1.3713</v>
      </c>
      <c r="AC19" s="2801"/>
      <c r="AD19" s="2802">
        <f>ROUND(AVERAGE(I19:I$41)/100,4)</f>
        <v>2.07E-2</v>
      </c>
      <c r="AE19" s="2802">
        <f>ROUND(AVERAGE(J19:J$41)/100,4)</f>
        <v>1.47E-2</v>
      </c>
      <c r="AF19" s="2802">
        <f t="shared" ref="AF19" si="166">AE19</f>
        <v>1.47E-2</v>
      </c>
      <c r="AG19" s="2802">
        <f>ROUND(AVERAGE(K19:K$41)/100,4)</f>
        <v>2.2599999999999999E-2</v>
      </c>
      <c r="AH19" s="2802">
        <f>ROUND(AVERAGE(L19:L$41)/100,4)</f>
        <v>1.44E-2</v>
      </c>
    </row>
    <row r="20" spans="1:34" s="2810" customFormat="1">
      <c r="A20" s="2803" t="s">
        <v>2685</v>
      </c>
      <c r="B20" s="2804">
        <f t="shared" ref="B20:B25" si="167">B21*(1+N20)</f>
        <v>474.30670301923408</v>
      </c>
      <c r="C20" s="2804">
        <f t="shared" ref="C20" si="168">C21*(1+O20)</f>
        <v>349.50705005996491</v>
      </c>
      <c r="D20" s="2804">
        <f t="shared" ref="D20" si="169">C20</f>
        <v>349.50705005996491</v>
      </c>
      <c r="E20" s="2804">
        <f t="shared" ref="E20" si="170">E21*(1+P20)</f>
        <v>678.22831959706957</v>
      </c>
      <c r="F20" s="2804">
        <f t="shared" ref="F20" si="171">F21*(1+Q20)</f>
        <v>312.0556832169558</v>
      </c>
      <c r="G20" s="2797">
        <v>2019</v>
      </c>
      <c r="H20" s="2812">
        <v>2</v>
      </c>
      <c r="I20" s="2812">
        <v>1.53</v>
      </c>
      <c r="J20" s="2812">
        <v>1.01</v>
      </c>
      <c r="K20" s="2812">
        <v>1.62</v>
      </c>
      <c r="L20" s="2813">
        <v>1.25</v>
      </c>
      <c r="M20" s="2801"/>
      <c r="N20" s="2806">
        <f t="shared" ref="N20" si="172">I20/100</f>
        <v>1.5300000000000001E-2</v>
      </c>
      <c r="O20" s="2802">
        <f t="shared" ref="O20" si="173">J20/100</f>
        <v>1.01E-2</v>
      </c>
      <c r="P20" s="2802">
        <f t="shared" ref="P20" si="174">K20/100</f>
        <v>1.6200000000000003E-2</v>
      </c>
      <c r="Q20" s="2802">
        <f t="shared" ref="Q20" si="175">L20/100</f>
        <v>1.2500000000000001E-2</v>
      </c>
      <c r="R20" s="2807"/>
      <c r="S20" s="2808"/>
      <c r="T20" s="2809"/>
      <c r="U20" s="2809"/>
      <c r="V20" s="2809"/>
      <c r="W20" s="2801"/>
      <c r="X20" s="2801">
        <f>ROUND(IF(项目基本情况!B8="出让",SUMPRODUCT(PRODUCT(1+N20:N$41)),SUMPRODUCT(PRODUCT(1+N20:N$40))),4)</f>
        <v>1.5422</v>
      </c>
      <c r="Y20" s="2801">
        <f>ROUND(IF(项目基本情况!B8="出让",SUMPRODUCT(PRODUCT(1+O20:O$41)),SUMPRODUCT(PRODUCT(1+O20:O$40))),4)</f>
        <v>1.3557999999999999</v>
      </c>
      <c r="Z20" s="2801">
        <f t="shared" ref="Z20" si="176">Y20</f>
        <v>1.3557999999999999</v>
      </c>
      <c r="AA20" s="2801">
        <f>ROUND(IF(项目基本情况!B8="出让",SUMPRODUCT(PRODUCT(1+P20:P$41)),SUMPRODUCT(PRODUCT(1+P20:P$40))),4)</f>
        <v>1.6036999999999999</v>
      </c>
      <c r="AB20" s="2801">
        <f>ROUND(IF(项目基本情况!B8="出让",SUMPRODUCT(PRODUCT(1+Q20:Q$41)),SUMPRODUCT(PRODUCT(1+Q20:Q$40))),4)</f>
        <v>1.3573</v>
      </c>
      <c r="AC20" s="2801"/>
      <c r="AD20" s="2802">
        <f>ROUND(AVERAGE(I20:I$41)/100,4)</f>
        <v>2.1299999999999999E-2</v>
      </c>
      <c r="AE20" s="2802">
        <f>ROUND(AVERAGE(J20:J$41)/100,4)</f>
        <v>1.4999999999999999E-2</v>
      </c>
      <c r="AF20" s="2802">
        <f t="shared" ref="AF20" si="177">AE20</f>
        <v>1.4999999999999999E-2</v>
      </c>
      <c r="AG20" s="2802">
        <f>ROUND(AVERAGE(K20:K$41)/100,4)</f>
        <v>2.3300000000000001E-2</v>
      </c>
      <c r="AH20" s="2802">
        <f>ROUND(AVERAGE(L20:L$41)/100,4)</f>
        <v>1.46E-2</v>
      </c>
    </row>
    <row r="21" spans="1:34" s="2810" customFormat="1" ht="13.5" thickBot="1">
      <c r="A21" s="2803" t="s">
        <v>2684</v>
      </c>
      <c r="B21" s="2804">
        <f t="shared" si="167"/>
        <v>467.15916775261894</v>
      </c>
      <c r="C21" s="2804">
        <f t="shared" ref="C21" si="178">C22*(1+O21)</f>
        <v>346.01232557169084</v>
      </c>
      <c r="D21" s="2804">
        <f t="shared" ref="D21" si="179">C21</f>
        <v>346.01232557169084</v>
      </c>
      <c r="E21" s="2804">
        <f t="shared" ref="E21" si="180">E22*(1+P21)</f>
        <v>667.41617752122568</v>
      </c>
      <c r="F21" s="2804">
        <f t="shared" ref="F21" si="181">F22*(1+Q21)</f>
        <v>308.20314391798104</v>
      </c>
      <c r="G21" s="2797">
        <v>2019</v>
      </c>
      <c r="H21" s="2805">
        <v>1</v>
      </c>
      <c r="I21" s="2805">
        <v>0.6</v>
      </c>
      <c r="J21" s="2805">
        <v>0.37</v>
      </c>
      <c r="K21" s="2805">
        <v>0.63</v>
      </c>
      <c r="L21" s="2811">
        <v>1.1299999999999999</v>
      </c>
      <c r="M21" s="2801"/>
      <c r="N21" s="2806">
        <f t="shared" ref="N21" si="182">I21/100</f>
        <v>6.0000000000000001E-3</v>
      </c>
      <c r="O21" s="2802">
        <f t="shared" ref="O21" si="183">J21/100</f>
        <v>3.7000000000000002E-3</v>
      </c>
      <c r="P21" s="2802">
        <f t="shared" ref="P21" si="184">K21/100</f>
        <v>6.3E-3</v>
      </c>
      <c r="Q21" s="2802">
        <f t="shared" ref="Q21" si="185">L21/100</f>
        <v>1.1299999999999999E-2</v>
      </c>
      <c r="R21" s="2807"/>
      <c r="S21" s="2808">
        <f>B21/B22-1</f>
        <v>6.0000000000000053E-3</v>
      </c>
      <c r="T21" s="2809">
        <f>C21/C22-1</f>
        <v>3.7000000000000366E-3</v>
      </c>
      <c r="U21" s="2809">
        <f>E21/E22-1</f>
        <v>6.2999999999999723E-3</v>
      </c>
      <c r="V21" s="2809">
        <f>F21/F22-1</f>
        <v>1.1300000000000088E-2</v>
      </c>
      <c r="W21" s="2801"/>
      <c r="X21" s="2801">
        <f>ROUND(IF(项目基本情况!B8="出让",SUMPRODUCT(PRODUCT(1+N21:N$41)),SUMPRODUCT(PRODUCT(1+N21:N$40))),4)</f>
        <v>1.5189999999999999</v>
      </c>
      <c r="Y21" s="2801">
        <f>ROUND(IF(项目基本情况!B8="出让",SUMPRODUCT(PRODUCT(1+O21:O$41)),SUMPRODUCT(PRODUCT(1+O21:O$40))),4)</f>
        <v>1.3423</v>
      </c>
      <c r="Z21" s="2801">
        <f t="shared" ref="Z21" si="186">Y21</f>
        <v>1.3423</v>
      </c>
      <c r="AA21" s="2801">
        <f>ROUND(IF(项目基本情况!B8="出让",SUMPRODUCT(PRODUCT(1+P21:P$41)),SUMPRODUCT(PRODUCT(1+P21:P$40))),4)</f>
        <v>1.5782</v>
      </c>
      <c r="AB21" s="2801">
        <f>ROUND(IF(项目基本情况!B8="出让",SUMPRODUCT(PRODUCT(1+Q21:Q$41)),SUMPRODUCT(PRODUCT(1+Q21:Q$40))),4)</f>
        <v>1.3405</v>
      </c>
      <c r="AC21" s="2801"/>
      <c r="AD21" s="2802">
        <f>ROUND(AVERAGE(I21:I$41)/100,4)</f>
        <v>2.1600000000000001E-2</v>
      </c>
      <c r="AE21" s="2802">
        <f>ROUND(AVERAGE(J21:J$41)/100,4)</f>
        <v>1.5299999999999999E-2</v>
      </c>
      <c r="AF21" s="2802">
        <f t="shared" ref="AF21" si="187">AE21</f>
        <v>1.5299999999999999E-2</v>
      </c>
      <c r="AG21" s="2802">
        <f>ROUND(AVERAGE(K21:K$41)/100,4)</f>
        <v>2.3699999999999999E-2</v>
      </c>
      <c r="AH21" s="2802">
        <f>ROUND(AVERAGE(L21:L$41)/100,4)</f>
        <v>1.47E-2</v>
      </c>
    </row>
    <row r="22" spans="1:34" s="2810" customFormat="1">
      <c r="A22" s="2803" t="s">
        <v>2682</v>
      </c>
      <c r="B22" s="2814">
        <f t="shared" si="167"/>
        <v>464.37293017158942</v>
      </c>
      <c r="C22" s="2814">
        <f t="shared" ref="C22" si="188">C23*(1+O22)</f>
        <v>344.73679941385956</v>
      </c>
      <c r="D22" s="2814">
        <f t="shared" ref="D22" si="189">C22</f>
        <v>344.73679941385956</v>
      </c>
      <c r="E22" s="2814">
        <f t="shared" ref="E22" si="190">E23*(1+P22)</f>
        <v>663.2377795103107</v>
      </c>
      <c r="F22" s="2815">
        <f t="shared" ref="F22" si="191">F23*(1+Q22)</f>
        <v>304.75936311478398</v>
      </c>
      <c r="G22" s="3764">
        <v>2018</v>
      </c>
      <c r="H22" s="2812">
        <v>4</v>
      </c>
      <c r="I22" s="2812">
        <v>0.96</v>
      </c>
      <c r="J22" s="2812">
        <v>1.03</v>
      </c>
      <c r="K22" s="2812">
        <v>0.92</v>
      </c>
      <c r="L22" s="2813">
        <v>1.29</v>
      </c>
      <c r="M22" s="2801"/>
      <c r="N22" s="2806">
        <f t="shared" ref="N22" si="192">I22/100</f>
        <v>9.5999999999999992E-3</v>
      </c>
      <c r="O22" s="2802">
        <f t="shared" ref="O22" si="193">J22/100</f>
        <v>1.03E-2</v>
      </c>
      <c r="P22" s="2802">
        <f t="shared" ref="P22" si="194">K22/100</f>
        <v>9.1999999999999998E-3</v>
      </c>
      <c r="Q22" s="2802">
        <f t="shared" ref="Q22" si="195">L22/100</f>
        <v>1.29E-2</v>
      </c>
      <c r="R22" s="2807"/>
      <c r="S22" s="2816"/>
      <c r="T22" s="2817"/>
      <c r="U22" s="2817"/>
      <c r="V22" s="2817"/>
      <c r="W22" s="2801"/>
      <c r="X22" s="2801">
        <f>ROUND(SUMPRODUCT(PRODUCT(1+N22:N$40)),4)</f>
        <v>1.5099</v>
      </c>
      <c r="Y22" s="2801">
        <f>ROUND(SUMPRODUCT(PRODUCT(1+O22:O$40)),4)</f>
        <v>1.3372999999999999</v>
      </c>
      <c r="Z22" s="2801">
        <f t="shared" ref="Z22" si="196">Y22</f>
        <v>1.3372999999999999</v>
      </c>
      <c r="AA22" s="2801">
        <f>ROUND(SUMPRODUCT(PRODUCT(1+P22:P$40)),4)</f>
        <v>1.5683</v>
      </c>
      <c r="AB22" s="2801">
        <f>ROUND(SUMPRODUCT(PRODUCT(1+Q22:Q$40)),4)</f>
        <v>1.3255999999999999</v>
      </c>
      <c r="AC22" s="2801"/>
      <c r="AD22" s="2802">
        <f>ROUND(AVERAGE(I22:I$41)/100,4)</f>
        <v>2.24E-2</v>
      </c>
      <c r="AE22" s="2802">
        <f>ROUND(AVERAGE(J22:J$41)/100,4)</f>
        <v>1.5800000000000002E-2</v>
      </c>
      <c r="AF22" s="2802">
        <f t="shared" ref="AF22" si="197">AE22</f>
        <v>1.5800000000000002E-2</v>
      </c>
      <c r="AG22" s="2802">
        <f>ROUND(AVERAGE(K22:K$41)/100,4)</f>
        <v>2.4500000000000001E-2</v>
      </c>
      <c r="AH22" s="2802">
        <f>ROUND(AVERAGE(L22:L$41)/100,4)</f>
        <v>1.49E-2</v>
      </c>
    </row>
    <row r="23" spans="1:34" s="2810" customFormat="1" ht="14.45" customHeight="1">
      <c r="A23" s="2803" t="s">
        <v>2675</v>
      </c>
      <c r="B23" s="2804">
        <f t="shared" si="167"/>
        <v>459.95733971036987</v>
      </c>
      <c r="C23" s="2804">
        <f t="shared" ref="C23" si="198">C24*(1+O23)</f>
        <v>341.22221064422405</v>
      </c>
      <c r="D23" s="2804">
        <f t="shared" ref="D23" si="199">C23</f>
        <v>341.22221064422405</v>
      </c>
      <c r="E23" s="2804">
        <f t="shared" ref="E23" si="200">E24*(1+P23)</f>
        <v>657.19161663724799</v>
      </c>
      <c r="F23" s="2804">
        <f t="shared" ref="F23" si="201">F24*(1+Q23)</f>
        <v>300.87803644464805</v>
      </c>
      <c r="G23" s="3764"/>
      <c r="H23" s="2805">
        <v>3</v>
      </c>
      <c r="I23" s="2805">
        <v>1.51</v>
      </c>
      <c r="J23" s="2805">
        <v>1.41</v>
      </c>
      <c r="K23" s="2805">
        <v>1.52</v>
      </c>
      <c r="L23" s="2811">
        <v>1.74</v>
      </c>
      <c r="M23" s="2801"/>
      <c r="N23" s="2806">
        <f t="shared" ref="N23" si="202">I23/100</f>
        <v>1.5100000000000001E-2</v>
      </c>
      <c r="O23" s="2802">
        <f t="shared" ref="O23" si="203">J23/100</f>
        <v>1.41E-2</v>
      </c>
      <c r="P23" s="2802">
        <f t="shared" ref="P23" si="204">K23/100</f>
        <v>1.52E-2</v>
      </c>
      <c r="Q23" s="2802">
        <f t="shared" ref="Q23" si="205">L23/100</f>
        <v>1.7399999999999999E-2</v>
      </c>
      <c r="R23" s="2807"/>
      <c r="S23" s="2806"/>
      <c r="T23" s="2802"/>
      <c r="U23" s="2802"/>
      <c r="V23" s="2802"/>
      <c r="W23" s="2801"/>
      <c r="X23" s="2801">
        <f>ROUND(SUMPRODUCT(PRODUCT(1+N23:N$40)),4)</f>
        <v>1.4956</v>
      </c>
      <c r="Y23" s="2801">
        <f>ROUND(SUMPRODUCT(PRODUCT(1+O23:O$40)),4)</f>
        <v>1.3237000000000001</v>
      </c>
      <c r="Z23" s="2801">
        <f t="shared" ref="Z23" si="206">Y23</f>
        <v>1.3237000000000001</v>
      </c>
      <c r="AA23" s="2801">
        <f>ROUND(SUMPRODUCT(PRODUCT(1+P23:P$40)),4)</f>
        <v>1.554</v>
      </c>
      <c r="AB23" s="2801">
        <f>ROUND(SUMPRODUCT(PRODUCT(1+Q23:Q$40)),4)</f>
        <v>1.3087</v>
      </c>
      <c r="AC23" s="2801"/>
      <c r="AD23" s="2802">
        <f>ROUND(AVERAGE(I23:I$41)/100,4)</f>
        <v>2.3099999999999999E-2</v>
      </c>
      <c r="AE23" s="2802">
        <f>ROUND(AVERAGE(J23:J$41)/100,4)</f>
        <v>1.61E-2</v>
      </c>
      <c r="AF23" s="2802">
        <f t="shared" ref="AF23" si="207">AE23</f>
        <v>1.61E-2</v>
      </c>
      <c r="AG23" s="2802">
        <f>ROUND(AVERAGE(K23:K$41)/100,4)</f>
        <v>2.53E-2</v>
      </c>
      <c r="AH23" s="2802">
        <f>ROUND(AVERAGE(L23:L$41)/100,4)</f>
        <v>1.4999999999999999E-2</v>
      </c>
    </row>
    <row r="24" spans="1:34" s="2810" customFormat="1" ht="14.45" customHeight="1">
      <c r="A24" s="2803" t="s">
        <v>2676</v>
      </c>
      <c r="B24" s="2804">
        <f t="shared" si="167"/>
        <v>453.11529869999993</v>
      </c>
      <c r="C24" s="2804">
        <f t="shared" ref="C24" si="208">C25*(1+O24)</f>
        <v>336.47787264000004</v>
      </c>
      <c r="D24" s="2804">
        <f t="shared" ref="D24" si="209">C24</f>
        <v>336.47787264000004</v>
      </c>
      <c r="E24" s="2804">
        <f t="shared" ref="E24" si="210">E25*(1+P24)</f>
        <v>647.35186823999993</v>
      </c>
      <c r="F24" s="2804">
        <f t="shared" ref="F24" si="211">F25*(1+Q24)</f>
        <v>295.73229452000004</v>
      </c>
      <c r="G24" s="3764"/>
      <c r="H24" s="2818">
        <v>2</v>
      </c>
      <c r="I24" s="2818">
        <v>1.49</v>
      </c>
      <c r="J24" s="2818">
        <v>0.96</v>
      </c>
      <c r="K24" s="2818">
        <v>1.58</v>
      </c>
      <c r="L24" s="2819">
        <v>2.44</v>
      </c>
      <c r="M24" s="2801"/>
      <c r="N24" s="2806">
        <f t="shared" ref="N24" si="212">I24/100</f>
        <v>1.49E-2</v>
      </c>
      <c r="O24" s="2802">
        <f t="shared" ref="O24" si="213">J24/100</f>
        <v>9.5999999999999992E-3</v>
      </c>
      <c r="P24" s="2802">
        <f t="shared" ref="P24" si="214">K24/100</f>
        <v>1.5800000000000002E-2</v>
      </c>
      <c r="Q24" s="2802">
        <f t="shared" ref="Q24" si="215">L24/100</f>
        <v>2.4399999999999998E-2</v>
      </c>
      <c r="R24" s="2807"/>
      <c r="S24" s="2806"/>
      <c r="T24" s="2802"/>
      <c r="U24" s="2802"/>
      <c r="V24" s="2802"/>
      <c r="W24" s="2801"/>
      <c r="X24" s="2801">
        <f>ROUND(SUMPRODUCT(PRODUCT(1+N24:N$40)),4)</f>
        <v>1.4733000000000001</v>
      </c>
      <c r="Y24" s="2801">
        <f>ROUND(SUMPRODUCT(PRODUCT(1+O24:O$40)),4)</f>
        <v>1.3052999999999999</v>
      </c>
      <c r="Z24" s="2801">
        <f t="shared" ref="Z24" si="216">Y24</f>
        <v>1.3052999999999999</v>
      </c>
      <c r="AA24" s="2801">
        <f>ROUND(SUMPRODUCT(PRODUCT(1+P24:P$40)),4)</f>
        <v>1.5306999999999999</v>
      </c>
      <c r="AB24" s="2801">
        <f>ROUND(SUMPRODUCT(PRODUCT(1+Q24:Q$40)),4)</f>
        <v>1.2863</v>
      </c>
      <c r="AC24" s="2801"/>
      <c r="AD24" s="2802">
        <f>ROUND(AVERAGE(I24:I$41)/100,4)</f>
        <v>2.35E-2</v>
      </c>
      <c r="AE24" s="2802">
        <f>ROUND(AVERAGE(J24:J$41)/100,4)</f>
        <v>1.6199999999999999E-2</v>
      </c>
      <c r="AF24" s="2802">
        <f t="shared" ref="AF24" si="217">AE24</f>
        <v>1.6199999999999999E-2</v>
      </c>
      <c r="AG24" s="2802">
        <f>ROUND(AVERAGE(K24:K$41)/100,4)</f>
        <v>2.5899999999999999E-2</v>
      </c>
      <c r="AH24" s="2802">
        <f>ROUND(AVERAGE(L24:L$41)/100,4)</f>
        <v>1.49E-2</v>
      </c>
    </row>
    <row r="25" spans="1:34" s="2810" customFormat="1" ht="15" customHeight="1" thickBot="1">
      <c r="A25" s="2803" t="s">
        <v>2672</v>
      </c>
      <c r="B25" s="2804">
        <f t="shared" si="167"/>
        <v>446.46299999999997</v>
      </c>
      <c r="C25" s="2804">
        <f t="shared" ref="C25" si="218">C26*(1+O25)</f>
        <v>333.27840000000003</v>
      </c>
      <c r="D25" s="2804">
        <f t="shared" ref="D25:D30" si="219">C25</f>
        <v>333.27840000000003</v>
      </c>
      <c r="E25" s="2804">
        <f t="shared" ref="E25" si="220">E26*(1+P25)</f>
        <v>637.28279999999995</v>
      </c>
      <c r="F25" s="2804">
        <f t="shared" ref="F25" si="221">F26*(1+Q25)</f>
        <v>288.68830000000003</v>
      </c>
      <c r="G25" s="3765"/>
      <c r="H25" s="2805">
        <v>1</v>
      </c>
      <c r="I25" s="2805">
        <v>1.7</v>
      </c>
      <c r="J25" s="2805">
        <v>1.92</v>
      </c>
      <c r="K25" s="2805">
        <v>1.64</v>
      </c>
      <c r="L25" s="2811">
        <v>2.0099999999999998</v>
      </c>
      <c r="M25" s="2801"/>
      <c r="N25" s="2806">
        <f t="shared" ref="N25:N30" si="222">I25/100</f>
        <v>1.7000000000000001E-2</v>
      </c>
      <c r="O25" s="2802">
        <f t="shared" ref="O25" si="223">J25/100</f>
        <v>1.9199999999999998E-2</v>
      </c>
      <c r="P25" s="2802">
        <f t="shared" ref="P25" si="224">K25/100</f>
        <v>1.6399999999999998E-2</v>
      </c>
      <c r="Q25" s="2802">
        <f t="shared" ref="Q25" si="225">L25/100</f>
        <v>2.0099999999999996E-2</v>
      </c>
      <c r="R25" s="2807"/>
      <c r="S25" s="2808">
        <f>B25/B26-1</f>
        <v>1.6999999999999904E-2</v>
      </c>
      <c r="T25" s="2809">
        <f>C25/C26-1</f>
        <v>1.9200000000000106E-2</v>
      </c>
      <c r="U25" s="2809">
        <f>E25/E26-1</f>
        <v>1.639999999999997E-2</v>
      </c>
      <c r="V25" s="2809">
        <f>F25/F26-1</f>
        <v>2.0100000000000007E-2</v>
      </c>
      <c r="W25" s="2801"/>
      <c r="X25" s="2801">
        <f>ROUND(SUMPRODUCT(PRODUCT(1+N25:N$40)),4)</f>
        <v>1.4517</v>
      </c>
      <c r="Y25" s="2801">
        <f>ROUND(SUMPRODUCT(PRODUCT(1+O25:O$40)),4)</f>
        <v>1.2928999999999999</v>
      </c>
      <c r="Z25" s="2801">
        <f t="shared" ref="Z25" si="226">Y25</f>
        <v>1.2928999999999999</v>
      </c>
      <c r="AA25" s="2801">
        <f>ROUND(SUMPRODUCT(PRODUCT(1+P25:P$40)),4)</f>
        <v>1.5068999999999999</v>
      </c>
      <c r="AB25" s="2801">
        <f>ROUND(SUMPRODUCT(PRODUCT(1+Q25:Q$40)),4)</f>
        <v>1.2557</v>
      </c>
      <c r="AC25" s="2801"/>
      <c r="AD25" s="2802">
        <f>ROUND(AVERAGE(I25:I$41)/100,4)</f>
        <v>2.4E-2</v>
      </c>
      <c r="AE25" s="2802">
        <f>ROUND(AVERAGE(J25:J$41)/100,4)</f>
        <v>1.66E-2</v>
      </c>
      <c r="AF25" s="2802">
        <f t="shared" ref="AF25" si="227">AE25</f>
        <v>1.66E-2</v>
      </c>
      <c r="AG25" s="2802">
        <f>ROUND(AVERAGE(K25:K$41)/100,4)</f>
        <v>2.6499999999999999E-2</v>
      </c>
      <c r="AH25" s="2802">
        <f>ROUND(AVERAGE(L25:L$41)/100,4)</f>
        <v>1.43E-2</v>
      </c>
    </row>
    <row r="26" spans="1:34">
      <c r="A26" s="2803" t="s">
        <v>2665</v>
      </c>
      <c r="B26" s="2820">
        <v>439</v>
      </c>
      <c r="C26" s="2820">
        <v>327</v>
      </c>
      <c r="D26" s="2820">
        <f t="shared" si="219"/>
        <v>327</v>
      </c>
      <c r="E26" s="2820">
        <v>627</v>
      </c>
      <c r="F26" s="2821">
        <v>283</v>
      </c>
      <c r="G26" s="3763">
        <v>2017</v>
      </c>
      <c r="H26" s="2812">
        <v>4</v>
      </c>
      <c r="I26" s="2812">
        <v>1.71</v>
      </c>
      <c r="J26" s="2812">
        <v>1.78</v>
      </c>
      <c r="K26" s="2812">
        <v>1.71</v>
      </c>
      <c r="L26" s="2813">
        <v>1.43</v>
      </c>
      <c r="N26" s="2822">
        <f t="shared" si="222"/>
        <v>1.7100000000000001E-2</v>
      </c>
      <c r="O26" s="2823">
        <f t="shared" ref="O26" si="228">J26/100</f>
        <v>1.78E-2</v>
      </c>
      <c r="P26" s="2823">
        <f t="shared" ref="P26" si="229">K26/100</f>
        <v>1.7100000000000001E-2</v>
      </c>
      <c r="Q26" s="2823">
        <f t="shared" ref="Q26" si="230">L26/100</f>
        <v>1.43E-2</v>
      </c>
      <c r="R26" s="2807"/>
      <c r="S26" s="2816"/>
      <c r="T26" s="2817"/>
      <c r="U26" s="2817"/>
      <c r="V26" s="2817"/>
      <c r="X26" s="2801">
        <f>ROUND(SUMPRODUCT(PRODUCT(1+N26:N$40)),4)</f>
        <v>1.4274</v>
      </c>
      <c r="Y26" s="2801">
        <f>ROUND(SUMPRODUCT(PRODUCT(1+O26:O$40)),4)</f>
        <v>1.2685</v>
      </c>
      <c r="Z26" s="2801">
        <f t="shared" si="0"/>
        <v>1.2685</v>
      </c>
      <c r="AA26" s="2801">
        <f>ROUND(SUMPRODUCT(PRODUCT(1+P26:P$40)),4)</f>
        <v>1.4825999999999999</v>
      </c>
      <c r="AB26" s="2801">
        <f>ROUND(SUMPRODUCT(PRODUCT(1+Q26:Q$40)),4)</f>
        <v>1.2309000000000001</v>
      </c>
      <c r="AD26" s="2802">
        <f>ROUND(AVERAGE(I26:I$41)/100,4)</f>
        <v>2.4500000000000001E-2</v>
      </c>
      <c r="AE26" s="2802">
        <f>ROUND(AVERAGE(J26:J$41)/100,4)</f>
        <v>1.6500000000000001E-2</v>
      </c>
      <c r="AF26" s="2802">
        <f t="shared" si="1"/>
        <v>1.6500000000000001E-2</v>
      </c>
      <c r="AG26" s="2802">
        <f>ROUND(AVERAGE(K26:K$41)/100,4)</f>
        <v>2.7099999999999999E-2</v>
      </c>
      <c r="AH26" s="2802">
        <f>ROUND(AVERAGE(L26:L$41)/100,4)</f>
        <v>1.3899999999999999E-2</v>
      </c>
    </row>
    <row r="27" spans="1:34" s="2810" customFormat="1" ht="14.45" customHeight="1">
      <c r="A27" s="2803" t="s">
        <v>2667</v>
      </c>
      <c r="B27" s="2804">
        <f t="shared" ref="B27:C29" si="231">B28*(1+N27)</f>
        <v>431.80730811680002</v>
      </c>
      <c r="C27" s="2804">
        <f t="shared" si="231"/>
        <v>320.57880516480003</v>
      </c>
      <c r="D27" s="2804">
        <f t="shared" si="219"/>
        <v>320.57880516480003</v>
      </c>
      <c r="E27" s="2804">
        <f t="shared" ref="E27:F29" si="232">E28*(1+P27)</f>
        <v>615.96110553196797</v>
      </c>
      <c r="F27" s="2804">
        <f t="shared" si="232"/>
        <v>279.46777300108801</v>
      </c>
      <c r="G27" s="3764"/>
      <c r="H27" s="2805">
        <v>3</v>
      </c>
      <c r="I27" s="2805">
        <v>2.98</v>
      </c>
      <c r="J27" s="2805">
        <v>2.11</v>
      </c>
      <c r="K27" s="2805">
        <v>3.24</v>
      </c>
      <c r="L27" s="2811">
        <v>1.72</v>
      </c>
      <c r="M27" s="2801"/>
      <c r="N27" s="2806">
        <f t="shared" si="222"/>
        <v>2.98E-2</v>
      </c>
      <c r="O27" s="2824">
        <f t="shared" ref="O27:O28" si="233">J27/100</f>
        <v>2.1099999999999997E-2</v>
      </c>
      <c r="P27" s="2824">
        <f t="shared" ref="P27:P28" si="234">K27/100</f>
        <v>3.2400000000000005E-2</v>
      </c>
      <c r="Q27" s="2824">
        <f t="shared" ref="Q27:Q28" si="235">L27/100</f>
        <v>1.72E-2</v>
      </c>
      <c r="R27" s="2807"/>
      <c r="S27" s="2806"/>
      <c r="T27" s="2802"/>
      <c r="U27" s="2802"/>
      <c r="V27" s="2802"/>
      <c r="W27" s="2801"/>
      <c r="X27" s="2801">
        <f>ROUND(SUMPRODUCT(PRODUCT(1+N27:N$40)),4)</f>
        <v>1.4034</v>
      </c>
      <c r="Y27" s="2801">
        <f>ROUND(SUMPRODUCT(PRODUCT(1+O27:O$40)),4)</f>
        <v>1.2463</v>
      </c>
      <c r="Z27" s="2801">
        <f t="shared" si="0"/>
        <v>1.2463</v>
      </c>
      <c r="AA27" s="2801">
        <f>ROUND(SUMPRODUCT(PRODUCT(1+P27:P$40)),4)</f>
        <v>1.4577</v>
      </c>
      <c r="AB27" s="2801">
        <f>ROUND(SUMPRODUCT(PRODUCT(1+Q27:Q$40)),4)</f>
        <v>1.2136</v>
      </c>
      <c r="AC27" s="2801"/>
      <c r="AD27" s="2802">
        <f>ROUND(AVERAGE(I27:I$41)/100,4)</f>
        <v>2.4899999999999999E-2</v>
      </c>
      <c r="AE27" s="2802">
        <f>ROUND(AVERAGE(J27:J$41)/100,4)</f>
        <v>1.6400000000000001E-2</v>
      </c>
      <c r="AF27" s="2802">
        <f t="shared" si="1"/>
        <v>1.6400000000000001E-2</v>
      </c>
      <c r="AG27" s="2802">
        <f>ROUND(AVERAGE(K27:K$41)/100,4)</f>
        <v>2.7799999999999998E-2</v>
      </c>
      <c r="AH27" s="2802">
        <f>ROUND(AVERAGE(L27:L$41)/100,4)</f>
        <v>1.3899999999999999E-2</v>
      </c>
    </row>
    <row r="28" spans="1:34" s="2779" customFormat="1" ht="14.45" customHeight="1">
      <c r="A28" s="2803" t="s">
        <v>2297</v>
      </c>
      <c r="B28" s="2804">
        <f t="shared" si="231"/>
        <v>419.31181600000002</v>
      </c>
      <c r="C28" s="2804">
        <f t="shared" si="231"/>
        <v>313.95436800000004</v>
      </c>
      <c r="D28" s="2804">
        <f t="shared" si="219"/>
        <v>313.95436800000004</v>
      </c>
      <c r="E28" s="2804">
        <f t="shared" si="232"/>
        <v>596.63028431999999</v>
      </c>
      <c r="F28" s="2804">
        <f t="shared" si="232"/>
        <v>274.74220703999998</v>
      </c>
      <c r="G28" s="3764"/>
      <c r="H28" s="2818">
        <v>2</v>
      </c>
      <c r="I28" s="2818">
        <v>3.4</v>
      </c>
      <c r="J28" s="2818">
        <v>2</v>
      </c>
      <c r="K28" s="2818">
        <v>3.82</v>
      </c>
      <c r="L28" s="2819">
        <v>1.68</v>
      </c>
      <c r="N28" s="2806">
        <f t="shared" si="222"/>
        <v>3.4000000000000002E-2</v>
      </c>
      <c r="O28" s="2824">
        <f t="shared" si="233"/>
        <v>0.02</v>
      </c>
      <c r="P28" s="2824">
        <f t="shared" si="234"/>
        <v>3.8199999999999998E-2</v>
      </c>
      <c r="Q28" s="2824">
        <f t="shared" si="235"/>
        <v>1.6799999999999999E-2</v>
      </c>
      <c r="S28" s="2806"/>
      <c r="T28" s="2802"/>
      <c r="U28" s="2802"/>
      <c r="V28" s="2802"/>
      <c r="X28" s="2801">
        <f>ROUND(SUMPRODUCT(PRODUCT(1+N28:N$40)),4)</f>
        <v>1.3628</v>
      </c>
      <c r="Y28" s="2801">
        <f>ROUND(SUMPRODUCT(PRODUCT(1+O28:O$40)),4)</f>
        <v>1.2205999999999999</v>
      </c>
      <c r="Z28" s="2801">
        <f t="shared" si="0"/>
        <v>1.2205999999999999</v>
      </c>
      <c r="AA28" s="2801">
        <f>ROUND(SUMPRODUCT(PRODUCT(1+P28:P$40)),4)</f>
        <v>1.4118999999999999</v>
      </c>
      <c r="AB28" s="2801">
        <f>ROUND(SUMPRODUCT(PRODUCT(1+Q28:Q$40)),4)</f>
        <v>1.1930000000000001</v>
      </c>
      <c r="AD28" s="2802">
        <f>ROUND(AVERAGE(I28:I$41)/100,4)</f>
        <v>2.46E-2</v>
      </c>
      <c r="AE28" s="2802">
        <f>ROUND(AVERAGE(J28:J$41)/100,4)</f>
        <v>1.6E-2</v>
      </c>
      <c r="AF28" s="2802">
        <f t="shared" si="1"/>
        <v>1.6E-2</v>
      </c>
      <c r="AG28" s="2802">
        <f>ROUND(AVERAGE(K28:K$41)/100,4)</f>
        <v>2.75E-2</v>
      </c>
      <c r="AH28" s="2802">
        <f>ROUND(AVERAGE(L28:L$41)/100,4)</f>
        <v>1.37E-2</v>
      </c>
    </row>
    <row r="29" spans="1:34" s="2810" customFormat="1" ht="15" customHeight="1" thickBot="1">
      <c r="A29" s="2803" t="s">
        <v>2298</v>
      </c>
      <c r="B29" s="2804">
        <f t="shared" si="231"/>
        <v>405.524</v>
      </c>
      <c r="C29" s="2804">
        <f t="shared" si="231"/>
        <v>307.79840000000002</v>
      </c>
      <c r="D29" s="2804">
        <f t="shared" si="219"/>
        <v>307.79840000000002</v>
      </c>
      <c r="E29" s="2804">
        <f t="shared" si="232"/>
        <v>574.67759999999998</v>
      </c>
      <c r="F29" s="2804">
        <f t="shared" si="232"/>
        <v>270.20280000000002</v>
      </c>
      <c r="G29" s="3765"/>
      <c r="H29" s="2805">
        <v>1</v>
      </c>
      <c r="I29" s="2805">
        <v>3.45</v>
      </c>
      <c r="J29" s="2805">
        <v>1.92</v>
      </c>
      <c r="K29" s="2805">
        <v>3.92</v>
      </c>
      <c r="L29" s="2811">
        <v>1.58</v>
      </c>
      <c r="M29" s="2801"/>
      <c r="N29" s="2808">
        <f t="shared" si="222"/>
        <v>3.4500000000000003E-2</v>
      </c>
      <c r="O29" s="2809">
        <f t="shared" ref="O29" si="236">J29/100</f>
        <v>1.9199999999999998E-2</v>
      </c>
      <c r="P29" s="2809">
        <f t="shared" ref="P29" si="237">K29/100</f>
        <v>3.9199999999999999E-2</v>
      </c>
      <c r="Q29" s="2809">
        <f t="shared" ref="Q29" si="238">L29/100</f>
        <v>1.5800000000000002E-2</v>
      </c>
      <c r="R29" s="2807"/>
      <c r="S29" s="2808">
        <f>B29/B30-1</f>
        <v>3.4499999999999975E-2</v>
      </c>
      <c r="T29" s="2809">
        <f>C29/C30-1</f>
        <v>1.9200000000000106E-2</v>
      </c>
      <c r="U29" s="2809">
        <f>E29/E30-1</f>
        <v>3.9199999999999902E-2</v>
      </c>
      <c r="V29" s="2809">
        <f>F29/F30-1</f>
        <v>1.5800000000000036E-2</v>
      </c>
      <c r="W29" s="2801"/>
      <c r="X29" s="2801">
        <f>ROUND(SUMPRODUCT(PRODUCT(1+N29:N$40)),4)</f>
        <v>1.3180000000000001</v>
      </c>
      <c r="Y29" s="2801">
        <f>ROUND(SUMPRODUCT(PRODUCT(1+O29:O$40)),4)</f>
        <v>1.1966000000000001</v>
      </c>
      <c r="Z29" s="2801">
        <f t="shared" si="0"/>
        <v>1.1966000000000001</v>
      </c>
      <c r="AA29" s="2801">
        <f>ROUND(SUMPRODUCT(PRODUCT(1+P29:P$40)),4)</f>
        <v>1.36</v>
      </c>
      <c r="AB29" s="2801">
        <f>ROUND(SUMPRODUCT(PRODUCT(1+Q29:Q$40)),4)</f>
        <v>1.1733</v>
      </c>
      <c r="AC29" s="2801"/>
      <c r="AD29" s="2802">
        <f>ROUND(AVERAGE(I29:I$41)/100,4)</f>
        <v>2.3900000000000001E-2</v>
      </c>
      <c r="AE29" s="2802">
        <f>ROUND(AVERAGE(J29:J$41)/100,4)</f>
        <v>1.5699999999999999E-2</v>
      </c>
      <c r="AF29" s="2802">
        <f t="shared" si="1"/>
        <v>1.5699999999999999E-2</v>
      </c>
      <c r="AG29" s="2802">
        <f>ROUND(AVERAGE(K29:K$41)/100,4)</f>
        <v>2.6599999999999999E-2</v>
      </c>
      <c r="AH29" s="2802">
        <f>ROUND(AVERAGE(L29:L$41)/100,4)</f>
        <v>1.34E-2</v>
      </c>
    </row>
    <row r="30" spans="1:34">
      <c r="A30" s="2803" t="s">
        <v>948</v>
      </c>
      <c r="B30" s="2825">
        <v>392</v>
      </c>
      <c r="C30" s="2825">
        <v>302</v>
      </c>
      <c r="D30" s="2825">
        <f t="shared" si="219"/>
        <v>302</v>
      </c>
      <c r="E30" s="2825">
        <v>553</v>
      </c>
      <c r="F30" s="2826">
        <v>266</v>
      </c>
      <c r="G30" s="3763">
        <v>2016</v>
      </c>
      <c r="H30" s="2812">
        <v>4</v>
      </c>
      <c r="I30" s="2812">
        <v>4.5599999999999996</v>
      </c>
      <c r="J30" s="2812">
        <v>2.15</v>
      </c>
      <c r="K30" s="2812">
        <v>5.32</v>
      </c>
      <c r="L30" s="2813">
        <v>1.57</v>
      </c>
      <c r="N30" s="2806">
        <f t="shared" si="222"/>
        <v>4.5599999999999995E-2</v>
      </c>
      <c r="O30" s="2802">
        <f t="shared" ref="O30:Q45" si="239">J30/100</f>
        <v>2.1499999999999998E-2</v>
      </c>
      <c r="P30" s="2802">
        <f t="shared" si="239"/>
        <v>5.3200000000000004E-2</v>
      </c>
      <c r="Q30" s="2802">
        <f t="shared" si="239"/>
        <v>1.5700000000000002E-2</v>
      </c>
      <c r="R30" s="2807"/>
      <c r="S30" s="2816"/>
      <c r="T30" s="2817"/>
      <c r="U30" s="2817"/>
      <c r="V30" s="2817"/>
      <c r="X30" s="2801">
        <f>ROUND(SUMPRODUCT(PRODUCT(1+N30:N$40)),4)</f>
        <v>1.274</v>
      </c>
      <c r="Y30" s="2801">
        <f>ROUND(SUMPRODUCT(PRODUCT(1+O30:O$40)),4)</f>
        <v>1.1740999999999999</v>
      </c>
      <c r="Z30" s="2801">
        <f t="shared" si="0"/>
        <v>1.1740999999999999</v>
      </c>
      <c r="AA30" s="2801">
        <f>ROUND(SUMPRODUCT(PRODUCT(1+P30:P$40)),4)</f>
        <v>1.3087</v>
      </c>
      <c r="AB30" s="2801">
        <f>ROUND(SUMPRODUCT(PRODUCT(1+Q30:Q$40)),4)</f>
        <v>1.1551</v>
      </c>
      <c r="AD30" s="2802">
        <f>ROUND(AVERAGE(I30:I$41)/100,4)</f>
        <v>2.3E-2</v>
      </c>
      <c r="AE30" s="2802">
        <f>ROUND(AVERAGE(J30:J$41)/100,4)</f>
        <v>1.55E-2</v>
      </c>
      <c r="AF30" s="2802">
        <f t="shared" si="1"/>
        <v>1.55E-2</v>
      </c>
      <c r="AG30" s="2802">
        <f>ROUND(AVERAGE(K30:K$41)/100,4)</f>
        <v>2.5600000000000001E-2</v>
      </c>
      <c r="AH30" s="2802">
        <f>ROUND(AVERAGE(L30:L$41)/100,4)</f>
        <v>1.32E-2</v>
      </c>
    </row>
    <row r="31" spans="1:34">
      <c r="A31" s="2803" t="s">
        <v>947</v>
      </c>
      <c r="B31" s="2804">
        <f t="shared" ref="B31:C33" si="240">B30/(1+N30)</f>
        <v>374.90436113236416</v>
      </c>
      <c r="C31" s="2804">
        <f t="shared" si="240"/>
        <v>295.64366128242779</v>
      </c>
      <c r="D31" s="2804">
        <f t="shared" ref="D31:D90" si="241">C31</f>
        <v>295.64366128242779</v>
      </c>
      <c r="E31" s="2804">
        <f t="shared" ref="E31:F33" si="242">E30/(1+P30)</f>
        <v>525.06646410938095</v>
      </c>
      <c r="F31" s="2804">
        <f t="shared" si="242"/>
        <v>261.88835286009646</v>
      </c>
      <c r="G31" s="3764"/>
      <c r="H31" s="2805">
        <v>3</v>
      </c>
      <c r="I31" s="2805">
        <v>4.12</v>
      </c>
      <c r="J31" s="2805">
        <v>2</v>
      </c>
      <c r="K31" s="2805">
        <v>4.79</v>
      </c>
      <c r="L31" s="2811">
        <v>1.97</v>
      </c>
      <c r="N31" s="2806">
        <f t="shared" ref="N31:Q65" si="243">I31/100</f>
        <v>4.1200000000000001E-2</v>
      </c>
      <c r="O31" s="2802">
        <f t="shared" si="239"/>
        <v>0.02</v>
      </c>
      <c r="P31" s="2802">
        <f t="shared" si="239"/>
        <v>4.7899999999999998E-2</v>
      </c>
      <c r="Q31" s="2802">
        <f t="shared" si="239"/>
        <v>1.9699999999999999E-2</v>
      </c>
      <c r="R31" s="2807"/>
      <c r="S31" s="2806"/>
      <c r="T31" s="2802"/>
      <c r="U31" s="2802"/>
      <c r="V31" s="2802"/>
      <c r="X31" s="2801">
        <f>ROUND(SUMPRODUCT(PRODUCT(1+N31:N$40)),4)</f>
        <v>1.2184999999999999</v>
      </c>
      <c r="Y31" s="2801">
        <f>ROUND(SUMPRODUCT(PRODUCT(1+O31:O$40)),4)</f>
        <v>1.1494</v>
      </c>
      <c r="Z31" s="2801">
        <f t="shared" si="0"/>
        <v>1.1494</v>
      </c>
      <c r="AA31" s="2801">
        <f>ROUND(SUMPRODUCT(PRODUCT(1+P31:P$40)),4)</f>
        <v>1.2425999999999999</v>
      </c>
      <c r="AB31" s="2801">
        <f>ROUND(SUMPRODUCT(PRODUCT(1+Q31:Q$40)),4)</f>
        <v>1.1372</v>
      </c>
      <c r="AD31" s="2802">
        <f>ROUND(AVERAGE(I31:I$41)/100,4)</f>
        <v>2.0899999999999998E-2</v>
      </c>
      <c r="AE31" s="2802">
        <f>ROUND(AVERAGE(J31:J$41)/100,4)</f>
        <v>1.49E-2</v>
      </c>
      <c r="AF31" s="2802">
        <f t="shared" si="1"/>
        <v>1.49E-2</v>
      </c>
      <c r="AG31" s="2802">
        <f>ROUND(AVERAGE(K31:K$41)/100,4)</f>
        <v>2.3099999999999999E-2</v>
      </c>
      <c r="AH31" s="2802">
        <f>ROUND(AVERAGE(L31:L$41)/100,4)</f>
        <v>1.2999999999999999E-2</v>
      </c>
    </row>
    <row r="32" spans="1:34">
      <c r="A32" s="2803" t="s">
        <v>937</v>
      </c>
      <c r="B32" s="2804">
        <f t="shared" si="240"/>
        <v>360.06949782209392</v>
      </c>
      <c r="C32" s="2804">
        <f t="shared" si="240"/>
        <v>289.84672674747821</v>
      </c>
      <c r="D32" s="2804">
        <f t="shared" si="241"/>
        <v>289.84672674747821</v>
      </c>
      <c r="E32" s="2804">
        <f t="shared" si="242"/>
        <v>501.06543001181495</v>
      </c>
      <c r="F32" s="2804">
        <f t="shared" si="242"/>
        <v>256.82882500744967</v>
      </c>
      <c r="G32" s="3764"/>
      <c r="H32" s="2818">
        <v>2</v>
      </c>
      <c r="I32" s="2818">
        <v>3.85</v>
      </c>
      <c r="J32" s="2818">
        <v>1.95</v>
      </c>
      <c r="K32" s="2818">
        <v>4.4800000000000004</v>
      </c>
      <c r="L32" s="2819">
        <v>1.41</v>
      </c>
      <c r="N32" s="2806">
        <f t="shared" si="243"/>
        <v>3.85E-2</v>
      </c>
      <c r="O32" s="2802">
        <f t="shared" si="239"/>
        <v>1.95E-2</v>
      </c>
      <c r="P32" s="2802">
        <f t="shared" si="239"/>
        <v>4.4800000000000006E-2</v>
      </c>
      <c r="Q32" s="2802">
        <f t="shared" si="239"/>
        <v>1.41E-2</v>
      </c>
      <c r="R32" s="2807"/>
      <c r="S32" s="2806"/>
      <c r="T32" s="2802"/>
      <c r="U32" s="2802"/>
      <c r="V32" s="2802"/>
      <c r="X32" s="2801">
        <f>ROUND(SUMPRODUCT(PRODUCT(1+N32:N$40)),4)</f>
        <v>1.1702999999999999</v>
      </c>
      <c r="Y32" s="2801">
        <f>ROUND(SUMPRODUCT(PRODUCT(1+O32:O$40)),4)</f>
        <v>1.1269</v>
      </c>
      <c r="Z32" s="2801">
        <f t="shared" si="0"/>
        <v>1.1269</v>
      </c>
      <c r="AA32" s="2801">
        <f>ROUND(SUMPRODUCT(PRODUCT(1+P32:P$40)),4)</f>
        <v>1.1858</v>
      </c>
      <c r="AB32" s="2801">
        <f>ROUND(SUMPRODUCT(PRODUCT(1+Q32:Q$40)),4)</f>
        <v>1.1152</v>
      </c>
      <c r="AD32" s="2802">
        <f>ROUND(AVERAGE(I32:I$41)/100,4)</f>
        <v>1.89E-2</v>
      </c>
      <c r="AE32" s="2802">
        <f>ROUND(AVERAGE(J32:J$41)/100,4)</f>
        <v>1.44E-2</v>
      </c>
      <c r="AF32" s="2802">
        <f t="shared" si="1"/>
        <v>1.44E-2</v>
      </c>
      <c r="AG32" s="2802">
        <f>ROUND(AVERAGE(K32:K$41)/100,4)</f>
        <v>2.06E-2</v>
      </c>
      <c r="AH32" s="2802">
        <f>ROUND(AVERAGE(L32:L$41)/100,4)</f>
        <v>1.23E-2</v>
      </c>
    </row>
    <row r="33" spans="1:34" ht="13.5" thickBot="1">
      <c r="A33" s="2803" t="s">
        <v>946</v>
      </c>
      <c r="B33" s="2804">
        <f t="shared" si="240"/>
        <v>346.720748986128</v>
      </c>
      <c r="C33" s="2804">
        <f t="shared" si="240"/>
        <v>284.30282172386285</v>
      </c>
      <c r="D33" s="2804">
        <f t="shared" si="241"/>
        <v>284.30282172386285</v>
      </c>
      <c r="E33" s="2804">
        <f t="shared" si="242"/>
        <v>479.58023546306947</v>
      </c>
      <c r="F33" s="2804">
        <f t="shared" si="242"/>
        <v>253.25788877571213</v>
      </c>
      <c r="G33" s="3767"/>
      <c r="H33" s="2805">
        <v>1</v>
      </c>
      <c r="I33" s="2805">
        <v>4.09</v>
      </c>
      <c r="J33" s="2805">
        <v>2.93</v>
      </c>
      <c r="K33" s="2805">
        <v>4.54</v>
      </c>
      <c r="L33" s="2811">
        <v>1.48</v>
      </c>
      <c r="N33" s="2806">
        <f t="shared" si="243"/>
        <v>4.0899999999999999E-2</v>
      </c>
      <c r="O33" s="2802">
        <f t="shared" si="239"/>
        <v>2.9300000000000003E-2</v>
      </c>
      <c r="P33" s="2802">
        <f t="shared" si="239"/>
        <v>4.5400000000000003E-2</v>
      </c>
      <c r="Q33" s="2802">
        <f t="shared" si="239"/>
        <v>1.4800000000000001E-2</v>
      </c>
      <c r="R33" s="2807"/>
      <c r="S33" s="2808">
        <f>B33/B34-1</f>
        <v>4.1203450408792808E-2</v>
      </c>
      <c r="T33" s="2809">
        <f>C33/C34-1</f>
        <v>2.6363977342465095E-2</v>
      </c>
      <c r="U33" s="2809">
        <f>E33/E34-1</f>
        <v>4.4837114298626357E-2</v>
      </c>
      <c r="V33" s="2809">
        <f>F33/F34-1</f>
        <v>1.7099954922538574E-2</v>
      </c>
      <c r="X33" s="2801">
        <f>ROUND(SUMPRODUCT(PRODUCT(1+N33:N$40)),4)</f>
        <v>1.1269</v>
      </c>
      <c r="Y33" s="2801">
        <f>ROUND(SUMPRODUCT(PRODUCT(1+O33:O$40)),4)</f>
        <v>1.1052999999999999</v>
      </c>
      <c r="Z33" s="2801">
        <f t="shared" si="0"/>
        <v>1.1052999999999999</v>
      </c>
      <c r="AA33" s="2801">
        <f>ROUND(SUMPRODUCT(PRODUCT(1+P33:P$40)),4)</f>
        <v>1.1349</v>
      </c>
      <c r="AB33" s="2801">
        <f>ROUND(SUMPRODUCT(PRODUCT(1+Q33:Q$40)),4)</f>
        <v>1.0996999999999999</v>
      </c>
      <c r="AD33" s="2802">
        <f>ROUND(AVERAGE(I33:I$41)/100,4)</f>
        <v>1.67E-2</v>
      </c>
      <c r="AE33" s="2802">
        <f>ROUND(AVERAGE(J33:J$41)/100,4)</f>
        <v>1.38E-2</v>
      </c>
      <c r="AF33" s="2802">
        <f t="shared" si="1"/>
        <v>1.38E-2</v>
      </c>
      <c r="AG33" s="2802">
        <f>ROUND(AVERAGE(K33:K$41)/100,4)</f>
        <v>1.7899999999999999E-2</v>
      </c>
      <c r="AH33" s="2802">
        <f>ROUND(AVERAGE(L33:L$41)/100,4)</f>
        <v>1.21E-2</v>
      </c>
    </row>
    <row r="34" spans="1:34" ht="13.5" thickBot="1">
      <c r="A34" s="2803" t="s">
        <v>945</v>
      </c>
      <c r="B34" s="2825">
        <v>333</v>
      </c>
      <c r="C34" s="2825">
        <v>277</v>
      </c>
      <c r="D34" s="2825">
        <f t="shared" si="241"/>
        <v>277</v>
      </c>
      <c r="E34" s="2825">
        <v>459</v>
      </c>
      <c r="F34" s="2826">
        <v>249</v>
      </c>
      <c r="G34" s="3766">
        <v>2015</v>
      </c>
      <c r="H34" s="2827">
        <v>4</v>
      </c>
      <c r="I34" s="2827">
        <v>1.63</v>
      </c>
      <c r="J34" s="2827">
        <v>1.1100000000000001</v>
      </c>
      <c r="K34" s="2827">
        <v>1.77</v>
      </c>
      <c r="L34" s="2828">
        <v>1.89</v>
      </c>
      <c r="N34" s="2822">
        <f t="shared" si="243"/>
        <v>1.6299999999999999E-2</v>
      </c>
      <c r="O34" s="2823">
        <f t="shared" si="239"/>
        <v>1.11E-2</v>
      </c>
      <c r="P34" s="2823">
        <f t="shared" si="239"/>
        <v>1.77E-2</v>
      </c>
      <c r="Q34" s="2823">
        <f t="shared" si="239"/>
        <v>1.89E-2</v>
      </c>
      <c r="R34" s="2807"/>
      <c r="X34" s="2801">
        <f>ROUND(SUMPRODUCT(PRODUCT(1+N34:N$40)),4)</f>
        <v>1.0826</v>
      </c>
      <c r="Y34" s="2801">
        <f>ROUND(SUMPRODUCT(PRODUCT(1+O34:O$40)),4)</f>
        <v>1.0738000000000001</v>
      </c>
      <c r="Z34" s="2801">
        <f t="shared" si="0"/>
        <v>1.0738000000000001</v>
      </c>
      <c r="AA34" s="2801">
        <f>ROUND(SUMPRODUCT(PRODUCT(1+P34:P$40)),4)</f>
        <v>1.0855999999999999</v>
      </c>
      <c r="AB34" s="2801">
        <f>ROUND(SUMPRODUCT(PRODUCT(1+Q34:Q$40)),4)</f>
        <v>1.0837000000000001</v>
      </c>
      <c r="AD34" s="2802">
        <f>ROUND(AVERAGE(I34:I$41)/100,4)</f>
        <v>1.37E-2</v>
      </c>
      <c r="AE34" s="2802">
        <f>ROUND(AVERAGE(J34:J$41)/100,4)</f>
        <v>1.1900000000000001E-2</v>
      </c>
      <c r="AF34" s="2802">
        <f t="shared" si="1"/>
        <v>1.1900000000000001E-2</v>
      </c>
      <c r="AG34" s="2802">
        <f>ROUND(AVERAGE(K34:K$41)/100,4)</f>
        <v>1.4500000000000001E-2</v>
      </c>
      <c r="AH34" s="2802">
        <f>ROUND(AVERAGE(L34:L$41)/100,4)</f>
        <v>1.18E-2</v>
      </c>
    </row>
    <row r="35" spans="1:34">
      <c r="A35" s="2803" t="s">
        <v>944</v>
      </c>
      <c r="B35" s="2804">
        <f t="shared" ref="B35:C37" si="244">B34/(1+N34)</f>
        <v>327.65915576109415</v>
      </c>
      <c r="C35" s="2804">
        <f t="shared" si="244"/>
        <v>273.95905449510434</v>
      </c>
      <c r="D35" s="2804">
        <f t="shared" si="241"/>
        <v>273.95905449510434</v>
      </c>
      <c r="E35" s="2804">
        <f t="shared" ref="E35:F37" si="245">E34/(1+P34)</f>
        <v>451.01699911565294</v>
      </c>
      <c r="F35" s="2804">
        <f t="shared" si="245"/>
        <v>244.38119540681129</v>
      </c>
      <c r="G35" s="3764"/>
      <c r="H35" s="2830">
        <v>3</v>
      </c>
      <c r="I35" s="2830">
        <v>1.65</v>
      </c>
      <c r="J35" s="2830">
        <v>0.92</v>
      </c>
      <c r="K35" s="2830">
        <v>1.88</v>
      </c>
      <c r="L35" s="2831">
        <v>1.26</v>
      </c>
      <c r="N35" s="2806">
        <f t="shared" si="243"/>
        <v>1.6500000000000001E-2</v>
      </c>
      <c r="O35" s="2824">
        <f t="shared" si="239"/>
        <v>9.1999999999999998E-3</v>
      </c>
      <c r="P35" s="2824">
        <f t="shared" si="239"/>
        <v>1.8799999999999997E-2</v>
      </c>
      <c r="Q35" s="2824">
        <f t="shared" si="239"/>
        <v>1.26E-2</v>
      </c>
      <c r="R35" s="2807"/>
      <c r="S35" s="2806"/>
      <c r="T35" s="2802"/>
      <c r="U35" s="2802"/>
      <c r="V35" s="2802"/>
      <c r="X35" s="2801">
        <f>ROUND(SUMPRODUCT(PRODUCT(1+N35:N$40)),4)</f>
        <v>1.0651999999999999</v>
      </c>
      <c r="Y35" s="2801">
        <f>ROUND(SUMPRODUCT(PRODUCT(1+O35:O$40)),4)</f>
        <v>1.0621</v>
      </c>
      <c r="Z35" s="2801">
        <f t="shared" si="0"/>
        <v>1.0621</v>
      </c>
      <c r="AA35" s="2801">
        <f>ROUND(SUMPRODUCT(PRODUCT(1+P35:P$40)),4)</f>
        <v>1.0668</v>
      </c>
      <c r="AB35" s="2801">
        <f>ROUND(SUMPRODUCT(PRODUCT(1+Q35:Q$40)),4)</f>
        <v>1.0636000000000001</v>
      </c>
      <c r="AD35" s="2802">
        <f>ROUND(AVERAGE(I35:I$41)/100,4)</f>
        <v>1.3299999999999999E-2</v>
      </c>
      <c r="AE35" s="2802">
        <f>ROUND(AVERAGE(J35:J$41)/100,4)</f>
        <v>1.2E-2</v>
      </c>
      <c r="AF35" s="2802">
        <f t="shared" si="1"/>
        <v>1.2E-2</v>
      </c>
      <c r="AG35" s="2802">
        <f>ROUND(AVERAGE(K35:K$41)/100,4)</f>
        <v>1.4E-2</v>
      </c>
      <c r="AH35" s="2802">
        <f>ROUND(AVERAGE(L35:L$41)/100,4)</f>
        <v>1.0800000000000001E-2</v>
      </c>
    </row>
    <row r="36" spans="1:34">
      <c r="A36" s="2803" t="s">
        <v>943</v>
      </c>
      <c r="B36" s="2804">
        <f t="shared" si="244"/>
        <v>322.34053690220776</v>
      </c>
      <c r="C36" s="2804">
        <f t="shared" si="244"/>
        <v>271.46160770422546</v>
      </c>
      <c r="D36" s="2804">
        <f t="shared" si="241"/>
        <v>271.46160770422546</v>
      </c>
      <c r="E36" s="2804">
        <f t="shared" si="245"/>
        <v>442.69434542172456</v>
      </c>
      <c r="F36" s="2804">
        <f t="shared" si="245"/>
        <v>241.34030753190925</v>
      </c>
      <c r="G36" s="3764"/>
      <c r="H36" s="2818">
        <v>2</v>
      </c>
      <c r="I36" s="2818">
        <v>0.77</v>
      </c>
      <c r="J36" s="2818">
        <v>0.69</v>
      </c>
      <c r="K36" s="2818">
        <v>0.8</v>
      </c>
      <c r="L36" s="2819">
        <v>0.88</v>
      </c>
      <c r="N36" s="2806">
        <f t="shared" si="243"/>
        <v>7.7000000000000002E-3</v>
      </c>
      <c r="O36" s="2824">
        <f t="shared" si="239"/>
        <v>6.8999999999999999E-3</v>
      </c>
      <c r="P36" s="2824">
        <f t="shared" si="239"/>
        <v>8.0000000000000002E-3</v>
      </c>
      <c r="Q36" s="2824">
        <f t="shared" si="239"/>
        <v>8.8000000000000005E-3</v>
      </c>
      <c r="R36" s="2807"/>
      <c r="S36" s="2806"/>
      <c r="T36" s="2802"/>
      <c r="U36" s="2802"/>
      <c r="V36" s="2802"/>
      <c r="X36" s="2801">
        <f>ROUND(SUMPRODUCT(PRODUCT(1+N36:N$40)),4)</f>
        <v>1.048</v>
      </c>
      <c r="Y36" s="2801">
        <f>ROUND(SUMPRODUCT(PRODUCT(1+O36:O$40)),4)</f>
        <v>1.0524</v>
      </c>
      <c r="Z36" s="2801">
        <f t="shared" si="0"/>
        <v>1.0524</v>
      </c>
      <c r="AA36" s="2801">
        <f>ROUND(SUMPRODUCT(PRODUCT(1+P36:P$40)),4)</f>
        <v>1.0470999999999999</v>
      </c>
      <c r="AB36" s="2801">
        <f>ROUND(SUMPRODUCT(PRODUCT(1+Q36:Q$40)),4)</f>
        <v>1.0504</v>
      </c>
      <c r="AD36" s="2802">
        <f>ROUND(AVERAGE(I36:I$41)/100,4)</f>
        <v>1.2800000000000001E-2</v>
      </c>
      <c r="AE36" s="2802">
        <f>ROUND(AVERAGE(J36:J$41)/100,4)</f>
        <v>1.2500000000000001E-2</v>
      </c>
      <c r="AF36" s="2802">
        <f t="shared" si="1"/>
        <v>1.2500000000000001E-2</v>
      </c>
      <c r="AG36" s="2802">
        <f>ROUND(AVERAGE(K36:K$41)/100,4)</f>
        <v>1.32E-2</v>
      </c>
      <c r="AH36" s="2802">
        <f>ROUND(AVERAGE(L36:L$41)/100,4)</f>
        <v>1.0500000000000001E-2</v>
      </c>
    </row>
    <row r="37" spans="1:34">
      <c r="A37" s="2803" t="s">
        <v>942</v>
      </c>
      <c r="B37" s="2804">
        <f t="shared" si="244"/>
        <v>319.87748030386797</v>
      </c>
      <c r="C37" s="2804">
        <f t="shared" si="244"/>
        <v>269.60135833173649</v>
      </c>
      <c r="D37" s="2804">
        <f t="shared" si="241"/>
        <v>269.60135833173649</v>
      </c>
      <c r="E37" s="2804">
        <f t="shared" si="245"/>
        <v>439.18089823583784</v>
      </c>
      <c r="F37" s="2804">
        <f t="shared" si="245"/>
        <v>239.23503918706311</v>
      </c>
      <c r="G37" s="3767"/>
      <c r="H37" s="2805">
        <v>1</v>
      </c>
      <c r="I37" s="2805">
        <v>0.51</v>
      </c>
      <c r="J37" s="2805">
        <v>0.54</v>
      </c>
      <c r="K37" s="2805">
        <v>0.48</v>
      </c>
      <c r="L37" s="2811">
        <v>0.93</v>
      </c>
      <c r="N37" s="2808">
        <f t="shared" si="243"/>
        <v>5.1000000000000004E-3</v>
      </c>
      <c r="O37" s="2809">
        <f t="shared" si="239"/>
        <v>5.4000000000000003E-3</v>
      </c>
      <c r="P37" s="2809">
        <f t="shared" si="239"/>
        <v>4.7999999999999996E-3</v>
      </c>
      <c r="Q37" s="2809">
        <f t="shared" si="239"/>
        <v>9.300000000000001E-3</v>
      </c>
      <c r="R37" s="2807"/>
      <c r="S37" s="2808">
        <f>B37/B38-1</f>
        <v>5.9040261127922822E-3</v>
      </c>
      <c r="T37" s="2809">
        <f>C37/C38-1</f>
        <v>5.9752176557332781E-3</v>
      </c>
      <c r="U37" s="2809">
        <f>E37/E38-1</f>
        <v>4.9906138119859556E-3</v>
      </c>
      <c r="V37" s="2809">
        <f>F37/F38-1</f>
        <v>9.4305450930933787E-3</v>
      </c>
      <c r="X37" s="2801">
        <f>ROUND(SUMPRODUCT(PRODUCT(1+N37:N$40)),4)</f>
        <v>1.0399</v>
      </c>
      <c r="Y37" s="2801">
        <f>ROUND(SUMPRODUCT(PRODUCT(1+O37:O$40)),4)</f>
        <v>1.0451999999999999</v>
      </c>
      <c r="Z37" s="2801">
        <f t="shared" si="0"/>
        <v>1.0451999999999999</v>
      </c>
      <c r="AA37" s="2801">
        <f>ROUND(SUMPRODUCT(PRODUCT(1+P37:P$40)),4)</f>
        <v>1.0387999999999999</v>
      </c>
      <c r="AB37" s="2801">
        <f>ROUND(SUMPRODUCT(PRODUCT(1+Q37:Q$40)),4)</f>
        <v>1.0411999999999999</v>
      </c>
      <c r="AD37" s="2802">
        <f>ROUND(AVERAGE(I37:I$41)/100,4)</f>
        <v>1.38E-2</v>
      </c>
      <c r="AE37" s="2802">
        <f>ROUND(AVERAGE(J37:J$41)/100,4)</f>
        <v>1.3599999999999999E-2</v>
      </c>
      <c r="AF37" s="2802">
        <f t="shared" si="1"/>
        <v>1.3599999999999999E-2</v>
      </c>
      <c r="AG37" s="2802">
        <f>ROUND(AVERAGE(K37:K$41)/100,4)</f>
        <v>1.4200000000000001E-2</v>
      </c>
      <c r="AH37" s="2802">
        <f>ROUND(AVERAGE(L37:L$41)/100,4)</f>
        <v>1.0800000000000001E-2</v>
      </c>
    </row>
    <row r="38" spans="1:34" ht="13.5" thickBot="1">
      <c r="A38" s="2803" t="s">
        <v>941</v>
      </c>
      <c r="B38" s="2832">
        <v>318</v>
      </c>
      <c r="C38" s="2832">
        <v>268</v>
      </c>
      <c r="D38" s="2832">
        <f t="shared" si="241"/>
        <v>268</v>
      </c>
      <c r="E38" s="2832">
        <v>437</v>
      </c>
      <c r="F38" s="2833">
        <v>237</v>
      </c>
      <c r="G38" s="3766">
        <v>2014</v>
      </c>
      <c r="H38" s="2827">
        <v>4</v>
      </c>
      <c r="I38" s="2827">
        <v>0.21</v>
      </c>
      <c r="J38" s="2827">
        <v>0.41</v>
      </c>
      <c r="K38" s="2827">
        <v>0.12</v>
      </c>
      <c r="L38" s="2828">
        <v>0.89</v>
      </c>
      <c r="N38" s="2806">
        <f t="shared" si="243"/>
        <v>2.0999999999999999E-3</v>
      </c>
      <c r="O38" s="2802">
        <f t="shared" si="239"/>
        <v>4.0999999999999995E-3</v>
      </c>
      <c r="P38" s="2802">
        <f t="shared" si="239"/>
        <v>1.1999999999999999E-3</v>
      </c>
      <c r="Q38" s="2802">
        <f t="shared" si="239"/>
        <v>8.8999999999999999E-3</v>
      </c>
      <c r="R38" s="2807"/>
      <c r="S38" s="2816"/>
      <c r="T38" s="2817"/>
      <c r="U38" s="2817"/>
      <c r="V38" s="2817"/>
      <c r="X38" s="2801">
        <f>ROUND(SUMPRODUCT(PRODUCT(1+N38:N$40)),4)</f>
        <v>1.0347</v>
      </c>
      <c r="Y38" s="2801">
        <f>ROUND(SUMPRODUCT(PRODUCT(1+O38:O$40)),4)</f>
        <v>1.0395000000000001</v>
      </c>
      <c r="Z38" s="2801">
        <f t="shared" si="0"/>
        <v>1.0395000000000001</v>
      </c>
      <c r="AA38" s="2801">
        <f>ROUND(SUMPRODUCT(PRODUCT(1+P38:P$40)),4)</f>
        <v>1.0338000000000001</v>
      </c>
      <c r="AB38" s="2801">
        <f>ROUND(SUMPRODUCT(PRODUCT(1+Q38:Q$40)),4)</f>
        <v>1.0316000000000001</v>
      </c>
      <c r="AD38" s="2802">
        <f>ROUND(AVERAGE(I38:I$41)/100,4)</f>
        <v>1.6E-2</v>
      </c>
      <c r="AE38" s="2802">
        <f>ROUND(AVERAGE(J38:J$41)/100,4)</f>
        <v>1.5599999999999999E-2</v>
      </c>
      <c r="AF38" s="2802">
        <f t="shared" si="1"/>
        <v>1.5599999999999999E-2</v>
      </c>
      <c r="AG38" s="2802">
        <f>ROUND(AVERAGE(K38:K$41)/100,4)</f>
        <v>1.66E-2</v>
      </c>
      <c r="AH38" s="2802">
        <f>ROUND(AVERAGE(L38:L$41)/100,4)</f>
        <v>1.12E-2</v>
      </c>
    </row>
    <row r="39" spans="1:34">
      <c r="A39" s="2803" t="s">
        <v>940</v>
      </c>
      <c r="B39" s="2804">
        <f t="shared" ref="B39:C41" si="246">B38/(1+N38)</f>
        <v>317.33359944117353</v>
      </c>
      <c r="C39" s="2804">
        <f t="shared" si="246"/>
        <v>266.90568668459315</v>
      </c>
      <c r="D39" s="2804">
        <f t="shared" si="241"/>
        <v>266.90568668459315</v>
      </c>
      <c r="E39" s="2804">
        <f t="shared" ref="E39:F41" si="247">E38/(1+P38)</f>
        <v>436.47622852576905</v>
      </c>
      <c r="F39" s="2804">
        <f t="shared" si="247"/>
        <v>234.90930716622066</v>
      </c>
      <c r="G39" s="3764"/>
      <c r="H39" s="2834">
        <v>3</v>
      </c>
      <c r="I39" s="2834">
        <v>0.83</v>
      </c>
      <c r="J39" s="2834">
        <v>1.47</v>
      </c>
      <c r="K39" s="2834">
        <v>0.65</v>
      </c>
      <c r="L39" s="2835">
        <v>0.72</v>
      </c>
      <c r="N39" s="2806">
        <f t="shared" si="243"/>
        <v>8.3000000000000001E-3</v>
      </c>
      <c r="O39" s="2802">
        <f t="shared" si="239"/>
        <v>1.47E-2</v>
      </c>
      <c r="P39" s="2802">
        <f t="shared" si="239"/>
        <v>6.5000000000000006E-3</v>
      </c>
      <c r="Q39" s="2802">
        <f t="shared" si="239"/>
        <v>7.1999999999999998E-3</v>
      </c>
      <c r="R39" s="2807"/>
      <c r="S39" s="2806"/>
      <c r="T39" s="2802"/>
      <c r="U39" s="2802"/>
      <c r="V39" s="2802"/>
      <c r="X39" s="2801">
        <f>ROUND(SUMPRODUCT(PRODUCT(1+N39:N$40)),4)</f>
        <v>1.0325</v>
      </c>
      <c r="Y39" s="2801">
        <f>ROUND(SUMPRODUCT(PRODUCT(1+O39:O$40)),4)</f>
        <v>1.0353000000000001</v>
      </c>
      <c r="Z39" s="2801">
        <f t="shared" ref="Z39:Z40" si="248">Y39</f>
        <v>1.0353000000000001</v>
      </c>
      <c r="AA39" s="2801">
        <f>ROUND(SUMPRODUCT(PRODUCT(1+P39:P$40)),4)</f>
        <v>1.0326</v>
      </c>
      <c r="AB39" s="2801">
        <f>ROUND(SUMPRODUCT(PRODUCT(1+Q39:Q$40)),4)</f>
        <v>1.0225</v>
      </c>
      <c r="AD39" s="2802">
        <f>ROUND(AVERAGE(I39:I$41)/100,4)</f>
        <v>2.07E-2</v>
      </c>
      <c r="AE39" s="2802">
        <f>ROUND(AVERAGE(J39:J$41)/100,4)</f>
        <v>1.95E-2</v>
      </c>
      <c r="AF39" s="2802">
        <f t="shared" si="1"/>
        <v>1.95E-2</v>
      </c>
      <c r="AG39" s="2802">
        <f>ROUND(AVERAGE(K39:K$41)/100,4)</f>
        <v>2.1700000000000001E-2</v>
      </c>
      <c r="AH39" s="2802">
        <f>ROUND(AVERAGE(L39:L$41)/100,4)</f>
        <v>1.2E-2</v>
      </c>
    </row>
    <row r="40" spans="1:34" ht="13.5" thickBot="1">
      <c r="A40" s="2803" t="s">
        <v>939</v>
      </c>
      <c r="B40" s="2804">
        <f t="shared" si="246"/>
        <v>314.72141172386546</v>
      </c>
      <c r="C40" s="2804">
        <f t="shared" si="246"/>
        <v>263.03901319069001</v>
      </c>
      <c r="D40" s="2804">
        <f t="shared" si="241"/>
        <v>263.03901319069001</v>
      </c>
      <c r="E40" s="2804">
        <f t="shared" si="247"/>
        <v>433.65745506782821</v>
      </c>
      <c r="F40" s="2804">
        <f t="shared" si="247"/>
        <v>233.23005080045735</v>
      </c>
      <c r="G40" s="3764"/>
      <c r="H40" s="2827">
        <v>2</v>
      </c>
      <c r="I40" s="2827">
        <v>2.4</v>
      </c>
      <c r="J40" s="2827">
        <v>2.0299999999999998</v>
      </c>
      <c r="K40" s="2827">
        <v>2.59</v>
      </c>
      <c r="L40" s="2828">
        <v>1.52</v>
      </c>
      <c r="N40" s="2806">
        <f t="shared" si="243"/>
        <v>2.4E-2</v>
      </c>
      <c r="O40" s="2802">
        <f t="shared" si="239"/>
        <v>2.0299999999999999E-2</v>
      </c>
      <c r="P40" s="2802">
        <f t="shared" si="239"/>
        <v>2.5899999999999999E-2</v>
      </c>
      <c r="Q40" s="2802">
        <f t="shared" si="239"/>
        <v>1.52E-2</v>
      </c>
      <c r="R40" s="2807"/>
      <c r="S40" s="2806"/>
      <c r="T40" s="2802"/>
      <c r="U40" s="2802"/>
      <c r="V40" s="2802"/>
      <c r="X40" s="2801">
        <f>1+N40</f>
        <v>1.024</v>
      </c>
      <c r="Y40" s="2801">
        <f>1+O40</f>
        <v>1.0203</v>
      </c>
      <c r="Z40" s="2801">
        <f t="shared" si="248"/>
        <v>1.0203</v>
      </c>
      <c r="AA40" s="2801">
        <f>1+P40</f>
        <v>1.0259</v>
      </c>
      <c r="AB40" s="2801">
        <f>1+Q40</f>
        <v>1.0152000000000001</v>
      </c>
      <c r="AD40" s="2802">
        <f>ROUND(AVERAGE(I40:I$41)/100,4)</f>
        <v>2.69E-2</v>
      </c>
      <c r="AE40" s="2802">
        <f>ROUND(AVERAGE(J40:J$41)/100,4)</f>
        <v>2.1899999999999999E-2</v>
      </c>
      <c r="AF40" s="2802">
        <f t="shared" ref="AF40" si="249">AE40</f>
        <v>2.1899999999999999E-2</v>
      </c>
      <c r="AG40" s="2802">
        <f>ROUND(AVERAGE(K40:K$41)/100,4)</f>
        <v>2.9399999999999999E-2</v>
      </c>
      <c r="AH40" s="2802">
        <f>ROUND(AVERAGE(L40:L$41)/100,4)</f>
        <v>1.44E-2</v>
      </c>
    </row>
    <row r="41" spans="1:34" s="2840" customFormat="1" ht="13.5" thickBot="1">
      <c r="A41" s="2836" t="s">
        <v>938</v>
      </c>
      <c r="B41" s="2837">
        <f t="shared" si="246"/>
        <v>307.34512863658733</v>
      </c>
      <c r="C41" s="2837">
        <f t="shared" si="246"/>
        <v>257.80556031626975</v>
      </c>
      <c r="D41" s="2837">
        <f t="shared" si="241"/>
        <v>257.80556031626975</v>
      </c>
      <c r="E41" s="2837">
        <f t="shared" si="247"/>
        <v>422.70928459677179</v>
      </c>
      <c r="F41" s="2837">
        <f t="shared" si="247"/>
        <v>229.73803270336617</v>
      </c>
      <c r="G41" s="3767"/>
      <c r="H41" s="2838">
        <v>1</v>
      </c>
      <c r="I41" s="2838">
        <v>2.97</v>
      </c>
      <c r="J41" s="2838">
        <v>2.34</v>
      </c>
      <c r="K41" s="2838">
        <v>3.28</v>
      </c>
      <c r="L41" s="2839">
        <v>1.36</v>
      </c>
      <c r="N41" s="2841">
        <f t="shared" si="243"/>
        <v>2.9700000000000001E-2</v>
      </c>
      <c r="O41" s="2842">
        <f t="shared" si="239"/>
        <v>2.3399999999999997E-2</v>
      </c>
      <c r="P41" s="2842">
        <f t="shared" si="239"/>
        <v>3.2799999999999996E-2</v>
      </c>
      <c r="Q41" s="2842">
        <f t="shared" si="239"/>
        <v>1.3600000000000001E-2</v>
      </c>
      <c r="R41" s="2843"/>
      <c r="S41" s="2844">
        <f>B41/B42-1</f>
        <v>2.7910129219355539E-2</v>
      </c>
      <c r="T41" s="2845">
        <f>C41/C42-1</f>
        <v>2.3037937762975247E-2</v>
      </c>
      <c r="U41" s="2845">
        <f>E41/E42-1</f>
        <v>3.3519033243940788E-2</v>
      </c>
      <c r="V41" s="2845">
        <f>F41/F42-1</f>
        <v>1.2061818076502862E-2</v>
      </c>
      <c r="W41" s="2846" t="s">
        <v>2356</v>
      </c>
      <c r="X41" s="2847">
        <v>1</v>
      </c>
      <c r="Y41" s="2847">
        <v>1</v>
      </c>
      <c r="Z41" s="2847">
        <v>1</v>
      </c>
      <c r="AA41" s="2847">
        <v>1</v>
      </c>
      <c r="AB41" s="2847">
        <v>1</v>
      </c>
      <c r="AD41" s="2842">
        <f>I41/100</f>
        <v>2.9700000000000001E-2</v>
      </c>
      <c r="AE41" s="2842">
        <f>J41/100</f>
        <v>2.3399999999999997E-2</v>
      </c>
      <c r="AF41" s="2842">
        <f>AE41</f>
        <v>2.3399999999999997E-2</v>
      </c>
      <c r="AG41" s="2842">
        <f>K41/100</f>
        <v>3.2799999999999996E-2</v>
      </c>
      <c r="AH41" s="2842">
        <f>L41/100</f>
        <v>1.3600000000000001E-2</v>
      </c>
    </row>
    <row r="42" spans="1:34" ht="13.5" thickBot="1">
      <c r="A42" s="2803" t="s">
        <v>2299</v>
      </c>
      <c r="B42" s="2825">
        <v>299</v>
      </c>
      <c r="C42" s="2825">
        <v>252</v>
      </c>
      <c r="D42" s="2825">
        <f t="shared" si="241"/>
        <v>252</v>
      </c>
      <c r="E42" s="2825">
        <v>409</v>
      </c>
      <c r="F42" s="2826">
        <v>227</v>
      </c>
      <c r="G42" s="3771">
        <v>2013</v>
      </c>
      <c r="H42" s="2848">
        <v>4</v>
      </c>
      <c r="I42" s="2848">
        <v>1.83</v>
      </c>
      <c r="J42" s="2848">
        <v>1.68</v>
      </c>
      <c r="K42" s="2848">
        <v>1.97</v>
      </c>
      <c r="L42" s="2849">
        <v>0.87</v>
      </c>
      <c r="N42" s="2822">
        <f t="shared" si="243"/>
        <v>1.83E-2</v>
      </c>
      <c r="O42" s="2823">
        <f t="shared" si="239"/>
        <v>1.6799999999999999E-2</v>
      </c>
      <c r="P42" s="2823">
        <f t="shared" si="239"/>
        <v>1.9699999999999999E-2</v>
      </c>
      <c r="Q42" s="2823">
        <f t="shared" si="239"/>
        <v>8.6999999999999994E-3</v>
      </c>
      <c r="R42" s="2807"/>
      <c r="S42" s="2816"/>
      <c r="T42" s="2817"/>
      <c r="U42" s="2817"/>
      <c r="V42" s="2817"/>
      <c r="X42" s="2817"/>
      <c r="Y42" s="2817"/>
      <c r="Z42" s="2817"/>
    </row>
    <row r="43" spans="1:34">
      <c r="A43" s="2803" t="s">
        <v>2300</v>
      </c>
      <c r="B43" s="2804">
        <f t="shared" ref="B43:C45" si="250">B42/(1+N42)</f>
        <v>293.62663262299913</v>
      </c>
      <c r="C43" s="2804">
        <f t="shared" si="250"/>
        <v>247.83634933123525</v>
      </c>
      <c r="D43" s="2804">
        <f t="shared" si="241"/>
        <v>247.83634933123525</v>
      </c>
      <c r="E43" s="2804">
        <f t="shared" ref="E43:F45" si="251">E42/(1+P42)</f>
        <v>401.09836226341076</v>
      </c>
      <c r="F43" s="2804">
        <f t="shared" si="251"/>
        <v>225.04213343908003</v>
      </c>
      <c r="G43" s="3772"/>
      <c r="H43" s="2830">
        <v>3</v>
      </c>
      <c r="I43" s="2830">
        <v>1.86</v>
      </c>
      <c r="J43" s="2830">
        <v>1.72</v>
      </c>
      <c r="K43" s="2830">
        <v>1.98</v>
      </c>
      <c r="L43" s="2831">
        <v>0.88</v>
      </c>
      <c r="N43" s="2806">
        <f t="shared" si="243"/>
        <v>1.8600000000000002E-2</v>
      </c>
      <c r="O43" s="2824">
        <f t="shared" si="239"/>
        <v>1.72E-2</v>
      </c>
      <c r="P43" s="2824">
        <f t="shared" si="239"/>
        <v>1.9799999999999998E-2</v>
      </c>
      <c r="Q43" s="2824">
        <f t="shared" si="239"/>
        <v>8.8000000000000005E-3</v>
      </c>
      <c r="R43" s="2807"/>
      <c r="S43" s="2806"/>
      <c r="T43" s="2802"/>
      <c r="U43" s="2802"/>
      <c r="V43" s="2802"/>
    </row>
    <row r="44" spans="1:34">
      <c r="A44" s="2803" t="s">
        <v>2301</v>
      </c>
      <c r="B44" s="2804">
        <f t="shared" si="250"/>
        <v>288.2649053828776</v>
      </c>
      <c r="C44" s="2804">
        <f t="shared" si="250"/>
        <v>243.64564425013293</v>
      </c>
      <c r="D44" s="2804">
        <f t="shared" si="241"/>
        <v>243.64564425013293</v>
      </c>
      <c r="E44" s="2804">
        <f t="shared" si="251"/>
        <v>393.31080825986544</v>
      </c>
      <c r="F44" s="2804">
        <f t="shared" si="251"/>
        <v>223.07903790551154</v>
      </c>
      <c r="G44" s="3772"/>
      <c r="H44" s="2818">
        <v>2</v>
      </c>
      <c r="I44" s="2818">
        <v>2.04</v>
      </c>
      <c r="J44" s="2818">
        <v>2.33</v>
      </c>
      <c r="K44" s="2818">
        <v>2.0699999999999998</v>
      </c>
      <c r="L44" s="2819">
        <v>0.69</v>
      </c>
      <c r="N44" s="2806">
        <f t="shared" si="243"/>
        <v>2.0400000000000001E-2</v>
      </c>
      <c r="O44" s="2824">
        <f t="shared" si="239"/>
        <v>2.3300000000000001E-2</v>
      </c>
      <c r="P44" s="2824">
        <f t="shared" si="239"/>
        <v>2.07E-2</v>
      </c>
      <c r="Q44" s="2824">
        <f t="shared" si="239"/>
        <v>6.8999999999999999E-3</v>
      </c>
      <c r="R44" s="2807"/>
      <c r="S44" s="2806"/>
      <c r="T44" s="2802"/>
      <c r="U44" s="2802"/>
      <c r="V44" s="2802"/>
      <c r="X44" s="2850"/>
      <c r="Y44" s="2851"/>
    </row>
    <row r="45" spans="1:34">
      <c r="A45" s="2803" t="s">
        <v>2302</v>
      </c>
      <c r="B45" s="2804">
        <f t="shared" si="250"/>
        <v>282.50186729015837</v>
      </c>
      <c r="C45" s="2804">
        <f t="shared" si="250"/>
        <v>238.09796174155468</v>
      </c>
      <c r="D45" s="2804">
        <f t="shared" si="241"/>
        <v>238.09796174155468</v>
      </c>
      <c r="E45" s="2804">
        <f t="shared" si="251"/>
        <v>385.33438646014054</v>
      </c>
      <c r="F45" s="2804">
        <f t="shared" si="251"/>
        <v>221.55034055567739</v>
      </c>
      <c r="G45" s="3773"/>
      <c r="H45" s="2805">
        <v>1</v>
      </c>
      <c r="I45" s="2805">
        <v>1.67</v>
      </c>
      <c r="J45" s="2805">
        <v>1.31</v>
      </c>
      <c r="K45" s="2805">
        <v>1.85</v>
      </c>
      <c r="L45" s="2811">
        <v>0.96</v>
      </c>
      <c r="N45" s="2808">
        <f t="shared" si="243"/>
        <v>1.67E-2</v>
      </c>
      <c r="O45" s="2809">
        <f t="shared" si="239"/>
        <v>1.3100000000000001E-2</v>
      </c>
      <c r="P45" s="2809">
        <f t="shared" si="239"/>
        <v>1.8500000000000003E-2</v>
      </c>
      <c r="Q45" s="2809">
        <f t="shared" si="239"/>
        <v>9.5999999999999992E-3</v>
      </c>
      <c r="R45" s="2807"/>
      <c r="S45" s="2808">
        <f>B45/B46-1</f>
        <v>1.6193767230785472E-2</v>
      </c>
      <c r="T45" s="2809">
        <f>C45/C46-1</f>
        <v>1.7512657015190891E-2</v>
      </c>
      <c r="U45" s="2809">
        <f>E45/E46-1</f>
        <v>1.6713420739157048E-2</v>
      </c>
      <c r="V45" s="2809">
        <f>F45/F46-1</f>
        <v>7.0470025258062563E-3</v>
      </c>
      <c r="X45" s="2852"/>
      <c r="Y45" s="2802"/>
      <c r="Z45" s="2802"/>
    </row>
    <row r="46" spans="1:34" ht="13.5" thickBot="1">
      <c r="A46" s="2803" t="s">
        <v>2303</v>
      </c>
      <c r="B46" s="2853">
        <v>278</v>
      </c>
      <c r="C46" s="2853">
        <v>234</v>
      </c>
      <c r="D46" s="2853">
        <f t="shared" si="241"/>
        <v>234</v>
      </c>
      <c r="E46" s="2853">
        <v>379</v>
      </c>
      <c r="F46" s="2854">
        <v>220</v>
      </c>
      <c r="G46" s="3766">
        <v>2012</v>
      </c>
      <c r="H46" s="2827">
        <v>4</v>
      </c>
      <c r="I46" s="2827">
        <v>0.91</v>
      </c>
      <c r="J46" s="2827">
        <v>0.68</v>
      </c>
      <c r="K46" s="2827">
        <v>0.98</v>
      </c>
      <c r="L46" s="2828">
        <v>0.9</v>
      </c>
      <c r="N46" s="2806">
        <f t="shared" si="243"/>
        <v>9.1000000000000004E-3</v>
      </c>
      <c r="O46" s="2802">
        <f t="shared" si="243"/>
        <v>6.8000000000000005E-3</v>
      </c>
      <c r="P46" s="2802">
        <f t="shared" si="243"/>
        <v>9.7999999999999997E-3</v>
      </c>
      <c r="Q46" s="2802">
        <f t="shared" si="243"/>
        <v>9.0000000000000011E-3</v>
      </c>
      <c r="R46" s="2807"/>
      <c r="S46" s="2816"/>
      <c r="T46" s="2817"/>
      <c r="U46" s="2817"/>
      <c r="V46" s="2817"/>
      <c r="X46" s="2817"/>
      <c r="Y46" s="2817"/>
      <c r="Z46" s="2817"/>
    </row>
    <row r="47" spans="1:34">
      <c r="A47" s="2803" t="s">
        <v>2304</v>
      </c>
      <c r="B47" s="2804">
        <f>B46/(1+N46)</f>
        <v>275.49301357645425</v>
      </c>
      <c r="C47" s="2804">
        <f>C46/(1+O46)</f>
        <v>232.41954707985698</v>
      </c>
      <c r="D47" s="2804">
        <f t="shared" si="241"/>
        <v>232.41954707985698</v>
      </c>
      <c r="E47" s="2804">
        <f t="shared" ref="E47:F49" si="252">E46/(1+P46)</f>
        <v>375.32184591008121</v>
      </c>
      <c r="F47" s="2804">
        <f t="shared" si="252"/>
        <v>218.03766105054513</v>
      </c>
      <c r="G47" s="3764"/>
      <c r="H47" s="2830">
        <v>3</v>
      </c>
      <c r="I47" s="2830">
        <v>0.09</v>
      </c>
      <c r="J47" s="2830">
        <v>0.28999999999999998</v>
      </c>
      <c r="K47" s="2830">
        <v>-0.01</v>
      </c>
      <c r="L47" s="2831">
        <v>0.57999999999999996</v>
      </c>
      <c r="N47" s="2806">
        <f t="shared" si="243"/>
        <v>8.9999999999999998E-4</v>
      </c>
      <c r="O47" s="2802">
        <f t="shared" si="243"/>
        <v>2.8999999999999998E-3</v>
      </c>
      <c r="P47" s="2802">
        <f t="shared" si="243"/>
        <v>-1E-4</v>
      </c>
      <c r="Q47" s="2802">
        <f t="shared" si="243"/>
        <v>5.7999999999999996E-3</v>
      </c>
      <c r="R47" s="2807"/>
      <c r="S47" s="2806"/>
      <c r="T47" s="2802"/>
      <c r="U47" s="2802"/>
      <c r="V47" s="2802"/>
    </row>
    <row r="48" spans="1:34">
      <c r="A48" s="2803" t="s">
        <v>2305</v>
      </c>
      <c r="B48" s="2804">
        <f>B47/(1+N47)</f>
        <v>275.24529281292263</v>
      </c>
      <c r="C48" s="2804">
        <f>C47/(1+O47)</f>
        <v>231.74747938962707</v>
      </c>
      <c r="D48" s="2804">
        <f t="shared" si="241"/>
        <v>231.74747938962707</v>
      </c>
      <c r="E48" s="2804">
        <f t="shared" si="252"/>
        <v>375.35938184826603</v>
      </c>
      <c r="F48" s="2804">
        <f t="shared" si="252"/>
        <v>216.78033510692495</v>
      </c>
      <c r="G48" s="3764"/>
      <c r="H48" s="2818">
        <v>2</v>
      </c>
      <c r="I48" s="2818">
        <v>0.02</v>
      </c>
      <c r="J48" s="2818">
        <v>0.12</v>
      </c>
      <c r="K48" s="2818">
        <v>-0.08</v>
      </c>
      <c r="L48" s="2819">
        <v>1.24</v>
      </c>
      <c r="N48" s="2806">
        <f t="shared" si="243"/>
        <v>2.0000000000000001E-4</v>
      </c>
      <c r="O48" s="2802">
        <f t="shared" si="243"/>
        <v>1.1999999999999999E-3</v>
      </c>
      <c r="P48" s="2802">
        <f t="shared" si="243"/>
        <v>-8.0000000000000004E-4</v>
      </c>
      <c r="Q48" s="2802">
        <f t="shared" si="243"/>
        <v>1.24E-2</v>
      </c>
      <c r="R48" s="2807"/>
      <c r="S48" s="2806"/>
      <c r="T48" s="2802"/>
      <c r="U48" s="2802"/>
      <c r="V48" s="2802"/>
    </row>
    <row r="49" spans="1:26" ht="13.5" thickBot="1">
      <c r="A49" s="2803" t="s">
        <v>2306</v>
      </c>
      <c r="B49" s="2804">
        <f>B48/(1+N48)</f>
        <v>275.19025476197027</v>
      </c>
      <c r="C49" s="2855">
        <v>232</v>
      </c>
      <c r="D49" s="2855">
        <f t="shared" si="241"/>
        <v>232</v>
      </c>
      <c r="E49" s="2804">
        <f t="shared" si="252"/>
        <v>375.65990977608692</v>
      </c>
      <c r="F49" s="2804">
        <f t="shared" si="252"/>
        <v>214.12518283971252</v>
      </c>
      <c r="G49" s="3767"/>
      <c r="H49" s="2805">
        <v>1</v>
      </c>
      <c r="I49" s="2805">
        <v>0.02</v>
      </c>
      <c r="J49" s="2805">
        <v>0.13</v>
      </c>
      <c r="K49" s="2805">
        <v>-0.04</v>
      </c>
      <c r="L49" s="2811">
        <v>0.46</v>
      </c>
      <c r="N49" s="2806">
        <f t="shared" si="243"/>
        <v>2.0000000000000001E-4</v>
      </c>
      <c r="O49" s="2802">
        <f t="shared" si="243"/>
        <v>1.2999999999999999E-3</v>
      </c>
      <c r="P49" s="2802">
        <f t="shared" si="243"/>
        <v>-4.0000000000000002E-4</v>
      </c>
      <c r="Q49" s="2802">
        <f t="shared" si="243"/>
        <v>4.5999999999999999E-3</v>
      </c>
      <c r="R49" s="2807"/>
      <c r="S49" s="2808">
        <f>B49/B50-1</f>
        <v>6.9183549807361189E-4</v>
      </c>
      <c r="T49" s="2809">
        <f>C49/C50-1</f>
        <v>0</v>
      </c>
      <c r="U49" s="2809">
        <f>E49/E50-1</f>
        <v>-9.0449527636460303E-4</v>
      </c>
      <c r="V49" s="2809">
        <f>F49/F50-1</f>
        <v>5.2825485432512753E-3</v>
      </c>
      <c r="X49" s="2802"/>
      <c r="Y49" s="2802"/>
      <c r="Z49" s="2802"/>
    </row>
    <row r="50" spans="1:26" ht="13.5" thickBot="1">
      <c r="A50" s="2803" t="s">
        <v>2307</v>
      </c>
      <c r="B50" s="2825">
        <v>275</v>
      </c>
      <c r="C50" s="2825">
        <v>232</v>
      </c>
      <c r="D50" s="2825">
        <f t="shared" si="241"/>
        <v>232</v>
      </c>
      <c r="E50" s="2825">
        <v>376</v>
      </c>
      <c r="F50" s="2826">
        <v>213</v>
      </c>
      <c r="G50" s="3766">
        <v>2011</v>
      </c>
      <c r="H50" s="2827">
        <v>4</v>
      </c>
      <c r="I50" s="2827">
        <v>-0.2</v>
      </c>
      <c r="J50" s="2827">
        <v>0.04</v>
      </c>
      <c r="K50" s="2827">
        <v>-0.34</v>
      </c>
      <c r="L50" s="2828">
        <v>0.46</v>
      </c>
      <c r="N50" s="2822">
        <f t="shared" si="243"/>
        <v>-2E-3</v>
      </c>
      <c r="O50" s="2823">
        <f t="shared" si="243"/>
        <v>4.0000000000000002E-4</v>
      </c>
      <c r="P50" s="2823">
        <f t="shared" si="243"/>
        <v>-3.4000000000000002E-3</v>
      </c>
      <c r="Q50" s="2823">
        <f t="shared" si="243"/>
        <v>4.5999999999999999E-3</v>
      </c>
      <c r="R50" s="2807"/>
      <c r="S50" s="2816"/>
      <c r="T50" s="2817"/>
      <c r="U50" s="2817"/>
      <c r="V50" s="2817"/>
      <c r="X50" s="2817"/>
      <c r="Y50" s="2817"/>
      <c r="Z50" s="2817"/>
    </row>
    <row r="51" spans="1:26">
      <c r="A51" s="2803" t="s">
        <v>2308</v>
      </c>
      <c r="B51" s="2804">
        <f t="shared" ref="B51:C53" si="253">B50/(1+N50)</f>
        <v>275.55110220440883</v>
      </c>
      <c r="C51" s="2804">
        <f t="shared" si="253"/>
        <v>231.90723710515795</v>
      </c>
      <c r="D51" s="2804">
        <f t="shared" si="241"/>
        <v>231.90723710515795</v>
      </c>
      <c r="E51" s="2804">
        <f t="shared" ref="E51:F53" si="254">E50/(1+P50)</f>
        <v>377.28276138872161</v>
      </c>
      <c r="F51" s="2804">
        <f t="shared" si="254"/>
        <v>212.02468644236512</v>
      </c>
      <c r="G51" s="3764">
        <v>2011</v>
      </c>
      <c r="H51" s="2830">
        <v>3</v>
      </c>
      <c r="I51" s="2830">
        <v>0.13</v>
      </c>
      <c r="J51" s="2830">
        <v>0.75</v>
      </c>
      <c r="K51" s="2830">
        <v>-0.08</v>
      </c>
      <c r="L51" s="2831">
        <v>0.53</v>
      </c>
      <c r="N51" s="2806">
        <f t="shared" si="243"/>
        <v>1.2999999999999999E-3</v>
      </c>
      <c r="O51" s="2824">
        <f t="shared" si="243"/>
        <v>7.4999999999999997E-3</v>
      </c>
      <c r="P51" s="2824">
        <f t="shared" si="243"/>
        <v>-8.0000000000000004E-4</v>
      </c>
      <c r="Q51" s="2824">
        <f t="shared" si="243"/>
        <v>5.3E-3</v>
      </c>
      <c r="R51" s="2807"/>
      <c r="S51" s="2806"/>
      <c r="T51" s="2802"/>
      <c r="U51" s="2802"/>
      <c r="V51" s="2802"/>
    </row>
    <row r="52" spans="1:26">
      <c r="A52" s="2803" t="s">
        <v>2309</v>
      </c>
      <c r="B52" s="2804">
        <f t="shared" si="253"/>
        <v>275.19335084830601</v>
      </c>
      <c r="C52" s="2804">
        <f t="shared" si="253"/>
        <v>230.18088050139744</v>
      </c>
      <c r="D52" s="2804">
        <f t="shared" si="241"/>
        <v>230.18088050139744</v>
      </c>
      <c r="E52" s="2804">
        <f t="shared" si="254"/>
        <v>377.58482925212331</v>
      </c>
      <c r="F52" s="2804">
        <f t="shared" si="254"/>
        <v>210.90687997847917</v>
      </c>
      <c r="G52" s="3764">
        <v>2011</v>
      </c>
      <c r="H52" s="2818">
        <v>2</v>
      </c>
      <c r="I52" s="2818">
        <v>-0.4</v>
      </c>
      <c r="J52" s="2818">
        <v>0.17</v>
      </c>
      <c r="K52" s="2818">
        <v>-0.57999999999999996</v>
      </c>
      <c r="L52" s="2819">
        <v>-0.2</v>
      </c>
      <c r="N52" s="2806">
        <f t="shared" si="243"/>
        <v>-4.0000000000000001E-3</v>
      </c>
      <c r="O52" s="2824">
        <f t="shared" si="243"/>
        <v>1.7000000000000001E-3</v>
      </c>
      <c r="P52" s="2824">
        <f t="shared" si="243"/>
        <v>-5.7999999999999996E-3</v>
      </c>
      <c r="Q52" s="2824">
        <f t="shared" si="243"/>
        <v>-2E-3</v>
      </c>
      <c r="R52" s="2807"/>
      <c r="S52" s="2806"/>
      <c r="T52" s="2802"/>
      <c r="U52" s="2802"/>
      <c r="V52" s="2802"/>
    </row>
    <row r="53" spans="1:26" ht="13.5" thickBot="1">
      <c r="A53" s="2803" t="s">
        <v>2310</v>
      </c>
      <c r="B53" s="2804">
        <f t="shared" si="253"/>
        <v>276.29854502841971</v>
      </c>
      <c r="C53" s="2804">
        <f t="shared" si="253"/>
        <v>229.79023709833027</v>
      </c>
      <c r="D53" s="2804">
        <f t="shared" si="241"/>
        <v>229.79023709833027</v>
      </c>
      <c r="E53" s="2804">
        <f t="shared" si="254"/>
        <v>379.78759731655936</v>
      </c>
      <c r="F53" s="2804">
        <f t="shared" si="254"/>
        <v>211.32953905659235</v>
      </c>
      <c r="G53" s="3767">
        <v>2011</v>
      </c>
      <c r="H53" s="2805">
        <v>1</v>
      </c>
      <c r="I53" s="2805">
        <v>2.65</v>
      </c>
      <c r="J53" s="2805">
        <v>3.76</v>
      </c>
      <c r="K53" s="2805">
        <v>1.89</v>
      </c>
      <c r="L53" s="2811">
        <v>7.95</v>
      </c>
      <c r="N53" s="2808">
        <f t="shared" si="243"/>
        <v>2.6499999999999999E-2</v>
      </c>
      <c r="O53" s="2809">
        <f t="shared" si="243"/>
        <v>3.7599999999999995E-2</v>
      </c>
      <c r="P53" s="2809">
        <f t="shared" si="243"/>
        <v>1.89E-2</v>
      </c>
      <c r="Q53" s="2809">
        <f t="shared" si="243"/>
        <v>7.9500000000000001E-2</v>
      </c>
      <c r="R53" s="2807"/>
      <c r="S53" s="2808">
        <f>B53/B54-1</f>
        <v>2.713213765211786E-2</v>
      </c>
      <c r="T53" s="2809">
        <f>C53/C54-1</f>
        <v>3.9774828499231862E-2</v>
      </c>
      <c r="U53" s="2809">
        <f>E53/E54-1</f>
        <v>1.8197311840641772E-2</v>
      </c>
      <c r="V53" s="2809">
        <f>F53/F54-1</f>
        <v>7.8211933962205826E-2</v>
      </c>
      <c r="X53" s="2802"/>
      <c r="Y53" s="2802"/>
      <c r="Z53" s="2802"/>
    </row>
    <row r="54" spans="1:26" ht="13.5" thickBot="1">
      <c r="A54" s="2803" t="s">
        <v>2311</v>
      </c>
      <c r="B54" s="2825">
        <v>269</v>
      </c>
      <c r="C54" s="2825">
        <v>221</v>
      </c>
      <c r="D54" s="2825">
        <f t="shared" si="241"/>
        <v>221</v>
      </c>
      <c r="E54" s="2825">
        <v>373</v>
      </c>
      <c r="F54" s="2826">
        <v>196</v>
      </c>
      <c r="G54" s="3766">
        <v>2010</v>
      </c>
      <c r="H54" s="2827">
        <v>4</v>
      </c>
      <c r="I54" s="2827">
        <v>5.72</v>
      </c>
      <c r="J54" s="2827">
        <v>6.57</v>
      </c>
      <c r="K54" s="2827">
        <v>5.72</v>
      </c>
      <c r="L54" s="2828">
        <v>2.72</v>
      </c>
      <c r="N54" s="2806">
        <f t="shared" si="243"/>
        <v>5.7200000000000001E-2</v>
      </c>
      <c r="O54" s="2802">
        <f t="shared" si="243"/>
        <v>6.5700000000000008E-2</v>
      </c>
      <c r="P54" s="2802">
        <f t="shared" si="243"/>
        <v>5.7200000000000001E-2</v>
      </c>
      <c r="Q54" s="2802">
        <f t="shared" si="243"/>
        <v>2.7200000000000002E-2</v>
      </c>
      <c r="R54" s="2807"/>
      <c r="S54" s="2816"/>
      <c r="T54" s="2817"/>
      <c r="U54" s="2817"/>
      <c r="V54" s="2817"/>
      <c r="X54" s="2817"/>
      <c r="Y54" s="2817"/>
      <c r="Z54" s="2817"/>
    </row>
    <row r="55" spans="1:26">
      <c r="A55" s="2803" t="s">
        <v>2312</v>
      </c>
      <c r="B55" s="2804">
        <f t="shared" ref="B55:C57" si="255">B54/(1+N54)</f>
        <v>254.44570563753314</v>
      </c>
      <c r="C55" s="2804">
        <f t="shared" si="255"/>
        <v>207.37543398705074</v>
      </c>
      <c r="D55" s="2804">
        <f t="shared" si="241"/>
        <v>207.37543398705074</v>
      </c>
      <c r="E55" s="2804">
        <f t="shared" ref="E55:F57" si="256">E54/(1+P54)</f>
        <v>352.81876655315932</v>
      </c>
      <c r="F55" s="2804">
        <f t="shared" si="256"/>
        <v>190.809968847352</v>
      </c>
      <c r="G55" s="3764">
        <v>2010</v>
      </c>
      <c r="H55" s="2830">
        <v>3</v>
      </c>
      <c r="I55" s="2830">
        <v>4.7300000000000004</v>
      </c>
      <c r="J55" s="2830">
        <v>3.9</v>
      </c>
      <c r="K55" s="2830">
        <v>5.03</v>
      </c>
      <c r="L55" s="2831">
        <v>4.21</v>
      </c>
      <c r="N55" s="2806">
        <f t="shared" si="243"/>
        <v>4.7300000000000002E-2</v>
      </c>
      <c r="O55" s="2802">
        <f t="shared" si="243"/>
        <v>3.9E-2</v>
      </c>
      <c r="P55" s="2802">
        <f t="shared" si="243"/>
        <v>5.0300000000000004E-2</v>
      </c>
      <c r="Q55" s="2802">
        <f t="shared" si="243"/>
        <v>4.2099999999999999E-2</v>
      </c>
      <c r="R55" s="2807"/>
      <c r="S55" s="2806"/>
      <c r="T55" s="2802"/>
      <c r="U55" s="2802"/>
      <c r="V55" s="2802"/>
    </row>
    <row r="56" spans="1:26">
      <c r="A56" s="2803" t="s">
        <v>2313</v>
      </c>
      <c r="B56" s="2804">
        <f t="shared" si="255"/>
        <v>242.95398227588385</v>
      </c>
      <c r="C56" s="2804">
        <f t="shared" si="255"/>
        <v>199.59137053614126</v>
      </c>
      <c r="D56" s="2804">
        <f t="shared" si="241"/>
        <v>199.59137053614126</v>
      </c>
      <c r="E56" s="2804">
        <f t="shared" si="256"/>
        <v>335.92189522342125</v>
      </c>
      <c r="F56" s="2804">
        <f t="shared" si="256"/>
        <v>183.10139991109489</v>
      </c>
      <c r="G56" s="3764">
        <v>2010</v>
      </c>
      <c r="H56" s="2818">
        <v>2</v>
      </c>
      <c r="I56" s="2818">
        <v>4.6900000000000004</v>
      </c>
      <c r="J56" s="2818">
        <v>3.55</v>
      </c>
      <c r="K56" s="2818">
        <v>5.07</v>
      </c>
      <c r="L56" s="2819">
        <v>4.2300000000000004</v>
      </c>
      <c r="N56" s="2806">
        <f t="shared" si="243"/>
        <v>4.6900000000000004E-2</v>
      </c>
      <c r="O56" s="2802">
        <f t="shared" si="243"/>
        <v>3.5499999999999997E-2</v>
      </c>
      <c r="P56" s="2802">
        <f t="shared" si="243"/>
        <v>5.0700000000000002E-2</v>
      </c>
      <c r="Q56" s="2802">
        <f t="shared" si="243"/>
        <v>4.2300000000000004E-2</v>
      </c>
      <c r="R56" s="2807"/>
      <c r="S56" s="2806"/>
      <c r="T56" s="2802"/>
      <c r="U56" s="2802"/>
      <c r="V56" s="2802"/>
    </row>
    <row r="57" spans="1:26" ht="13.5" thickBot="1">
      <c r="A57" s="2803" t="s">
        <v>2314</v>
      </c>
      <c r="B57" s="2804">
        <f t="shared" si="255"/>
        <v>232.06990378821649</v>
      </c>
      <c r="C57" s="2804">
        <f t="shared" si="255"/>
        <v>192.74878854286936</v>
      </c>
      <c r="D57" s="2804">
        <f t="shared" si="241"/>
        <v>192.74878854286936</v>
      </c>
      <c r="E57" s="2804">
        <f t="shared" si="256"/>
        <v>319.71247284992984</v>
      </c>
      <c r="F57" s="2804">
        <f t="shared" si="256"/>
        <v>175.67053622862409</v>
      </c>
      <c r="G57" s="3767">
        <v>2010</v>
      </c>
      <c r="H57" s="2805">
        <v>1</v>
      </c>
      <c r="I57" s="2805">
        <v>5.4</v>
      </c>
      <c r="J57" s="2805">
        <v>3.2</v>
      </c>
      <c r="K57" s="2805">
        <v>6.16</v>
      </c>
      <c r="L57" s="2811">
        <v>4.51</v>
      </c>
      <c r="N57" s="2806">
        <f t="shared" si="243"/>
        <v>5.4000000000000006E-2</v>
      </c>
      <c r="O57" s="2802">
        <f t="shared" si="243"/>
        <v>3.2000000000000001E-2</v>
      </c>
      <c r="P57" s="2802">
        <f t="shared" si="243"/>
        <v>6.1600000000000002E-2</v>
      </c>
      <c r="Q57" s="2802">
        <f t="shared" si="243"/>
        <v>4.5100000000000001E-2</v>
      </c>
      <c r="R57" s="2807"/>
      <c r="S57" s="2808">
        <f>B57/B58-1</f>
        <v>5.4863199037347599E-2</v>
      </c>
      <c r="T57" s="2809">
        <f>C57/C58-1</f>
        <v>3.0742184721226584E-2</v>
      </c>
      <c r="U57" s="2809">
        <f>E57/E58-1</f>
        <v>6.2167683886810154E-2</v>
      </c>
      <c r="V57" s="2809">
        <f>F57/F58-1</f>
        <v>4.5657953741810031E-2</v>
      </c>
      <c r="X57" s="2802"/>
      <c r="Y57" s="2802"/>
      <c r="Z57" s="2802"/>
    </row>
    <row r="58" spans="1:26" ht="13.5" thickBot="1">
      <c r="A58" s="2803" t="s">
        <v>2315</v>
      </c>
      <c r="B58" s="2825">
        <v>220</v>
      </c>
      <c r="C58" s="2825">
        <v>187</v>
      </c>
      <c r="D58" s="2825">
        <f t="shared" si="241"/>
        <v>187</v>
      </c>
      <c r="E58" s="2825">
        <v>301</v>
      </c>
      <c r="F58" s="2826">
        <v>168</v>
      </c>
      <c r="G58" s="3766">
        <v>2009</v>
      </c>
      <c r="H58" s="2827">
        <v>4</v>
      </c>
      <c r="I58" s="2827">
        <v>2.2999999999999998</v>
      </c>
      <c r="J58" s="2827">
        <v>1.04</v>
      </c>
      <c r="K58" s="2827">
        <v>2.84</v>
      </c>
      <c r="L58" s="2828">
        <v>0.67</v>
      </c>
      <c r="N58" s="2822">
        <f t="shared" si="243"/>
        <v>2.3E-2</v>
      </c>
      <c r="O58" s="2823">
        <f t="shared" si="243"/>
        <v>1.04E-2</v>
      </c>
      <c r="P58" s="2823">
        <f t="shared" si="243"/>
        <v>2.8399999999999998E-2</v>
      </c>
      <c r="Q58" s="2823">
        <f t="shared" si="243"/>
        <v>6.7000000000000002E-3</v>
      </c>
      <c r="R58" s="2807"/>
      <c r="S58" s="2816"/>
      <c r="T58" s="2817"/>
      <c r="U58" s="2817"/>
      <c r="V58" s="2817"/>
      <c r="X58" s="2817"/>
      <c r="Y58" s="2817"/>
      <c r="Z58" s="2817"/>
    </row>
    <row r="59" spans="1:26">
      <c r="A59" s="2803" t="s">
        <v>2316</v>
      </c>
      <c r="B59" s="2804">
        <f t="shared" ref="B59:C61" si="257">B58/(1+N58)</f>
        <v>215.05376344086022</v>
      </c>
      <c r="C59" s="2804">
        <f t="shared" si="257"/>
        <v>185.0752177355503</v>
      </c>
      <c r="D59" s="2804">
        <f t="shared" si="241"/>
        <v>185.0752177355503</v>
      </c>
      <c r="E59" s="2804">
        <f t="shared" ref="E59:F61" si="258">E58/(1+P58)</f>
        <v>292.68767016725008</v>
      </c>
      <c r="F59" s="2804">
        <f t="shared" si="258"/>
        <v>166.88189132810174</v>
      </c>
      <c r="G59" s="3764">
        <v>2009</v>
      </c>
      <c r="H59" s="2830">
        <v>3</v>
      </c>
      <c r="I59" s="2830">
        <v>2.1</v>
      </c>
      <c r="J59" s="2830">
        <v>1.86</v>
      </c>
      <c r="K59" s="2830">
        <v>2.29</v>
      </c>
      <c r="L59" s="2831">
        <v>0.85</v>
      </c>
      <c r="N59" s="2806">
        <f t="shared" si="243"/>
        <v>2.1000000000000001E-2</v>
      </c>
      <c r="O59" s="2824">
        <f t="shared" si="243"/>
        <v>1.8600000000000002E-2</v>
      </c>
      <c r="P59" s="2824">
        <f t="shared" si="243"/>
        <v>2.29E-2</v>
      </c>
      <c r="Q59" s="2824">
        <f t="shared" si="243"/>
        <v>8.5000000000000006E-3</v>
      </c>
      <c r="R59" s="2807"/>
      <c r="S59" s="2806"/>
      <c r="T59" s="2802"/>
      <c r="U59" s="2802"/>
      <c r="V59" s="2802"/>
    </row>
    <row r="60" spans="1:26">
      <c r="A60" s="2803" t="s">
        <v>2317</v>
      </c>
      <c r="B60" s="2804">
        <f t="shared" si="257"/>
        <v>210.630522469011</v>
      </c>
      <c r="C60" s="2804">
        <f t="shared" si="257"/>
        <v>181.69567812247232</v>
      </c>
      <c r="D60" s="2804">
        <f t="shared" si="241"/>
        <v>181.69567812247232</v>
      </c>
      <c r="E60" s="2804">
        <f t="shared" si="258"/>
        <v>286.13517466736738</v>
      </c>
      <c r="F60" s="2804">
        <f t="shared" si="258"/>
        <v>165.47535084591149</v>
      </c>
      <c r="G60" s="3764">
        <v>2009</v>
      </c>
      <c r="H60" s="2818">
        <v>2</v>
      </c>
      <c r="I60" s="2818">
        <v>0.86</v>
      </c>
      <c r="J60" s="2818">
        <v>-1.1299999999999999</v>
      </c>
      <c r="K60" s="2818">
        <v>1.79</v>
      </c>
      <c r="L60" s="2819">
        <v>-2.0699999999999998</v>
      </c>
      <c r="N60" s="2806">
        <f t="shared" si="243"/>
        <v>8.6E-3</v>
      </c>
      <c r="O60" s="2824">
        <f t="shared" si="243"/>
        <v>-1.1299999999999999E-2</v>
      </c>
      <c r="P60" s="2824">
        <f t="shared" si="243"/>
        <v>1.7899999999999999E-2</v>
      </c>
      <c r="Q60" s="2824">
        <f t="shared" si="243"/>
        <v>-2.07E-2</v>
      </c>
      <c r="R60" s="2807"/>
      <c r="S60" s="2806"/>
      <c r="T60" s="2802"/>
      <c r="U60" s="2802"/>
      <c r="V60" s="2802"/>
    </row>
    <row r="61" spans="1:26">
      <c r="A61" s="2803" t="s">
        <v>2318</v>
      </c>
      <c r="B61" s="2804">
        <f t="shared" si="257"/>
        <v>208.83454537875372</v>
      </c>
      <c r="C61" s="2804">
        <f t="shared" si="257"/>
        <v>183.77230517090351</v>
      </c>
      <c r="D61" s="2804">
        <f t="shared" si="241"/>
        <v>183.77230517090351</v>
      </c>
      <c r="E61" s="2804">
        <f t="shared" si="258"/>
        <v>281.10342338870947</v>
      </c>
      <c r="F61" s="2804">
        <f t="shared" si="258"/>
        <v>168.97309388942256</v>
      </c>
      <c r="G61" s="3767">
        <v>2009</v>
      </c>
      <c r="H61" s="2805">
        <v>1</v>
      </c>
      <c r="I61" s="2805">
        <v>-2.64</v>
      </c>
      <c r="J61" s="2805">
        <v>-2.5299999999999998</v>
      </c>
      <c r="K61" s="2805">
        <v>-3.02</v>
      </c>
      <c r="L61" s="2811">
        <v>1.52</v>
      </c>
      <c r="N61" s="2808">
        <f t="shared" si="243"/>
        <v>-2.64E-2</v>
      </c>
      <c r="O61" s="2809">
        <f t="shared" si="243"/>
        <v>-2.53E-2</v>
      </c>
      <c r="P61" s="2809">
        <f t="shared" si="243"/>
        <v>-3.0200000000000001E-2</v>
      </c>
      <c r="Q61" s="2809">
        <f t="shared" si="243"/>
        <v>1.52E-2</v>
      </c>
      <c r="R61" s="2807"/>
      <c r="S61" s="2808">
        <f>B61/B62-1</f>
        <v>-2.4137638417038754E-2</v>
      </c>
      <c r="T61" s="2809">
        <f>C61/C62-1</f>
        <v>-2.248773845264096E-2</v>
      </c>
      <c r="U61" s="2809">
        <f>E61/E62-1</f>
        <v>-2.7323794502735366E-2</v>
      </c>
      <c r="V61" s="2809">
        <f>F61/F62-1</f>
        <v>1.7910204153148035E-2</v>
      </c>
      <c r="X61" s="2802"/>
      <c r="Y61" s="2802"/>
      <c r="Z61" s="2802"/>
    </row>
    <row r="62" spans="1:26" ht="13.5" thickBot="1">
      <c r="A62" s="2803" t="s">
        <v>2319</v>
      </c>
      <c r="B62" s="2853">
        <v>214</v>
      </c>
      <c r="C62" s="2853">
        <v>188</v>
      </c>
      <c r="D62" s="2853">
        <f t="shared" si="241"/>
        <v>188</v>
      </c>
      <c r="E62" s="2853">
        <v>289</v>
      </c>
      <c r="F62" s="2854">
        <v>166</v>
      </c>
      <c r="G62" s="3766">
        <v>2008</v>
      </c>
      <c r="H62" s="2827">
        <v>4</v>
      </c>
      <c r="I62" s="2827">
        <v>1.73</v>
      </c>
      <c r="J62" s="2827">
        <v>0.03</v>
      </c>
      <c r="K62" s="2827">
        <v>2.59</v>
      </c>
      <c r="L62" s="2828">
        <v>-1.66</v>
      </c>
      <c r="N62" s="2806">
        <f t="shared" si="243"/>
        <v>1.7299999999999999E-2</v>
      </c>
      <c r="O62" s="2802">
        <f t="shared" si="243"/>
        <v>2.9999999999999997E-4</v>
      </c>
      <c r="P62" s="2802">
        <f t="shared" si="243"/>
        <v>2.5899999999999999E-2</v>
      </c>
      <c r="Q62" s="2802">
        <f t="shared" si="243"/>
        <v>-1.66E-2</v>
      </c>
      <c r="R62" s="2807"/>
      <c r="S62" s="2816"/>
      <c r="T62" s="2817"/>
      <c r="U62" s="2817"/>
      <c r="V62" s="2817"/>
      <c r="X62" s="2817"/>
      <c r="Y62" s="2817"/>
      <c r="Z62" s="2817"/>
    </row>
    <row r="63" spans="1:26">
      <c r="A63" s="2803" t="s">
        <v>2320</v>
      </c>
      <c r="B63" s="2804">
        <f t="shared" ref="B63:C65" si="259">B62/(1+N62)</f>
        <v>210.36075887152265</v>
      </c>
      <c r="C63" s="2804">
        <f t="shared" si="259"/>
        <v>187.94361691492554</v>
      </c>
      <c r="D63" s="2804">
        <f t="shared" si="241"/>
        <v>187.94361691492554</v>
      </c>
      <c r="E63" s="2804">
        <f t="shared" ref="E63:F65" si="260">E62/(1+P62)</f>
        <v>281.70386977288234</v>
      </c>
      <c r="F63" s="2804">
        <f t="shared" si="260"/>
        <v>168.80211511083994</v>
      </c>
      <c r="G63" s="3764">
        <v>2008</v>
      </c>
      <c r="H63" s="2830">
        <v>3</v>
      </c>
      <c r="I63" s="2830">
        <v>1.96</v>
      </c>
      <c r="J63" s="2830">
        <v>2.36</v>
      </c>
      <c r="K63" s="2830">
        <v>1.82</v>
      </c>
      <c r="L63" s="2831">
        <v>2.2200000000000002</v>
      </c>
      <c r="N63" s="2806">
        <f t="shared" si="243"/>
        <v>1.9599999999999999E-2</v>
      </c>
      <c r="O63" s="2802">
        <f t="shared" si="243"/>
        <v>2.3599999999999999E-2</v>
      </c>
      <c r="P63" s="2802">
        <f t="shared" si="243"/>
        <v>1.8200000000000001E-2</v>
      </c>
      <c r="Q63" s="2802">
        <f t="shared" si="243"/>
        <v>2.2200000000000001E-2</v>
      </c>
      <c r="R63" s="2807"/>
      <c r="S63" s="2806"/>
      <c r="T63" s="2802"/>
      <c r="U63" s="2802"/>
      <c r="V63" s="2802"/>
    </row>
    <row r="64" spans="1:26">
      <c r="A64" s="2803" t="s">
        <v>2321</v>
      </c>
      <c r="B64" s="2804">
        <f t="shared" si="259"/>
        <v>206.31694671589116</v>
      </c>
      <c r="C64" s="2804">
        <f t="shared" si="259"/>
        <v>183.61041121036101</v>
      </c>
      <c r="D64" s="2804">
        <f t="shared" si="241"/>
        <v>183.61041121036101</v>
      </c>
      <c r="E64" s="2804">
        <f t="shared" si="260"/>
        <v>276.66850301795557</v>
      </c>
      <c r="F64" s="2804">
        <f t="shared" si="260"/>
        <v>165.1360938278614</v>
      </c>
      <c r="G64" s="3764">
        <v>2008</v>
      </c>
      <c r="H64" s="2818">
        <v>2</v>
      </c>
      <c r="I64" s="2818">
        <v>4.93</v>
      </c>
      <c r="J64" s="2818">
        <v>7.38</v>
      </c>
      <c r="K64" s="2818">
        <v>3.98</v>
      </c>
      <c r="L64" s="2819">
        <v>6.86</v>
      </c>
      <c r="N64" s="2806">
        <f t="shared" si="243"/>
        <v>4.9299999999999997E-2</v>
      </c>
      <c r="O64" s="2802">
        <f t="shared" si="243"/>
        <v>7.3800000000000004E-2</v>
      </c>
      <c r="P64" s="2802">
        <f t="shared" si="243"/>
        <v>3.9800000000000002E-2</v>
      </c>
      <c r="Q64" s="2802">
        <f t="shared" si="243"/>
        <v>6.8600000000000008E-2</v>
      </c>
      <c r="R64" s="2807"/>
      <c r="S64" s="2806"/>
      <c r="T64" s="2802"/>
      <c r="U64" s="2802"/>
      <c r="V64" s="2802"/>
    </row>
    <row r="65" spans="1:26" s="2859" customFormat="1" ht="13.5" thickBot="1">
      <c r="A65" s="2803" t="s">
        <v>2322</v>
      </c>
      <c r="B65" s="2856">
        <f t="shared" si="259"/>
        <v>196.62341248059772</v>
      </c>
      <c r="C65" s="2856">
        <f t="shared" si="259"/>
        <v>170.99125648199012</v>
      </c>
      <c r="D65" s="2856">
        <f t="shared" si="241"/>
        <v>170.99125648199012</v>
      </c>
      <c r="E65" s="2856">
        <f t="shared" si="260"/>
        <v>266.07857570490052</v>
      </c>
      <c r="F65" s="2856">
        <f t="shared" si="260"/>
        <v>154.53499328828505</v>
      </c>
      <c r="G65" s="3767">
        <v>2008</v>
      </c>
      <c r="H65" s="2857">
        <v>1</v>
      </c>
      <c r="I65" s="2857">
        <v>4.1399999999999997</v>
      </c>
      <c r="J65" s="2857">
        <v>3.45</v>
      </c>
      <c r="K65" s="2857">
        <v>4.95</v>
      </c>
      <c r="L65" s="2858">
        <v>4.82</v>
      </c>
      <c r="N65" s="2860">
        <f t="shared" si="243"/>
        <v>4.1399999999999999E-2</v>
      </c>
      <c r="O65" s="2861">
        <f t="shared" si="243"/>
        <v>3.4500000000000003E-2</v>
      </c>
      <c r="P65" s="2861">
        <f t="shared" si="243"/>
        <v>4.9500000000000002E-2</v>
      </c>
      <c r="Q65" s="2861">
        <f t="shared" si="243"/>
        <v>4.82E-2</v>
      </c>
      <c r="R65" s="2862"/>
      <c r="S65" s="2860">
        <f>B65/B66-1</f>
        <v>4.5869215322328349E-2</v>
      </c>
      <c r="T65" s="2861">
        <f>C65/C66-1</f>
        <v>3.6310645345394743E-2</v>
      </c>
      <c r="U65" s="2861">
        <f>E65/E66-1</f>
        <v>4.7553447657088688E-2</v>
      </c>
      <c r="V65" s="2861">
        <f>F65/F66-1</f>
        <v>4.4155360055980086E-2</v>
      </c>
      <c r="X65" s="2861"/>
      <c r="Y65" s="2861"/>
      <c r="Z65" s="2861"/>
    </row>
    <row r="66" spans="1:26" ht="13.5" thickBot="1">
      <c r="A66" s="2803" t="s">
        <v>2323</v>
      </c>
      <c r="B66" s="2825">
        <v>188</v>
      </c>
      <c r="C66" s="2825">
        <v>165</v>
      </c>
      <c r="D66" s="2825">
        <f t="shared" si="241"/>
        <v>165</v>
      </c>
      <c r="E66" s="2825">
        <v>254</v>
      </c>
      <c r="F66" s="2826">
        <v>148</v>
      </c>
      <c r="G66" s="3766">
        <v>2007</v>
      </c>
      <c r="H66" s="2863">
        <v>4</v>
      </c>
      <c r="I66" s="2863">
        <v>5.51</v>
      </c>
      <c r="J66" s="2863">
        <v>4.8899999999999997</v>
      </c>
      <c r="K66" s="2863">
        <v>6.43</v>
      </c>
      <c r="L66" s="2864">
        <v>5.36</v>
      </c>
      <c r="N66" s="2865">
        <f t="shared" ref="N66:O69" si="261">B66/B67-1</f>
        <v>4.1339718365245526E-2</v>
      </c>
      <c r="O66" s="2866">
        <f t="shared" si="261"/>
        <v>4.0324492593776018E-2</v>
      </c>
      <c r="P66" s="2866">
        <f t="shared" ref="P66:Q69" si="262">E66/E67-1</f>
        <v>6.1625555347990968E-2</v>
      </c>
      <c r="Q66" s="2866">
        <f t="shared" si="262"/>
        <v>4.6757569250590603E-2</v>
      </c>
      <c r="R66" s="2807"/>
      <c r="S66" s="2816"/>
      <c r="T66" s="2817"/>
      <c r="U66" s="2817"/>
      <c r="V66" s="2817"/>
      <c r="X66" s="2817"/>
      <c r="Y66" s="2817"/>
      <c r="Z66" s="2817"/>
    </row>
    <row r="67" spans="1:26">
      <c r="A67" s="2803" t="s">
        <v>2324</v>
      </c>
      <c r="B67" s="2804">
        <f t="shared" ref="B67:C69" si="263">B68+(B$66-B$70)*I67/SUM(I$66:I$69)</f>
        <v>180.5366651097618</v>
      </c>
      <c r="C67" s="2804">
        <f t="shared" si="263"/>
        <v>158.60435967302453</v>
      </c>
      <c r="D67" s="2804">
        <f t="shared" si="241"/>
        <v>158.60435967302453</v>
      </c>
      <c r="E67" s="2804">
        <f t="shared" ref="E67:F69" si="264">E68+(E$66-E$70)*K67/SUM(K$66:K$69)</f>
        <v>239.25573260785075</v>
      </c>
      <c r="F67" s="2804">
        <f t="shared" si="264"/>
        <v>141.38899430740037</v>
      </c>
      <c r="G67" s="3764">
        <v>2007</v>
      </c>
      <c r="H67" s="2830">
        <v>3</v>
      </c>
      <c r="I67" s="2830">
        <v>8.65</v>
      </c>
      <c r="J67" s="2830">
        <v>8.06</v>
      </c>
      <c r="K67" s="2830">
        <v>9.94</v>
      </c>
      <c r="L67" s="2831">
        <v>5.8</v>
      </c>
      <c r="N67" s="2865">
        <f t="shared" si="261"/>
        <v>6.940217571740015E-2</v>
      </c>
      <c r="O67" s="2866">
        <f t="shared" si="261"/>
        <v>7.1197482471153428E-2</v>
      </c>
      <c r="P67" s="2866">
        <f t="shared" si="262"/>
        <v>0.10529679922579582</v>
      </c>
      <c r="Q67" s="2866">
        <f t="shared" si="262"/>
        <v>5.3292245059512133E-2</v>
      </c>
      <c r="R67" s="2807"/>
      <c r="S67" s="2806"/>
      <c r="T67" s="2802"/>
      <c r="U67" s="2802"/>
      <c r="V67" s="2802"/>
      <c r="X67" s="2867"/>
      <c r="Y67" s="2867"/>
      <c r="Z67" s="2867"/>
    </row>
    <row r="68" spans="1:26">
      <c r="A68" s="2803" t="s">
        <v>2325</v>
      </c>
      <c r="B68" s="2804">
        <f t="shared" si="263"/>
        <v>168.82017748715555</v>
      </c>
      <c r="C68" s="2804">
        <f t="shared" si="263"/>
        <v>148.06267029972753</v>
      </c>
      <c r="D68" s="2804">
        <f t="shared" si="241"/>
        <v>148.06267029972753</v>
      </c>
      <c r="E68" s="2804">
        <f t="shared" si="264"/>
        <v>216.46288379323747</v>
      </c>
      <c r="F68" s="2804">
        <f t="shared" si="264"/>
        <v>134.23529411764704</v>
      </c>
      <c r="G68" s="3764">
        <v>2007</v>
      </c>
      <c r="H68" s="2818">
        <v>2</v>
      </c>
      <c r="I68" s="2818">
        <v>3.67</v>
      </c>
      <c r="J68" s="2818">
        <v>2.3199999999999998</v>
      </c>
      <c r="K68" s="2818">
        <v>5.0199999999999996</v>
      </c>
      <c r="L68" s="2819">
        <v>6.71</v>
      </c>
      <c r="N68" s="2865">
        <f t="shared" si="261"/>
        <v>3.0339138143848032E-2</v>
      </c>
      <c r="O68" s="2866">
        <f t="shared" si="261"/>
        <v>2.0922341588790472E-2</v>
      </c>
      <c r="P68" s="2866">
        <f t="shared" si="262"/>
        <v>5.6164796592717003E-2</v>
      </c>
      <c r="Q68" s="2866">
        <f t="shared" si="262"/>
        <v>6.5704536723887319E-2</v>
      </c>
      <c r="R68" s="2807"/>
      <c r="S68" s="2806"/>
      <c r="T68" s="2802"/>
      <c r="U68" s="2802"/>
      <c r="V68" s="2802"/>
      <c r="X68" s="2867"/>
      <c r="Y68" s="2867"/>
      <c r="Z68" s="2867"/>
    </row>
    <row r="69" spans="1:26">
      <c r="A69" s="2803" t="s">
        <v>2326</v>
      </c>
      <c r="B69" s="2804">
        <f t="shared" si="263"/>
        <v>163.84913591779542</v>
      </c>
      <c r="C69" s="2804">
        <f t="shared" si="263"/>
        <v>145.0283378746594</v>
      </c>
      <c r="D69" s="2804">
        <f t="shared" si="241"/>
        <v>145.0283378746594</v>
      </c>
      <c r="E69" s="2804">
        <f t="shared" si="264"/>
        <v>204.95180722891567</v>
      </c>
      <c r="F69" s="2804">
        <f t="shared" si="264"/>
        <v>125.95920303605313</v>
      </c>
      <c r="G69" s="3767">
        <v>2007</v>
      </c>
      <c r="H69" s="2805">
        <v>1</v>
      </c>
      <c r="I69" s="2805">
        <v>3.58</v>
      </c>
      <c r="J69" s="2805">
        <v>3.08</v>
      </c>
      <c r="K69" s="2805">
        <v>4.34</v>
      </c>
      <c r="L69" s="2811">
        <v>3.21</v>
      </c>
      <c r="N69" s="2868">
        <f t="shared" si="261"/>
        <v>3.0497710174814063E-2</v>
      </c>
      <c r="O69" s="2869">
        <f t="shared" si="261"/>
        <v>2.8569772160704998E-2</v>
      </c>
      <c r="P69" s="2869">
        <f t="shared" si="262"/>
        <v>5.1034908866234296E-2</v>
      </c>
      <c r="Q69" s="2869">
        <f t="shared" si="262"/>
        <v>3.245248390207478E-2</v>
      </c>
      <c r="R69" s="2807"/>
      <c r="S69" s="2808">
        <f>B69/B70-1</f>
        <v>3.0497710174814063E-2</v>
      </c>
      <c r="T69" s="2809">
        <f>C69/C70-1</f>
        <v>2.8569772160704998E-2</v>
      </c>
      <c r="U69" s="2809">
        <f>E69/E70-1</f>
        <v>5.1034908866234296E-2</v>
      </c>
      <c r="V69" s="2809">
        <f>F69/F70-1</f>
        <v>3.245248390207478E-2</v>
      </c>
      <c r="X69" s="2867"/>
      <c r="Y69" s="2867"/>
      <c r="Z69" s="2867"/>
    </row>
    <row r="70" spans="1:26" ht="13.5" thickBot="1">
      <c r="A70" s="2803" t="s">
        <v>2327</v>
      </c>
      <c r="B70" s="2832">
        <v>159</v>
      </c>
      <c r="C70" s="2832">
        <v>141</v>
      </c>
      <c r="D70" s="2832">
        <f t="shared" si="241"/>
        <v>141</v>
      </c>
      <c r="E70" s="2832">
        <v>195</v>
      </c>
      <c r="F70" s="2833">
        <v>122</v>
      </c>
      <c r="G70" s="3766">
        <v>2006</v>
      </c>
      <c r="H70" s="2827">
        <v>4</v>
      </c>
      <c r="I70" s="2827">
        <v>3.79</v>
      </c>
      <c r="J70" s="2827">
        <v>2.21</v>
      </c>
      <c r="K70" s="2827">
        <v>5.65</v>
      </c>
      <c r="L70" s="2828">
        <v>5.41</v>
      </c>
      <c r="N70" s="2865">
        <f t="shared" ref="N70:O73" si="265">I70/SUM(I$70:I$73)*(B$70/B$74-1)</f>
        <v>7.245466462748526E-2</v>
      </c>
      <c r="O70" s="2866">
        <f t="shared" si="265"/>
        <v>2.3237230038062766E-2</v>
      </c>
      <c r="P70" s="2866">
        <f t="shared" ref="P70:Q73" si="266">K70/SUM(K$70:K$73)*(E$70/E$74-1)</f>
        <v>0.16146893866323722</v>
      </c>
      <c r="Q70" s="2866">
        <f t="shared" si="266"/>
        <v>5.0755230321793784E-2</v>
      </c>
      <c r="R70" s="2807"/>
      <c r="S70" s="2816"/>
      <c r="T70" s="2817"/>
      <c r="U70" s="2817"/>
      <c r="V70" s="2817"/>
      <c r="X70" s="2867"/>
      <c r="Y70" s="2867"/>
      <c r="Z70" s="2867"/>
    </row>
    <row r="71" spans="1:26">
      <c r="A71" s="2803" t="s">
        <v>2328</v>
      </c>
      <c r="B71" s="2804">
        <f t="shared" ref="B71:C73" si="267">B72+(B$70-B$74)*I71/SUM(I$70:I$73)</f>
        <v>149.00125628140702</v>
      </c>
      <c r="C71" s="2804">
        <f t="shared" si="267"/>
        <v>137.95592286501378</v>
      </c>
      <c r="D71" s="2804">
        <f t="shared" si="241"/>
        <v>137.95592286501378</v>
      </c>
      <c r="E71" s="2804">
        <f t="shared" ref="E71:F73" si="268">E72+(E$70-E$74)*K71/SUM(K$70:K$73)</f>
        <v>169.97231450719823</v>
      </c>
      <c r="F71" s="2804">
        <f t="shared" si="268"/>
        <v>116.21390374331551</v>
      </c>
      <c r="G71" s="3764">
        <v>2006</v>
      </c>
      <c r="H71" s="2830">
        <v>3</v>
      </c>
      <c r="I71" s="2830">
        <v>0.92</v>
      </c>
      <c r="J71" s="2830">
        <v>1.08</v>
      </c>
      <c r="K71" s="2830">
        <v>0.73</v>
      </c>
      <c r="L71" s="2831">
        <v>1.08</v>
      </c>
      <c r="N71" s="2865">
        <f t="shared" si="265"/>
        <v>1.7587939698492462E-2</v>
      </c>
      <c r="O71" s="2866">
        <f t="shared" si="265"/>
        <v>1.1355750425840628E-2</v>
      </c>
      <c r="P71" s="2866">
        <f t="shared" si="266"/>
        <v>2.0862358446754544E-2</v>
      </c>
      <c r="Q71" s="2866">
        <f t="shared" si="266"/>
        <v>1.0132282578103011E-2</v>
      </c>
      <c r="R71" s="2807"/>
      <c r="S71" s="2806"/>
      <c r="T71" s="2802"/>
      <c r="U71" s="2802"/>
      <c r="V71" s="2802"/>
      <c r="X71" s="2867"/>
      <c r="Y71" s="2867"/>
      <c r="Z71" s="2867"/>
    </row>
    <row r="72" spans="1:26">
      <c r="A72" s="2803" t="s">
        <v>2329</v>
      </c>
      <c r="B72" s="2804">
        <f t="shared" si="267"/>
        <v>146.57412060301507</v>
      </c>
      <c r="C72" s="2804">
        <f t="shared" si="267"/>
        <v>136.46831955922866</v>
      </c>
      <c r="D72" s="2804">
        <f t="shared" si="241"/>
        <v>136.46831955922866</v>
      </c>
      <c r="E72" s="2804">
        <f t="shared" si="268"/>
        <v>166.73864894795128</v>
      </c>
      <c r="F72" s="2804">
        <f t="shared" si="268"/>
        <v>115.05882352941177</v>
      </c>
      <c r="G72" s="3764">
        <v>2006</v>
      </c>
      <c r="H72" s="2818">
        <v>2</v>
      </c>
      <c r="I72" s="2818">
        <v>0.96</v>
      </c>
      <c r="J72" s="2818">
        <v>0.25</v>
      </c>
      <c r="K72" s="2818">
        <v>1.9</v>
      </c>
      <c r="L72" s="2819">
        <v>0.95</v>
      </c>
      <c r="N72" s="2865">
        <f t="shared" si="265"/>
        <v>1.8352632728861701E-2</v>
      </c>
      <c r="O72" s="2866">
        <f t="shared" si="265"/>
        <v>2.6286459319075526E-3</v>
      </c>
      <c r="P72" s="2866">
        <f t="shared" si="266"/>
        <v>5.4299289107991269E-2</v>
      </c>
      <c r="Q72" s="2866">
        <f t="shared" si="266"/>
        <v>8.9126559714794995E-3</v>
      </c>
      <c r="R72" s="2807"/>
      <c r="S72" s="2806"/>
      <c r="T72" s="2802"/>
      <c r="U72" s="2802"/>
      <c r="V72" s="2802"/>
      <c r="X72" s="2867"/>
      <c r="Y72" s="2867"/>
      <c r="Z72" s="2867"/>
    </row>
    <row r="73" spans="1:26">
      <c r="A73" s="2803" t="s">
        <v>2330</v>
      </c>
      <c r="B73" s="2804">
        <f t="shared" si="267"/>
        <v>144.04145728643215</v>
      </c>
      <c r="C73" s="2804">
        <f t="shared" si="267"/>
        <v>136.12396694214877</v>
      </c>
      <c r="D73" s="2804">
        <f t="shared" si="241"/>
        <v>136.12396694214877</v>
      </c>
      <c r="E73" s="2804">
        <f t="shared" si="268"/>
        <v>158.32225913621264</v>
      </c>
      <c r="F73" s="2804">
        <f t="shared" si="268"/>
        <v>114.04278074866311</v>
      </c>
      <c r="G73" s="3767">
        <v>2006</v>
      </c>
      <c r="H73" s="2805">
        <v>1</v>
      </c>
      <c r="I73" s="2805">
        <v>2.29</v>
      </c>
      <c r="J73" s="2805">
        <v>3.72</v>
      </c>
      <c r="K73" s="2805">
        <v>0.75</v>
      </c>
      <c r="L73" s="2811">
        <v>0.04</v>
      </c>
      <c r="N73" s="2868">
        <f t="shared" si="265"/>
        <v>4.3778675988638847E-2</v>
      </c>
      <c r="O73" s="2869">
        <f t="shared" si="265"/>
        <v>3.9114251466784385E-2</v>
      </c>
      <c r="P73" s="2869">
        <f t="shared" si="266"/>
        <v>2.1433929911049188E-2</v>
      </c>
      <c r="Q73" s="2869">
        <f t="shared" si="266"/>
        <v>3.7526972511492629E-4</v>
      </c>
      <c r="R73" s="2807"/>
      <c r="S73" s="2808">
        <f>B73/B74-1</f>
        <v>4.3778675988638716E-2</v>
      </c>
      <c r="T73" s="2809">
        <f>C73/C74-1</f>
        <v>3.91142514667846E-2</v>
      </c>
      <c r="U73" s="2809">
        <f>E73/E74-1</f>
        <v>2.143392991104931E-2</v>
      </c>
      <c r="V73" s="2809">
        <f>F73/F74-1</f>
        <v>3.7526972511492396E-4</v>
      </c>
      <c r="X73" s="2867"/>
      <c r="Y73" s="2867"/>
      <c r="Z73" s="2867"/>
    </row>
    <row r="74" spans="1:26" ht="13.5" thickBot="1">
      <c r="A74" s="2803" t="s">
        <v>2331</v>
      </c>
      <c r="B74" s="2832">
        <v>138</v>
      </c>
      <c r="C74" s="2832">
        <v>131</v>
      </c>
      <c r="D74" s="2832">
        <f t="shared" si="241"/>
        <v>131</v>
      </c>
      <c r="E74" s="2832">
        <v>155</v>
      </c>
      <c r="F74" s="2833">
        <v>114</v>
      </c>
      <c r="G74" s="3766">
        <v>2005</v>
      </c>
      <c r="H74" s="2827">
        <v>4</v>
      </c>
      <c r="I74" s="2827">
        <v>3.29</v>
      </c>
      <c r="J74" s="2827">
        <v>1.44</v>
      </c>
      <c r="K74" s="2827">
        <v>0.66</v>
      </c>
      <c r="L74" s="2828">
        <v>7.78</v>
      </c>
      <c r="N74" s="2865">
        <f t="shared" ref="N74:O77" si="269">I74/SUM(I$74:I$77)*(B$74/B$78-1)</f>
        <v>9.9404603216919935E-2</v>
      </c>
      <c r="O74" s="2866">
        <f t="shared" si="269"/>
        <v>4.7636550760861554E-2</v>
      </c>
      <c r="P74" s="2866">
        <f t="shared" ref="P74:Q77" si="270">K74/SUM(K$74:K$77)*(E$74/E$78-1)</f>
        <v>8.3756345177664976E-2</v>
      </c>
      <c r="Q74" s="2866">
        <f t="shared" si="270"/>
        <v>5.2148766661559584E-2</v>
      </c>
      <c r="R74" s="2807"/>
      <c r="S74" s="2816"/>
      <c r="T74" s="2817"/>
      <c r="U74" s="2817"/>
      <c r="V74" s="2817"/>
      <c r="X74" s="2867"/>
      <c r="Y74" s="2867"/>
      <c r="Z74" s="2867"/>
    </row>
    <row r="75" spans="1:26">
      <c r="A75" s="2803" t="s">
        <v>2332</v>
      </c>
      <c r="B75" s="2804">
        <f t="shared" ref="B75:C77" si="271">B76+(B$74-B$78)*I75/SUM(I$74:I$77)</f>
        <v>125.9720430107527</v>
      </c>
      <c r="C75" s="2804">
        <f t="shared" si="271"/>
        <v>125.1883408071749</v>
      </c>
      <c r="D75" s="2804">
        <f t="shared" si="241"/>
        <v>125.1883408071749</v>
      </c>
      <c r="E75" s="2804">
        <f t="shared" ref="E75:F77" si="272">E76+(E$74-E$78)*K75/SUM(K$74:K$77)</f>
        <v>144.61421319796952</v>
      </c>
      <c r="F75" s="2804">
        <f t="shared" si="272"/>
        <v>108.42008196721311</v>
      </c>
      <c r="G75" s="3764">
        <v>2005</v>
      </c>
      <c r="H75" s="2830">
        <v>3</v>
      </c>
      <c r="I75" s="2830">
        <v>0.46</v>
      </c>
      <c r="J75" s="2830">
        <v>0.32</v>
      </c>
      <c r="K75" s="2830">
        <v>0.42</v>
      </c>
      <c r="L75" s="2831">
        <v>0.64</v>
      </c>
      <c r="N75" s="2865">
        <f t="shared" si="269"/>
        <v>1.3898515951301874E-2</v>
      </c>
      <c r="O75" s="2866">
        <f t="shared" si="269"/>
        <v>1.0585900169080346E-2</v>
      </c>
      <c r="P75" s="2866">
        <f t="shared" si="270"/>
        <v>5.3299492385786795E-2</v>
      </c>
      <c r="Q75" s="2866">
        <f t="shared" si="270"/>
        <v>4.2898728359123568E-3</v>
      </c>
      <c r="R75" s="2807"/>
      <c r="S75" s="2806"/>
      <c r="T75" s="2802"/>
      <c r="U75" s="2802"/>
      <c r="V75" s="2802"/>
      <c r="X75" s="2867"/>
      <c r="Y75" s="2867"/>
      <c r="Z75" s="2867"/>
    </row>
    <row r="76" spans="1:26">
      <c r="A76" s="2803" t="s">
        <v>2333</v>
      </c>
      <c r="B76" s="2804">
        <f t="shared" si="271"/>
        <v>124.29032258064517</v>
      </c>
      <c r="C76" s="2804">
        <f t="shared" si="271"/>
        <v>123.8968609865471</v>
      </c>
      <c r="D76" s="2804">
        <f t="shared" si="241"/>
        <v>123.8968609865471</v>
      </c>
      <c r="E76" s="2804">
        <f t="shared" si="272"/>
        <v>138.00507614213197</v>
      </c>
      <c r="F76" s="2804">
        <f t="shared" si="272"/>
        <v>107.96106557377048</v>
      </c>
      <c r="G76" s="3764">
        <v>2005</v>
      </c>
      <c r="H76" s="2818">
        <v>2</v>
      </c>
      <c r="I76" s="2818">
        <v>0.47</v>
      </c>
      <c r="J76" s="2818">
        <v>0.1</v>
      </c>
      <c r="K76" s="2818">
        <v>0.52</v>
      </c>
      <c r="L76" s="2819">
        <v>0.79</v>
      </c>
      <c r="N76" s="2865">
        <f t="shared" si="269"/>
        <v>1.420065760241713E-2</v>
      </c>
      <c r="O76" s="2866">
        <f t="shared" si="269"/>
        <v>3.3080938028376083E-3</v>
      </c>
      <c r="P76" s="2866">
        <f t="shared" si="270"/>
        <v>6.598984771573603E-2</v>
      </c>
      <c r="Q76" s="2866">
        <f t="shared" si="270"/>
        <v>5.2953117818293153E-3</v>
      </c>
      <c r="R76" s="2807"/>
      <c r="S76" s="2806"/>
      <c r="T76" s="2802"/>
      <c r="U76" s="2802"/>
      <c r="V76" s="2802"/>
      <c r="X76" s="2867"/>
      <c r="Y76" s="2867"/>
      <c r="Z76" s="2867"/>
    </row>
    <row r="77" spans="1:26">
      <c r="A77" s="2803" t="s">
        <v>2334</v>
      </c>
      <c r="B77" s="2804">
        <f t="shared" si="271"/>
        <v>122.57204301075269</v>
      </c>
      <c r="C77" s="2804">
        <f t="shared" si="271"/>
        <v>123.4932735426009</v>
      </c>
      <c r="D77" s="2804">
        <f t="shared" si="241"/>
        <v>123.4932735426009</v>
      </c>
      <c r="E77" s="2804">
        <f t="shared" si="272"/>
        <v>129.82233502538071</v>
      </c>
      <c r="F77" s="2804">
        <f t="shared" si="272"/>
        <v>107.39446721311475</v>
      </c>
      <c r="G77" s="3767">
        <v>2005</v>
      </c>
      <c r="H77" s="2805">
        <v>1</v>
      </c>
      <c r="I77" s="2805">
        <v>0.43</v>
      </c>
      <c r="J77" s="2805">
        <v>0.37</v>
      </c>
      <c r="K77" s="2805">
        <v>0.37</v>
      </c>
      <c r="L77" s="2811">
        <v>0.55000000000000004</v>
      </c>
      <c r="N77" s="2868">
        <f t="shared" si="269"/>
        <v>1.2992090997956099E-2</v>
      </c>
      <c r="O77" s="2869">
        <f t="shared" si="269"/>
        <v>1.2239947070499151E-2</v>
      </c>
      <c r="P77" s="2869">
        <f t="shared" si="270"/>
        <v>4.6954314720812178E-2</v>
      </c>
      <c r="Q77" s="2869">
        <f t="shared" si="270"/>
        <v>3.6866094683621815E-3</v>
      </c>
      <c r="R77" s="2807"/>
      <c r="S77" s="2808">
        <f>B77/B78-1</f>
        <v>1.2992090997956174E-2</v>
      </c>
      <c r="T77" s="2809">
        <f>C77/C78-1</f>
        <v>1.2239947070499246E-2</v>
      </c>
      <c r="U77" s="2809">
        <f>E77/E78-1</f>
        <v>4.695431472081224E-2</v>
      </c>
      <c r="V77" s="2809">
        <f>F77/F78-1</f>
        <v>3.6866094683620787E-3</v>
      </c>
      <c r="X77" s="2867"/>
      <c r="Y77" s="2867"/>
      <c r="Z77" s="2867"/>
    </row>
    <row r="78" spans="1:26" ht="13.5" thickBot="1">
      <c r="A78" s="2803" t="s">
        <v>2335</v>
      </c>
      <c r="B78" s="2853">
        <v>121</v>
      </c>
      <c r="C78" s="2853">
        <v>122</v>
      </c>
      <c r="D78" s="2853">
        <f t="shared" si="241"/>
        <v>122</v>
      </c>
      <c r="E78" s="2853">
        <v>124</v>
      </c>
      <c r="F78" s="2854">
        <v>107</v>
      </c>
      <c r="G78" s="3766">
        <v>2004</v>
      </c>
      <c r="H78" s="2827">
        <v>4</v>
      </c>
      <c r="I78" s="2827">
        <v>0.33</v>
      </c>
      <c r="J78" s="2827">
        <v>0.5</v>
      </c>
      <c r="K78" s="2827">
        <v>0.5</v>
      </c>
      <c r="L78" s="2828">
        <v>0</v>
      </c>
      <c r="N78" s="2865">
        <f t="shared" ref="N78:O81" si="273">I78/SUM(I$78:I$81)*(B$78/B$82-1)</f>
        <v>1.3391770148526898E-2</v>
      </c>
      <c r="O78" s="2866">
        <f t="shared" si="273"/>
        <v>1.063264221158958E-2</v>
      </c>
      <c r="P78" s="2866">
        <f t="shared" ref="P78:Q81" si="274">K78/SUM(K$78:K$81)*(E$78/E$82-1)</f>
        <v>2.2244466688911134E-2</v>
      </c>
      <c r="Q78" s="2866">
        <f t="shared" si="274"/>
        <v>0</v>
      </c>
      <c r="R78" s="2807"/>
      <c r="S78" s="2816"/>
      <c r="T78" s="2817"/>
      <c r="U78" s="2817"/>
      <c r="V78" s="2817"/>
      <c r="X78" s="2867"/>
      <c r="Y78" s="2867"/>
      <c r="Z78" s="2867"/>
    </row>
    <row r="79" spans="1:26">
      <c r="A79" s="2803" t="s">
        <v>2336</v>
      </c>
      <c r="B79" s="2804">
        <f t="shared" ref="B79:C81" si="275">B80+(B$78-B$82)*I79/SUM(I$78:I$81)</f>
        <v>119.51351351351352</v>
      </c>
      <c r="C79" s="2804">
        <f t="shared" si="275"/>
        <v>120.7878787878788</v>
      </c>
      <c r="D79" s="2804">
        <f t="shared" si="241"/>
        <v>120.7878787878788</v>
      </c>
      <c r="E79" s="2804">
        <f t="shared" ref="E79:F81" si="276">E80+(E$78-E$82)*K79/SUM(K$78:K$81)</f>
        <v>121.5975975975976</v>
      </c>
      <c r="F79" s="2804">
        <f t="shared" si="276"/>
        <v>107</v>
      </c>
      <c r="G79" s="3764">
        <v>2004</v>
      </c>
      <c r="H79" s="2830">
        <v>3</v>
      </c>
      <c r="I79" s="2830">
        <v>0.56000000000000005</v>
      </c>
      <c r="J79" s="2830">
        <v>0.8</v>
      </c>
      <c r="K79" s="2830">
        <v>0.83</v>
      </c>
      <c r="L79" s="2831">
        <v>0.06</v>
      </c>
      <c r="N79" s="2865">
        <f t="shared" si="273"/>
        <v>2.2725428130833527E-2</v>
      </c>
      <c r="O79" s="2866">
        <f t="shared" si="273"/>
        <v>1.7012227538543329E-2</v>
      </c>
      <c r="P79" s="2866">
        <f t="shared" si="274"/>
        <v>3.6925814703592477E-2</v>
      </c>
      <c r="Q79" s="2866">
        <f t="shared" si="274"/>
        <v>2.8846153846153744E-2</v>
      </c>
      <c r="R79" s="2807"/>
      <c r="S79" s="2806"/>
      <c r="T79" s="2802"/>
      <c r="U79" s="2802"/>
      <c r="V79" s="2802"/>
      <c r="X79" s="2867"/>
      <c r="Y79" s="2867"/>
      <c r="Z79" s="2867"/>
    </row>
    <row r="80" spans="1:26">
      <c r="A80" s="2803" t="s">
        <v>2337</v>
      </c>
      <c r="B80" s="2804">
        <f t="shared" si="275"/>
        <v>116.99099099099099</v>
      </c>
      <c r="C80" s="2804">
        <f t="shared" si="275"/>
        <v>118.84848484848486</v>
      </c>
      <c r="D80" s="2804">
        <f t="shared" si="241"/>
        <v>118.84848484848486</v>
      </c>
      <c r="E80" s="2804">
        <f t="shared" si="276"/>
        <v>117.60960960960961</v>
      </c>
      <c r="F80" s="2804">
        <f t="shared" si="276"/>
        <v>104</v>
      </c>
      <c r="G80" s="3764">
        <v>2004</v>
      </c>
      <c r="H80" s="2818">
        <v>2</v>
      </c>
      <c r="I80" s="2818">
        <v>1</v>
      </c>
      <c r="J80" s="2818">
        <v>1.5</v>
      </c>
      <c r="K80" s="2818">
        <v>1.5</v>
      </c>
      <c r="L80" s="2819">
        <v>0</v>
      </c>
      <c r="N80" s="2865">
        <f t="shared" si="273"/>
        <v>4.0581121662202721E-2</v>
      </c>
      <c r="O80" s="2866">
        <f t="shared" si="273"/>
        <v>3.1897926634768738E-2</v>
      </c>
      <c r="P80" s="2866">
        <f t="shared" si="274"/>
        <v>6.6733400066733395E-2</v>
      </c>
      <c r="Q80" s="2866">
        <f t="shared" si="274"/>
        <v>0</v>
      </c>
      <c r="R80" s="2807"/>
      <c r="S80" s="2806"/>
      <c r="T80" s="2802"/>
      <c r="U80" s="2802"/>
      <c r="V80" s="2802"/>
      <c r="X80" s="2867"/>
      <c r="Y80" s="2867"/>
      <c r="Z80" s="2867"/>
    </row>
    <row r="81" spans="1:26" s="2859" customFormat="1" ht="13.5" thickBot="1">
      <c r="A81" s="2803" t="s">
        <v>2338</v>
      </c>
      <c r="B81" s="2856">
        <f t="shared" si="275"/>
        <v>112.48648648648648</v>
      </c>
      <c r="C81" s="2856">
        <f t="shared" si="275"/>
        <v>115.21212121212122</v>
      </c>
      <c r="D81" s="2856">
        <f t="shared" si="241"/>
        <v>115.21212121212122</v>
      </c>
      <c r="E81" s="2856">
        <f t="shared" si="276"/>
        <v>110.4024024024024</v>
      </c>
      <c r="F81" s="2856">
        <f t="shared" si="276"/>
        <v>104</v>
      </c>
      <c r="G81" s="3767">
        <v>2004</v>
      </c>
      <c r="H81" s="2857">
        <v>1</v>
      </c>
      <c r="I81" s="2857">
        <v>0.33</v>
      </c>
      <c r="J81" s="2857">
        <v>0.5</v>
      </c>
      <c r="K81" s="2857">
        <v>0.5</v>
      </c>
      <c r="L81" s="2858">
        <v>0</v>
      </c>
      <c r="N81" s="2870">
        <f t="shared" si="273"/>
        <v>1.3391770148526898E-2</v>
      </c>
      <c r="O81" s="2871">
        <f t="shared" si="273"/>
        <v>1.063264221158958E-2</v>
      </c>
      <c r="P81" s="2871">
        <f t="shared" si="274"/>
        <v>2.2244466688911134E-2</v>
      </c>
      <c r="Q81" s="2871">
        <f t="shared" si="274"/>
        <v>0</v>
      </c>
      <c r="R81" s="2862"/>
      <c r="S81" s="2860">
        <f>B81/B82-1</f>
        <v>1.3391770148526883E-2</v>
      </c>
      <c r="T81" s="2861">
        <f>C81/C82-1</f>
        <v>1.063264221158966E-2</v>
      </c>
      <c r="U81" s="2861">
        <f>E81/E82-1</f>
        <v>2.2244466688911224E-2</v>
      </c>
      <c r="V81" s="2861">
        <f>F81/F82-1</f>
        <v>0</v>
      </c>
      <c r="X81" s="2872"/>
      <c r="Y81" s="2872"/>
      <c r="Z81" s="2872"/>
    </row>
    <row r="82" spans="1:26" ht="13.5" thickBot="1">
      <c r="A82" s="2803" t="s">
        <v>2339</v>
      </c>
      <c r="B82" s="2873">
        <v>111</v>
      </c>
      <c r="C82" s="2873">
        <v>114</v>
      </c>
      <c r="D82" s="2873">
        <f t="shared" si="241"/>
        <v>114</v>
      </c>
      <c r="E82" s="2873">
        <v>108</v>
      </c>
      <c r="F82" s="2874">
        <v>104</v>
      </c>
      <c r="G82" s="3766">
        <v>2003</v>
      </c>
      <c r="H82" s="2863">
        <v>4</v>
      </c>
      <c r="I82" s="2875"/>
      <c r="J82" s="2875"/>
      <c r="K82" s="2875"/>
      <c r="L82" s="2875"/>
      <c r="N82" s="2876"/>
      <c r="O82" s="2875"/>
      <c r="P82" s="2875"/>
      <c r="Q82" s="2875"/>
      <c r="S82" s="2876"/>
      <c r="T82" s="2875"/>
      <c r="U82" s="2875"/>
      <c r="V82" s="2875"/>
      <c r="X82" s="2867"/>
      <c r="Y82" s="2867"/>
      <c r="Z82" s="2867"/>
    </row>
    <row r="83" spans="1:26">
      <c r="A83" s="2803" t="s">
        <v>2340</v>
      </c>
      <c r="B83" s="2877">
        <f t="shared" ref="B83:C85" si="277">B84+(B$82-B$86)/4</f>
        <v>109.75</v>
      </c>
      <c r="C83" s="2877">
        <f t="shared" si="277"/>
        <v>112.25</v>
      </c>
      <c r="D83" s="2877">
        <f t="shared" si="241"/>
        <v>112.25</v>
      </c>
      <c r="E83" s="2877">
        <f t="shared" ref="E83:F85" si="278">E84+(E$82-E$86)/4</f>
        <v>107.25</v>
      </c>
      <c r="F83" s="2877">
        <f t="shared" si="278"/>
        <v>103.5</v>
      </c>
      <c r="G83" s="3764">
        <v>2003</v>
      </c>
      <c r="H83" s="2830">
        <v>3</v>
      </c>
      <c r="I83" s="2875"/>
      <c r="J83" s="2875"/>
      <c r="K83" s="2875"/>
      <c r="L83" s="2875"/>
      <c r="X83" s="2867"/>
      <c r="Y83" s="2867"/>
      <c r="Z83" s="2867"/>
    </row>
    <row r="84" spans="1:26">
      <c r="A84" s="2803" t="s">
        <v>2341</v>
      </c>
      <c r="B84" s="2877">
        <f t="shared" si="277"/>
        <v>108.5</v>
      </c>
      <c r="C84" s="2877">
        <f t="shared" si="277"/>
        <v>110.5</v>
      </c>
      <c r="D84" s="2877">
        <f t="shared" si="241"/>
        <v>110.5</v>
      </c>
      <c r="E84" s="2877">
        <f t="shared" si="278"/>
        <v>106.5</v>
      </c>
      <c r="F84" s="2877">
        <f t="shared" si="278"/>
        <v>103</v>
      </c>
      <c r="G84" s="3764">
        <v>2003</v>
      </c>
      <c r="H84" s="2818">
        <v>2</v>
      </c>
      <c r="I84" s="2875"/>
      <c r="J84" s="2875"/>
      <c r="K84" s="2875"/>
      <c r="L84" s="2875"/>
      <c r="X84" s="2867"/>
      <c r="Y84" s="2867"/>
      <c r="Z84" s="2867"/>
    </row>
    <row r="85" spans="1:26" ht="13.5" thickBot="1">
      <c r="A85" s="2803" t="s">
        <v>2342</v>
      </c>
      <c r="B85" s="2877">
        <f t="shared" si="277"/>
        <v>107.25</v>
      </c>
      <c r="C85" s="2877">
        <f t="shared" si="277"/>
        <v>108.75</v>
      </c>
      <c r="D85" s="2877">
        <f t="shared" si="241"/>
        <v>108.75</v>
      </c>
      <c r="E85" s="2877">
        <f t="shared" si="278"/>
        <v>105.75</v>
      </c>
      <c r="F85" s="2877">
        <f t="shared" si="278"/>
        <v>102.5</v>
      </c>
      <c r="G85" s="3767">
        <v>2003</v>
      </c>
      <c r="H85" s="2878">
        <v>1</v>
      </c>
      <c r="I85" s="2875"/>
      <c r="J85" s="2875"/>
      <c r="K85" s="2875"/>
      <c r="L85" s="2875"/>
      <c r="S85" s="2806"/>
      <c r="T85" s="2802"/>
      <c r="U85" s="2802"/>
      <c r="X85" s="2867"/>
      <c r="Y85" s="2867"/>
      <c r="Z85" s="2867"/>
    </row>
    <row r="86" spans="1:26" ht="13.5" thickBot="1">
      <c r="A86" s="2803" t="s">
        <v>2343</v>
      </c>
      <c r="B86" s="2879">
        <v>106</v>
      </c>
      <c r="C86" s="2879">
        <v>107</v>
      </c>
      <c r="D86" s="2879">
        <f t="shared" si="241"/>
        <v>107</v>
      </c>
      <c r="E86" s="2879">
        <v>105</v>
      </c>
      <c r="F86" s="2880">
        <v>102</v>
      </c>
      <c r="G86" s="3766">
        <v>2002</v>
      </c>
      <c r="H86" s="2827">
        <v>4</v>
      </c>
      <c r="I86" s="2875"/>
      <c r="J86" s="2875"/>
      <c r="K86" s="2875"/>
      <c r="L86" s="2875"/>
      <c r="N86" s="2876"/>
      <c r="O86" s="2875"/>
      <c r="P86" s="2875"/>
      <c r="Q86" s="2875"/>
      <c r="S86" s="2876"/>
      <c r="T86" s="2875"/>
      <c r="U86" s="2875"/>
      <c r="V86" s="2875"/>
      <c r="X86" s="2867"/>
      <c r="Y86" s="2867"/>
      <c r="Z86" s="2867"/>
    </row>
    <row r="87" spans="1:26">
      <c r="A87" s="2803" t="s">
        <v>2344</v>
      </c>
      <c r="B87" s="2877">
        <f t="shared" ref="B87:C89" si="279">B88+(B$86-B$90)/4</f>
        <v>105</v>
      </c>
      <c r="C87" s="2877">
        <f t="shared" si="279"/>
        <v>106</v>
      </c>
      <c r="D87" s="2877">
        <f t="shared" si="241"/>
        <v>106</v>
      </c>
      <c r="E87" s="2877">
        <f t="shared" ref="E87:F89" si="280">E88+(E$86-E$90)/4</f>
        <v>104.5</v>
      </c>
      <c r="F87" s="2877">
        <f t="shared" si="280"/>
        <v>101.5</v>
      </c>
      <c r="G87" s="3764">
        <v>2002</v>
      </c>
      <c r="H87" s="2830">
        <v>3</v>
      </c>
      <c r="I87" s="2875"/>
      <c r="J87" s="2875"/>
      <c r="K87" s="2875"/>
      <c r="L87" s="2875"/>
      <c r="X87" s="2867"/>
      <c r="Y87" s="2867"/>
      <c r="Z87" s="2867"/>
    </row>
    <row r="88" spans="1:26">
      <c r="A88" s="2803" t="s">
        <v>2345</v>
      </c>
      <c r="B88" s="2877">
        <f t="shared" si="279"/>
        <v>104</v>
      </c>
      <c r="C88" s="2877">
        <f t="shared" si="279"/>
        <v>105</v>
      </c>
      <c r="D88" s="2877">
        <f t="shared" si="241"/>
        <v>105</v>
      </c>
      <c r="E88" s="2877">
        <f t="shared" si="280"/>
        <v>104</v>
      </c>
      <c r="F88" s="2877">
        <f t="shared" si="280"/>
        <v>101</v>
      </c>
      <c r="G88" s="3764">
        <v>2002</v>
      </c>
      <c r="H88" s="2818">
        <v>2</v>
      </c>
      <c r="I88" s="2875"/>
      <c r="J88" s="2875"/>
      <c r="K88" s="2875"/>
      <c r="L88" s="2875"/>
      <c r="X88" s="2867"/>
      <c r="Y88" s="2867"/>
      <c r="Z88" s="2867"/>
    </row>
    <row r="89" spans="1:26" s="2840" customFormat="1" ht="13.5" thickBot="1">
      <c r="A89" s="2836" t="s">
        <v>2346</v>
      </c>
      <c r="B89" s="2843">
        <f t="shared" si="279"/>
        <v>103</v>
      </c>
      <c r="C89" s="2843">
        <f t="shared" si="279"/>
        <v>104</v>
      </c>
      <c r="D89" s="2843">
        <f t="shared" si="241"/>
        <v>104</v>
      </c>
      <c r="E89" s="2843">
        <f t="shared" si="280"/>
        <v>103.5</v>
      </c>
      <c r="F89" s="2843">
        <f t="shared" si="280"/>
        <v>100.5</v>
      </c>
      <c r="G89" s="3767">
        <v>2002</v>
      </c>
      <c r="H89" s="2881">
        <v>1</v>
      </c>
      <c r="I89" s="2882"/>
      <c r="J89" s="2882"/>
      <c r="K89" s="2882"/>
      <c r="L89" s="2882"/>
      <c r="N89" s="2883"/>
      <c r="S89" s="2883"/>
      <c r="X89" s="2884"/>
      <c r="Y89" s="2884"/>
      <c r="Z89" s="2884"/>
    </row>
    <row r="90" spans="1:26" ht="13.5" thickBot="1">
      <c r="B90" s="2885">
        <v>102</v>
      </c>
      <c r="C90" s="2886">
        <v>103</v>
      </c>
      <c r="D90" s="2886">
        <f t="shared" si="241"/>
        <v>103</v>
      </c>
      <c r="E90" s="2886">
        <v>103</v>
      </c>
      <c r="F90" s="2887">
        <v>100</v>
      </c>
      <c r="I90" s="2875"/>
      <c r="J90" s="2875"/>
      <c r="K90" s="2875"/>
      <c r="L90" s="2875"/>
      <c r="N90" s="2876"/>
      <c r="O90" s="2875"/>
      <c r="P90" s="2875"/>
      <c r="Q90" s="2875"/>
      <c r="S90" s="2876"/>
      <c r="T90" s="2875"/>
      <c r="U90" s="2875"/>
      <c r="V90" s="2875"/>
      <c r="X90" s="2817"/>
      <c r="Y90" s="2817"/>
      <c r="Z90" s="2817"/>
    </row>
    <row r="92" spans="1:26" s="2889" customFormat="1">
      <c r="A92" s="2888" t="s">
        <v>2347</v>
      </c>
      <c r="G92" s="2890"/>
      <c r="N92" s="2890"/>
      <c r="S92" s="2890"/>
    </row>
    <row r="93" spans="1:26" s="2889" customFormat="1">
      <c r="A93" s="2889" t="s">
        <v>2348</v>
      </c>
      <c r="G93" s="2890"/>
      <c r="N93" s="2890"/>
      <c r="S93" s="2890"/>
    </row>
    <row r="94" spans="1:26" s="2889" customFormat="1">
      <c r="A94" s="2889" t="s">
        <v>2349</v>
      </c>
      <c r="G94" s="2890"/>
      <c r="I94" s="2891"/>
      <c r="J94" s="2891"/>
      <c r="K94" s="2891"/>
      <c r="L94" s="2891"/>
      <c r="N94" s="2892"/>
      <c r="O94" s="2891"/>
      <c r="P94" s="2891"/>
      <c r="Q94" s="2891"/>
      <c r="S94" s="2892"/>
      <c r="T94" s="2891"/>
      <c r="U94" s="2891"/>
      <c r="V94" s="2891"/>
    </row>
    <row r="95" spans="1:26" s="2889" customFormat="1">
      <c r="A95" s="2889" t="s">
        <v>2350</v>
      </c>
      <c r="G95" s="2890"/>
      <c r="N95" s="2890"/>
      <c r="S95" s="2890"/>
    </row>
    <row r="102" spans="7:22" ht="13.5" thickBot="1"/>
    <row r="103" spans="7:22">
      <c r="G103" s="2801"/>
      <c r="S103" s="2893" t="s">
        <v>2351</v>
      </c>
      <c r="T103" s="2894" t="s">
        <v>2352</v>
      </c>
      <c r="U103" s="2894" t="s">
        <v>2353</v>
      </c>
      <c r="V103" s="2894" t="s">
        <v>2354</v>
      </c>
    </row>
    <row r="104" spans="7:22">
      <c r="G104" s="2801"/>
      <c r="N104" s="2816"/>
      <c r="O104" s="2817"/>
      <c r="P104" s="2817"/>
      <c r="Q104" s="2817"/>
      <c r="S104" s="2895">
        <v>2006</v>
      </c>
      <c r="T104" s="2896">
        <v>15.1</v>
      </c>
      <c r="U104" s="2896">
        <v>7.43</v>
      </c>
      <c r="V104" s="2896">
        <v>26.26</v>
      </c>
    </row>
    <row r="105" spans="7:22">
      <c r="G105" s="2801"/>
      <c r="N105" s="2816"/>
      <c r="O105" s="2817"/>
      <c r="P105" s="2817"/>
      <c r="Q105" s="2817"/>
      <c r="S105" s="2897">
        <v>2005</v>
      </c>
      <c r="T105" s="2898">
        <v>13.9</v>
      </c>
      <c r="U105" s="2898">
        <v>7.49</v>
      </c>
      <c r="V105" s="2898">
        <v>24.92</v>
      </c>
    </row>
    <row r="106" spans="7:22">
      <c r="G106" s="2801"/>
      <c r="N106" s="2816"/>
      <c r="O106" s="2817"/>
      <c r="P106" s="2817"/>
      <c r="Q106" s="2817"/>
      <c r="S106" s="2895">
        <v>2004</v>
      </c>
      <c r="T106" s="2896">
        <v>9.48</v>
      </c>
      <c r="U106" s="2896">
        <v>7.2</v>
      </c>
      <c r="V106" s="2896">
        <v>14.68</v>
      </c>
    </row>
    <row r="107" spans="7:22">
      <c r="G107" s="2801"/>
      <c r="N107" s="2816"/>
      <c r="O107" s="2817"/>
      <c r="P107" s="2817"/>
      <c r="Q107" s="2817"/>
      <c r="S107" s="2897">
        <v>2003</v>
      </c>
      <c r="T107" s="2898">
        <v>4.5</v>
      </c>
      <c r="U107" s="2898">
        <v>6.12</v>
      </c>
      <c r="V107" s="2898">
        <v>2.34</v>
      </c>
    </row>
    <row r="108" spans="7:22" ht="13.5" thickBot="1">
      <c r="G108" s="2801"/>
      <c r="N108" s="2816"/>
      <c r="O108" s="2817"/>
      <c r="P108" s="2817"/>
      <c r="Q108" s="2817"/>
      <c r="S108" s="2899">
        <v>2002</v>
      </c>
      <c r="T108" s="2900">
        <v>3.59</v>
      </c>
      <c r="U108" s="2900">
        <v>4.54</v>
      </c>
      <c r="V108" s="2900">
        <v>2.5499999999999998</v>
      </c>
    </row>
    <row r="109" spans="7:22">
      <c r="G109" s="2801"/>
      <c r="N109" s="2816"/>
      <c r="O109" s="2817"/>
      <c r="P109" s="2817"/>
      <c r="Q109" s="2817"/>
    </row>
    <row r="110" spans="7:22">
      <c r="G110" s="2801"/>
      <c r="N110" s="2816"/>
      <c r="O110" s="2817"/>
      <c r="P110" s="2817"/>
      <c r="Q110" s="2817"/>
    </row>
    <row r="111" spans="7:22">
      <c r="G111" s="2801"/>
      <c r="N111" s="2816"/>
      <c r="O111" s="2817"/>
      <c r="P111" s="2817"/>
      <c r="Q111" s="2817"/>
    </row>
    <row r="112" spans="7:22">
      <c r="G112" s="2801"/>
      <c r="N112" s="2816"/>
      <c r="O112" s="2817"/>
      <c r="P112" s="2817"/>
      <c r="Q112" s="2817"/>
    </row>
    <row r="113" spans="7:19">
      <c r="G113" s="2801"/>
      <c r="N113" s="2816"/>
      <c r="O113" s="2817"/>
      <c r="P113" s="2817"/>
      <c r="Q113" s="2817"/>
    </row>
    <row r="114" spans="7:19">
      <c r="G114" s="2801"/>
      <c r="N114" s="2816"/>
      <c r="O114" s="2817"/>
      <c r="P114" s="2817"/>
      <c r="Q114" s="2817"/>
    </row>
    <row r="115" spans="7:19">
      <c r="G115" s="2801"/>
      <c r="N115" s="2816"/>
      <c r="O115" s="2817"/>
      <c r="P115" s="2817"/>
      <c r="Q115" s="2817"/>
    </row>
    <row r="116" spans="7:19">
      <c r="G116" s="2801"/>
      <c r="N116" s="2816"/>
      <c r="O116" s="2817"/>
      <c r="P116" s="2817"/>
      <c r="Q116" s="2817"/>
    </row>
    <row r="117" spans="7:19">
      <c r="G117" s="2801"/>
      <c r="N117" s="2816"/>
      <c r="O117" s="2817"/>
      <c r="P117" s="2817"/>
      <c r="Q117" s="2817"/>
    </row>
    <row r="118" spans="7:19">
      <c r="G118" s="2801"/>
      <c r="N118" s="2816"/>
      <c r="O118" s="2817"/>
      <c r="P118" s="2817"/>
      <c r="Q118" s="2817"/>
    </row>
    <row r="119" spans="7:19">
      <c r="G119" s="2801"/>
      <c r="N119" s="2816"/>
      <c r="O119" s="2817"/>
      <c r="P119" s="2817"/>
      <c r="Q119" s="2817"/>
      <c r="S119" s="2801"/>
    </row>
    <row r="120" spans="7:19">
      <c r="G120" s="2801"/>
      <c r="N120" s="2816"/>
      <c r="O120" s="2817"/>
      <c r="P120" s="2817"/>
      <c r="Q120" s="2817"/>
      <c r="S120" s="2801"/>
    </row>
    <row r="121" spans="7:19">
      <c r="G121" s="2801"/>
      <c r="N121" s="2816"/>
      <c r="O121" s="2817"/>
      <c r="P121" s="2817"/>
      <c r="Q121" s="2817"/>
      <c r="S121" s="2801"/>
    </row>
    <row r="122" spans="7:19">
      <c r="G122" s="2801"/>
      <c r="N122" s="2816"/>
      <c r="O122" s="2817"/>
      <c r="P122" s="2817"/>
      <c r="Q122" s="2817"/>
      <c r="S122" s="2801"/>
    </row>
    <row r="123" spans="7:19">
      <c r="G123" s="2801"/>
      <c r="N123" s="2816"/>
      <c r="O123" s="2817"/>
      <c r="P123" s="2817"/>
      <c r="Q123" s="2817"/>
      <c r="S123" s="2801"/>
    </row>
    <row r="124" spans="7:19">
      <c r="G124" s="2801"/>
      <c r="N124" s="2816"/>
      <c r="O124" s="2817"/>
      <c r="P124" s="2817"/>
      <c r="Q124" s="2817"/>
      <c r="S124" s="2801"/>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3" customWidth="1"/>
    <col min="2" max="2" width="12.5" style="3153" customWidth="1"/>
    <col min="3" max="3" width="12.125" style="3153" customWidth="1"/>
    <col min="4" max="4" width="16.625" style="3153" customWidth="1"/>
    <col min="5" max="5" width="12.5" style="3153" customWidth="1"/>
    <col min="6" max="6" width="12.75" style="3153" customWidth="1"/>
    <col min="7" max="16384" width="8.875" style="3153"/>
  </cols>
  <sheetData>
    <row r="1" spans="1:14" ht="20.25">
      <c r="A1" s="3156" t="s">
        <v>2649</v>
      </c>
      <c r="B1" s="3151"/>
      <c r="C1" s="3151"/>
      <c r="D1" s="3151"/>
      <c r="E1" s="3151"/>
      <c r="F1" s="3151"/>
      <c r="G1" s="3152"/>
      <c r="H1" s="3152"/>
      <c r="I1" s="3152"/>
      <c r="J1" s="3152"/>
      <c r="K1" s="3152"/>
      <c r="L1" s="3152"/>
      <c r="M1" s="3152"/>
      <c r="N1" s="3152"/>
    </row>
    <row r="2" spans="1:14" ht="14.25">
      <c r="A2" s="3157" t="s">
        <v>2644</v>
      </c>
      <c r="B2" s="3162">
        <f ca="1">SUMIF(B7:B14,"&lt;&gt;#ref!",B7:B14)</f>
        <v>0</v>
      </c>
      <c r="C2" s="3157" t="s">
        <v>2645</v>
      </c>
      <c r="D2" s="3154"/>
      <c r="E2" s="3154"/>
      <c r="F2" s="3154"/>
      <c r="G2" s="3152"/>
      <c r="H2" s="3152"/>
      <c r="I2" s="3152"/>
      <c r="J2" s="3152"/>
      <c r="K2" s="3152"/>
      <c r="L2" s="3152"/>
      <c r="M2" s="3152"/>
      <c r="N2" s="3152"/>
    </row>
    <row r="3" spans="1:14" ht="14.25">
      <c r="A3" s="3157" t="s">
        <v>2673</v>
      </c>
      <c r="B3" s="3162" t="e">
        <f ca="1">ROUND(B2*10000/E3,0)</f>
        <v>#DIV/0!</v>
      </c>
      <c r="C3" s="3157" t="s">
        <v>1869</v>
      </c>
      <c r="D3" s="3157" t="s">
        <v>2646</v>
      </c>
      <c r="E3" s="3155">
        <f ca="1">SUMIF(E7:E14,"&lt;&gt;#ref!",E7:E14)</f>
        <v>0</v>
      </c>
      <c r="F3" s="3154"/>
      <c r="G3" s="3152"/>
      <c r="H3" s="3152"/>
      <c r="I3" s="3152"/>
      <c r="J3" s="3152"/>
      <c r="K3" s="3152"/>
      <c r="L3" s="3152"/>
      <c r="M3" s="3152"/>
      <c r="N3" s="3152"/>
    </row>
    <row r="4" spans="1:14" ht="14.25">
      <c r="A4" s="3157" t="s">
        <v>2652</v>
      </c>
      <c r="B4" s="3162" t="e">
        <f ca="1">ROUND(B2*10000/E4,0)</f>
        <v>#DIV/0!</v>
      </c>
      <c r="C4" s="3157" t="s">
        <v>1869</v>
      </c>
      <c r="D4" s="3157" t="s">
        <v>2653</v>
      </c>
      <c r="E4" s="3155">
        <f ca="1">SUMIF(F7:F14,"&lt;&gt;#ref!",F7:F14)</f>
        <v>0</v>
      </c>
      <c r="F4" s="3154"/>
      <c r="G4" s="3152"/>
      <c r="H4" s="3152"/>
      <c r="I4" s="3152"/>
      <c r="J4" s="3152"/>
      <c r="K4" s="3152"/>
      <c r="L4" s="3152"/>
      <c r="M4" s="3152"/>
      <c r="N4" s="3152"/>
    </row>
    <row r="5" spans="1:14" ht="14.25">
      <c r="A5" s="3158"/>
      <c r="B5" s="3154"/>
      <c r="C5" s="3154"/>
      <c r="D5" s="3154"/>
      <c r="E5" s="3154"/>
      <c r="F5" s="3154"/>
      <c r="G5" s="3152"/>
      <c r="H5" s="3152"/>
      <c r="I5" s="3152"/>
      <c r="J5" s="3152"/>
      <c r="K5" s="3152"/>
      <c r="L5" s="3152"/>
      <c r="M5" s="3152"/>
      <c r="N5" s="3152"/>
    </row>
    <row r="6" spans="1:14" ht="28.5">
      <c r="A6" s="3159" t="s">
        <v>2650</v>
      </c>
      <c r="B6" s="3157" t="s">
        <v>2647</v>
      </c>
      <c r="C6" s="2705"/>
      <c r="D6" s="3154"/>
      <c r="E6" s="3157" t="s">
        <v>2648</v>
      </c>
      <c r="F6" s="3157" t="s">
        <v>2651</v>
      </c>
      <c r="G6" s="3152"/>
      <c r="H6" s="3152"/>
      <c r="I6" s="3152"/>
      <c r="J6" s="3152"/>
      <c r="K6" s="3152"/>
      <c r="L6" s="3152"/>
      <c r="M6" s="3152"/>
      <c r="N6" s="3152"/>
    </row>
    <row r="7" spans="1:14" ht="14.25">
      <c r="A7" s="3160"/>
      <c r="B7" s="3162" t="e">
        <f ca="1">SUMIF(INDIRECT("'"&amp;A7&amp;"'"&amp;"!A:A"),"总价",INDIRECT("'"&amp;A7&amp;"'"&amp;"!B:B"))</f>
        <v>#REF!</v>
      </c>
      <c r="C7" s="3157" t="s">
        <v>2645</v>
      </c>
      <c r="D7" s="3154"/>
      <c r="E7" s="3155" t="e">
        <f ca="1">SUMIF(INDIRECT("'"&amp;A7&amp;"'"&amp;"!C:C"),"建筑面积",INDIRECT("'"&amp;A7&amp;"'"&amp;"!D:D"))</f>
        <v>#REF!</v>
      </c>
      <c r="F7" s="3155" t="e">
        <f ca="1">SUMIF(INDIRECT("'"&amp;A7&amp;"'"&amp;"!E:E"),"土地面积",INDIRECT("'"&amp;A7&amp;"'"&amp;"!F:F"))</f>
        <v>#REF!</v>
      </c>
      <c r="G7" s="3152"/>
      <c r="H7" s="3152"/>
      <c r="I7" s="3152"/>
      <c r="J7" s="3152"/>
      <c r="K7" s="3152"/>
      <c r="L7" s="3152"/>
      <c r="M7" s="3152"/>
      <c r="N7" s="3152"/>
    </row>
    <row r="8" spans="1:14" ht="14.25">
      <c r="A8" s="3160"/>
      <c r="B8" s="3162" t="e">
        <f t="shared" ref="B8:B14" ca="1" si="0">SUMIF(INDIRECT("'"&amp;A8&amp;"'"&amp;"!A:A"),"总价",INDIRECT("'"&amp;A8&amp;"'"&amp;"!B:B"))</f>
        <v>#REF!</v>
      </c>
      <c r="C8" s="3157" t="s">
        <v>2645</v>
      </c>
      <c r="D8" s="3154"/>
      <c r="E8" s="3155" t="e">
        <f t="shared" ref="E8:E14" ca="1" si="1">SUMIF(INDIRECT("'"&amp;A8&amp;"'"&amp;"!C:C"),"建筑面积",INDIRECT("'"&amp;A8&amp;"'"&amp;"!D:D"))</f>
        <v>#REF!</v>
      </c>
      <c r="F8" s="3155" t="e">
        <f t="shared" ref="F8:F14" ca="1" si="2">SUMIF(INDIRECT("'"&amp;A8&amp;"'"&amp;"!E:E"),"土地面积",INDIRECT("'"&amp;A8&amp;"'"&amp;"!F:F"))</f>
        <v>#REF!</v>
      </c>
      <c r="G8" s="3152"/>
      <c r="H8" s="3152"/>
      <c r="I8" s="3152"/>
      <c r="J8" s="3152"/>
      <c r="K8" s="3152"/>
      <c r="L8" s="3152"/>
      <c r="M8" s="3152"/>
      <c r="N8" s="3152"/>
    </row>
    <row r="9" spans="1:14" ht="14.25">
      <c r="A9" s="3160"/>
      <c r="B9" s="3162" t="e">
        <f t="shared" ca="1" si="0"/>
        <v>#REF!</v>
      </c>
      <c r="C9" s="3157" t="s">
        <v>2645</v>
      </c>
      <c r="D9" s="3154"/>
      <c r="E9" s="3155" t="e">
        <f t="shared" ca="1" si="1"/>
        <v>#REF!</v>
      </c>
      <c r="F9" s="3155" t="e">
        <f t="shared" ca="1" si="2"/>
        <v>#REF!</v>
      </c>
      <c r="G9" s="3152"/>
      <c r="H9" s="3152"/>
      <c r="I9" s="3152"/>
      <c r="J9" s="3152"/>
      <c r="K9" s="3152"/>
      <c r="L9" s="3152"/>
      <c r="M9" s="3152"/>
      <c r="N9" s="3152"/>
    </row>
    <row r="10" spans="1:14" ht="14.25">
      <c r="A10" s="3160"/>
      <c r="B10" s="3162" t="e">
        <f t="shared" ca="1" si="0"/>
        <v>#REF!</v>
      </c>
      <c r="C10" s="3157" t="s">
        <v>2645</v>
      </c>
      <c r="D10" s="3154"/>
      <c r="E10" s="3155" t="e">
        <f t="shared" ca="1" si="1"/>
        <v>#REF!</v>
      </c>
      <c r="F10" s="3155" t="e">
        <f t="shared" ca="1" si="2"/>
        <v>#REF!</v>
      </c>
      <c r="G10" s="3152"/>
      <c r="H10" s="3152"/>
      <c r="I10" s="3152"/>
      <c r="J10" s="3152"/>
      <c r="K10" s="3152"/>
      <c r="L10" s="3152"/>
      <c r="M10" s="3152"/>
      <c r="N10" s="3152"/>
    </row>
    <row r="11" spans="1:14" ht="14.25">
      <c r="A11" s="3160"/>
      <c r="B11" s="3162" t="e">
        <f t="shared" ca="1" si="0"/>
        <v>#REF!</v>
      </c>
      <c r="C11" s="3157" t="s">
        <v>2645</v>
      </c>
      <c r="D11" s="3154"/>
      <c r="E11" s="3155" t="e">
        <f t="shared" ca="1" si="1"/>
        <v>#REF!</v>
      </c>
      <c r="F11" s="3155" t="e">
        <f t="shared" ca="1" si="2"/>
        <v>#REF!</v>
      </c>
      <c r="G11" s="3152"/>
      <c r="H11" s="3152"/>
      <c r="I11" s="3152"/>
      <c r="J11" s="3152"/>
      <c r="K11" s="3152"/>
      <c r="L11" s="3152"/>
      <c r="M11" s="3152"/>
      <c r="N11" s="3152"/>
    </row>
    <row r="12" spans="1:14" ht="14.25">
      <c r="A12" s="3160"/>
      <c r="B12" s="3162" t="e">
        <f t="shared" ca="1" si="0"/>
        <v>#REF!</v>
      </c>
      <c r="C12" s="3157" t="s">
        <v>2645</v>
      </c>
      <c r="D12" s="3154"/>
      <c r="E12" s="3155" t="e">
        <f t="shared" ca="1" si="1"/>
        <v>#REF!</v>
      </c>
      <c r="F12" s="3155" t="e">
        <f t="shared" ca="1" si="2"/>
        <v>#REF!</v>
      </c>
      <c r="G12" s="3152"/>
      <c r="H12" s="3152"/>
      <c r="I12" s="3152"/>
      <c r="J12" s="3152"/>
      <c r="K12" s="3152"/>
      <c r="L12" s="3152"/>
      <c r="M12" s="3152"/>
      <c r="N12" s="3152"/>
    </row>
    <row r="13" spans="1:14" ht="14.25">
      <c r="A13" s="3160"/>
      <c r="B13" s="3162" t="e">
        <f t="shared" ca="1" si="0"/>
        <v>#REF!</v>
      </c>
      <c r="C13" s="3157" t="s">
        <v>2645</v>
      </c>
      <c r="D13" s="3154"/>
      <c r="E13" s="3155" t="e">
        <f t="shared" ca="1" si="1"/>
        <v>#REF!</v>
      </c>
      <c r="F13" s="3155" t="e">
        <f t="shared" ca="1" si="2"/>
        <v>#REF!</v>
      </c>
      <c r="G13" s="3152"/>
      <c r="H13" s="3152"/>
      <c r="I13" s="3152"/>
      <c r="J13" s="3152"/>
      <c r="K13" s="3152"/>
      <c r="L13" s="3152"/>
      <c r="M13" s="3152"/>
      <c r="N13" s="3152"/>
    </row>
    <row r="14" spans="1:14" ht="14.25">
      <c r="A14" s="3161"/>
      <c r="B14" s="3162" t="e">
        <f t="shared" ca="1" si="0"/>
        <v>#REF!</v>
      </c>
      <c r="C14" s="3157" t="s">
        <v>2645</v>
      </c>
      <c r="D14" s="3154"/>
      <c r="E14" s="3155" t="e">
        <f t="shared" ca="1" si="1"/>
        <v>#REF!</v>
      </c>
      <c r="F14" s="3155" t="e">
        <f t="shared" ca="1" si="2"/>
        <v>#REF!</v>
      </c>
      <c r="G14" s="3152"/>
      <c r="H14" s="3152"/>
      <c r="I14" s="3152"/>
      <c r="J14" s="3152"/>
      <c r="K14" s="3152"/>
      <c r="L14" s="3152"/>
      <c r="M14" s="3152"/>
      <c r="N14" s="3152"/>
    </row>
    <row r="15" spans="1:14">
      <c r="A15" s="3152"/>
      <c r="B15" s="3152"/>
      <c r="C15" s="3152"/>
      <c r="D15" s="3152"/>
      <c r="E15" s="3152"/>
      <c r="F15" s="3152"/>
      <c r="G15" s="3152"/>
      <c r="H15" s="3152"/>
      <c r="I15" s="3152"/>
      <c r="J15" s="3152"/>
      <c r="K15" s="3152"/>
      <c r="L15" s="3152"/>
      <c r="M15" s="3152"/>
      <c r="N15" s="3152"/>
    </row>
    <row r="16" spans="1:14">
      <c r="A16" s="3152"/>
      <c r="B16" s="3152"/>
      <c r="C16" s="3152"/>
      <c r="D16" s="3152"/>
      <c r="E16" s="3152"/>
      <c r="F16" s="3152"/>
      <c r="G16" s="3152"/>
      <c r="H16" s="3152"/>
      <c r="I16" s="3152"/>
      <c r="J16" s="3152"/>
      <c r="K16" s="3152"/>
      <c r="L16" s="3152"/>
      <c r="M16" s="3152"/>
      <c r="N16" s="3152"/>
    </row>
    <row r="17" spans="1:14">
      <c r="A17" s="3152"/>
      <c r="B17" s="3152"/>
      <c r="C17" s="3152"/>
      <c r="D17" s="3152"/>
      <c r="E17" s="3152"/>
      <c r="F17" s="3152"/>
      <c r="G17" s="3152"/>
      <c r="H17" s="3152"/>
      <c r="I17" s="3152"/>
      <c r="J17" s="3152"/>
      <c r="K17" s="3152"/>
      <c r="L17" s="3152"/>
      <c r="M17" s="3152"/>
      <c r="N17" s="3152"/>
    </row>
    <row r="18" spans="1:14">
      <c r="A18" s="3152"/>
      <c r="B18" s="3152"/>
      <c r="C18" s="3152"/>
      <c r="D18" s="3152"/>
      <c r="E18" s="3152"/>
      <c r="F18" s="3152"/>
      <c r="G18" s="3152"/>
      <c r="H18" s="3152"/>
      <c r="I18" s="3152"/>
      <c r="J18" s="3152"/>
      <c r="K18" s="3152"/>
      <c r="L18" s="3152"/>
      <c r="M18" s="3152"/>
      <c r="N18" s="3152"/>
    </row>
    <row r="19" spans="1:14">
      <c r="A19" s="3152"/>
      <c r="B19" s="3152"/>
      <c r="C19" s="3152"/>
      <c r="D19" s="3152"/>
      <c r="E19" s="3152"/>
      <c r="F19" s="3152"/>
      <c r="G19" s="3152"/>
      <c r="H19" s="3152"/>
      <c r="I19" s="3152"/>
      <c r="J19" s="3152"/>
      <c r="K19" s="3152"/>
      <c r="L19" s="3152"/>
      <c r="M19" s="3152"/>
      <c r="N19" s="3152"/>
    </row>
    <row r="20" spans="1:14">
      <c r="A20" s="3152"/>
      <c r="B20" s="3152"/>
      <c r="C20" s="3152"/>
      <c r="D20" s="3152"/>
      <c r="E20" s="3152"/>
      <c r="F20" s="3152"/>
      <c r="G20" s="3152"/>
      <c r="H20" s="3152"/>
      <c r="I20" s="3152"/>
      <c r="J20" s="3152"/>
      <c r="K20" s="3152"/>
      <c r="L20" s="3152"/>
      <c r="M20" s="3152"/>
      <c r="N20" s="3152"/>
    </row>
    <row r="21" spans="1:14">
      <c r="A21" s="3152"/>
      <c r="B21" s="3152"/>
      <c r="C21" s="3152"/>
      <c r="D21" s="3152"/>
      <c r="E21" s="3152"/>
      <c r="F21" s="3152"/>
      <c r="G21" s="3152"/>
      <c r="H21" s="3152"/>
      <c r="I21" s="3152"/>
      <c r="J21" s="3152"/>
      <c r="K21" s="3152"/>
      <c r="L21" s="3152"/>
      <c r="M21" s="3152"/>
      <c r="N21" s="3152"/>
    </row>
    <row r="22" spans="1:14">
      <c r="A22" s="3152"/>
      <c r="B22" s="3152"/>
      <c r="C22" s="3152"/>
      <c r="D22" s="3152"/>
      <c r="E22" s="3152"/>
      <c r="F22" s="3152"/>
      <c r="G22" s="3152"/>
      <c r="H22" s="3152"/>
      <c r="I22" s="3152"/>
      <c r="J22" s="3152"/>
      <c r="K22" s="3152"/>
      <c r="L22" s="3152"/>
      <c r="M22" s="3152"/>
      <c r="N22" s="3152"/>
    </row>
    <row r="23" spans="1:14">
      <c r="A23" s="3152"/>
      <c r="B23" s="3152"/>
      <c r="C23" s="3152"/>
      <c r="D23" s="3152"/>
      <c r="E23" s="3152"/>
      <c r="F23" s="3152"/>
      <c r="G23" s="3152"/>
      <c r="H23" s="3152"/>
      <c r="I23" s="3152"/>
      <c r="J23" s="3152"/>
      <c r="K23" s="3152"/>
      <c r="L23" s="3152"/>
      <c r="M23" s="3152"/>
      <c r="N23" s="3152"/>
    </row>
    <row r="24" spans="1:14">
      <c r="A24" s="3152"/>
      <c r="B24" s="3152"/>
      <c r="C24" s="3152"/>
      <c r="D24" s="3152"/>
      <c r="E24" s="3152"/>
      <c r="F24" s="3152"/>
      <c r="G24" s="3152"/>
      <c r="H24" s="3152"/>
      <c r="I24" s="3152"/>
      <c r="J24" s="3152"/>
      <c r="K24" s="3152"/>
      <c r="L24" s="3152"/>
      <c r="M24" s="3152"/>
      <c r="N24" s="3152"/>
    </row>
    <row r="25" spans="1:14">
      <c r="A25" s="3152"/>
      <c r="B25" s="3152"/>
      <c r="C25" s="3152"/>
      <c r="D25" s="3152"/>
      <c r="E25" s="3152"/>
      <c r="F25" s="3152"/>
      <c r="G25" s="3152"/>
      <c r="H25" s="3152"/>
      <c r="I25" s="3152"/>
      <c r="J25" s="3152"/>
      <c r="K25" s="3152"/>
      <c r="L25" s="3152"/>
      <c r="M25" s="3152"/>
      <c r="N25" s="3152"/>
    </row>
    <row r="26" spans="1:14">
      <c r="A26" s="3152"/>
      <c r="B26" s="3152"/>
      <c r="C26" s="3152"/>
      <c r="D26" s="3152"/>
      <c r="E26" s="3152"/>
      <c r="F26" s="3152"/>
      <c r="G26" s="3152"/>
      <c r="H26" s="3152"/>
      <c r="I26" s="3152"/>
      <c r="J26" s="3152"/>
      <c r="K26" s="3152"/>
      <c r="L26" s="3152"/>
      <c r="M26" s="3152"/>
      <c r="N26" s="3152"/>
    </row>
    <row r="27" spans="1:14">
      <c r="A27" s="3152"/>
      <c r="B27" s="3152"/>
      <c r="C27" s="3152"/>
      <c r="D27" s="3152"/>
      <c r="E27" s="3152"/>
      <c r="F27" s="3152"/>
      <c r="G27" s="3152"/>
      <c r="H27" s="3152"/>
      <c r="I27" s="3152"/>
      <c r="J27" s="3152"/>
      <c r="K27" s="3152"/>
      <c r="L27" s="3152"/>
      <c r="M27" s="3152"/>
      <c r="N27" s="3152"/>
    </row>
    <row r="28" spans="1:14">
      <c r="A28" s="3152"/>
      <c r="B28" s="3152"/>
      <c r="C28" s="3152"/>
      <c r="D28" s="3152"/>
      <c r="E28" s="3152"/>
      <c r="F28" s="3152"/>
      <c r="G28" s="3152"/>
      <c r="H28" s="3152"/>
      <c r="I28" s="3152"/>
      <c r="J28" s="3152"/>
      <c r="K28" s="3152"/>
      <c r="L28" s="3152"/>
      <c r="M28" s="3152"/>
      <c r="N28" s="3152"/>
    </row>
    <row r="29" spans="1:14">
      <c r="A29" s="3152"/>
      <c r="B29" s="3152"/>
      <c r="C29" s="3152"/>
      <c r="D29" s="3152"/>
      <c r="E29" s="3152"/>
      <c r="F29" s="3152"/>
      <c r="G29" s="3152"/>
      <c r="H29" s="3152"/>
      <c r="I29" s="3152"/>
      <c r="J29" s="3152"/>
      <c r="K29" s="3152"/>
      <c r="L29" s="3152"/>
      <c r="M29" s="3152"/>
      <c r="N29" s="315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1699</v>
      </c>
    </row>
    <row r="2" spans="1:4">
      <c r="A2" s="1647"/>
    </row>
    <row r="3" spans="1:4" ht="18.75">
      <c r="A3" s="1665" t="str">
        <f>项目基本情况!B5&amp;"："</f>
        <v>：</v>
      </c>
    </row>
    <row r="4" spans="1:4" ht="18.75">
      <c r="A4" s="1659" t="str">
        <f>"受贵公司委托，我公司对"&amp;项目基本情况!K2&amp;项目基本情况!B9&amp;"进行了预评估。"</f>
        <v>受贵公司委托，我公司对出让国有建设用地使用权抵押价格进行了预评估。</v>
      </c>
    </row>
    <row r="5" spans="1:4" ht="18.75">
      <c r="A5" s="1662" t="s">
        <v>1700</v>
      </c>
    </row>
    <row r="6" spans="1:4" ht="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23308.88平方米。根据《建设工程规划许可证》[]、《出让合同》[]，估价对象规划建筑面积为184715.46平方米。</v>
      </c>
    </row>
    <row r="7" spans="1:4" ht="56.25">
      <c r="A7" s="1663" t="s">
        <v>2463</v>
      </c>
    </row>
    <row r="8" spans="1:4" ht="18.75">
      <c r="A8" s="1662" t="s">
        <v>1701</v>
      </c>
    </row>
    <row r="9" spans="1:4" ht="75">
      <c r="A9" s="166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1817</v>
      </c>
    </row>
    <row r="11" spans="1:4" ht="18.75">
      <c r="A11" s="1648" t="str">
        <f>TEXT(项目基本情况!D3,"yyyy年m月d日;;")&amp;IF(项目基本情况!B3=项目基本情况!D3,"（评估专业人员勘察现场之日）","")</f>
        <v>2022年11月30日</v>
      </c>
    </row>
    <row r="12" spans="1:4" ht="18.75">
      <c r="A12" s="1665" t="s">
        <v>1816</v>
      </c>
    </row>
    <row r="13" spans="1:4" ht="18.75">
      <c r="A13" s="1659" t="s">
        <v>2642</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1863</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1864</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根据《国有土地使用证》[]，估价对象（分摊）出让国有建设用地使用权面积为23308.88平方米。根据《建设工程规划许可证》[]、《出让合同》[]，估价对象规划建筑面积为184715.46平方米。</v>
      </c>
    </row>
    <row r="21" spans="1:1" ht="18.75">
      <c r="A21" s="1659" t="s">
        <v>1865</v>
      </c>
    </row>
    <row r="22" spans="1:1" ht="56.2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本次估价对象为出让国有建设用地使用权，《国有土地使用证》[]证载土地终止日期为住宅2088年3月14日、商业2058年3月14日地下车库2068年3月14日。截至估价期日，出让国有建设用地使用权剩余土地使用年限为。</v>
      </c>
    </row>
    <row r="23" spans="1:1" ht="18.75">
      <c r="A23" s="1659" t="str">
        <f>IF(项目基本情况!B16="出让","本次评估设定估价对象剩余土地使用年限为"&amp;项目基本情况!D20&amp;"。","")</f>
        <v>本次评估设定估价对象剩余土地使用年限为。</v>
      </c>
    </row>
    <row r="24" spans="1:1" ht="18.75">
      <c r="A24" s="1659" t="s">
        <v>1866</v>
      </c>
    </row>
    <row r="25" spans="1:1" ht="75">
      <c r="A25" s="1659"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row>
    <row r="26" spans="1:1" ht="37.5">
      <c r="A26" s="16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1818</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1819</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5" t="s">
        <v>610</v>
      </c>
      <c r="B1" s="713"/>
      <c r="C1" s="746"/>
      <c r="D1" s="1885"/>
      <c r="E1" s="2194" t="s">
        <v>2160</v>
      </c>
      <c r="F1" s="2195">
        <f ca="1">J54</f>
        <v>-2.5</v>
      </c>
      <c r="G1" s="747">
        <f>MATCH(C1,'数据-取费表'!A6:A16,0)+5</f>
        <v>10</v>
      </c>
      <c r="H1" s="1257"/>
      <c r="I1" s="1886"/>
      <c r="J1" s="1886"/>
      <c r="K1" s="1887"/>
      <c r="L1" s="1886"/>
      <c r="M1" s="1886"/>
      <c r="N1" s="1888"/>
      <c r="O1" s="1888"/>
      <c r="P1" s="1888"/>
      <c r="Q1" s="1888"/>
      <c r="R1" s="1888"/>
      <c r="S1" s="1888"/>
      <c r="T1" s="1888"/>
      <c r="U1" s="1888"/>
      <c r="V1" s="1888"/>
      <c r="W1" s="1888"/>
      <c r="X1" s="1888"/>
      <c r="Y1" s="1888"/>
    </row>
    <row r="2" spans="1:25" ht="18" customHeight="1">
      <c r="A2" s="1525" t="s">
        <v>611</v>
      </c>
      <c r="B2" s="748">
        <f ca="1">IF(ISERROR(C45+J31),0,C45+J31)</f>
        <v>0</v>
      </c>
      <c r="C2" s="1258"/>
      <c r="D2" s="1890"/>
      <c r="E2" s="1891"/>
      <c r="F2" s="1891"/>
      <c r="G2" s="1478"/>
      <c r="H2" s="1270"/>
      <c r="I2" s="1892"/>
      <c r="J2" s="1892"/>
      <c r="K2" s="1893"/>
      <c r="L2" s="1892"/>
      <c r="M2" s="1892"/>
    </row>
    <row r="3" spans="1:25" ht="18" customHeight="1">
      <c r="A3" s="1526" t="s">
        <v>1485</v>
      </c>
      <c r="B3" s="1293">
        <f ca="1">ROUND(B2*10000/'数据-汇总表'!E3,0)</f>
        <v>0</v>
      </c>
      <c r="C3" s="1258"/>
      <c r="D3" s="1890"/>
      <c r="E3" s="1891"/>
      <c r="F3" s="1891"/>
      <c r="G3" s="1478"/>
      <c r="H3" s="749" t="s">
        <v>677</v>
      </c>
      <c r="I3" s="1892"/>
      <c r="J3" s="1892"/>
      <c r="K3" s="1893"/>
      <c r="L3" s="1892"/>
      <c r="M3" s="1892"/>
    </row>
    <row r="4" spans="1:25" ht="18" customHeight="1">
      <c r="A4" s="1527" t="s">
        <v>678</v>
      </c>
      <c r="B4" s="1259">
        <f ca="1">ROUND(B2*10000/'数据-汇总表'!D3,0)</f>
        <v>0</v>
      </c>
      <c r="C4" s="422"/>
      <c r="D4" s="1890"/>
      <c r="E4" s="1891"/>
      <c r="F4" s="1891"/>
      <c r="G4" s="1478"/>
      <c r="H4" s="749"/>
      <c r="I4" s="1892"/>
      <c r="J4" s="1892"/>
      <c r="K4" s="1893"/>
      <c r="L4" s="1892"/>
      <c r="M4" s="1892"/>
    </row>
    <row r="5" spans="1:25" ht="18" customHeight="1" thickBot="1">
      <c r="A5" s="1528"/>
      <c r="B5" s="424">
        <f ca="1">ROUND(B2/('数据-汇总表'!D3/666.67),0)</f>
        <v>0</v>
      </c>
      <c r="C5" s="425" t="s">
        <v>679</v>
      </c>
      <c r="D5" s="1890"/>
      <c r="E5" s="1891"/>
      <c r="F5" s="1891"/>
      <c r="G5" s="1478"/>
      <c r="H5" s="749"/>
      <c r="I5" s="1892"/>
      <c r="J5" s="1892"/>
      <c r="K5" s="1893"/>
      <c r="L5" s="1892"/>
      <c r="M5" s="1892"/>
    </row>
    <row r="6" spans="1:25" ht="18" customHeight="1">
      <c r="A6" s="1696" t="s">
        <v>680</v>
      </c>
      <c r="B6" s="1688" t="s">
        <v>681</v>
      </c>
      <c r="C6" s="1688" t="s">
        <v>614</v>
      </c>
      <c r="D6" s="1688" t="s">
        <v>615</v>
      </c>
      <c r="E6" s="752" t="s">
        <v>616</v>
      </c>
      <c r="F6" s="753"/>
      <c r="G6" s="1480"/>
      <c r="H6" s="1696" t="s">
        <v>612</v>
      </c>
      <c r="I6" s="1688" t="s">
        <v>613</v>
      </c>
      <c r="J6" s="1688" t="s">
        <v>614</v>
      </c>
      <c r="K6" s="1688" t="s">
        <v>615</v>
      </c>
      <c r="L6" s="752" t="s">
        <v>616</v>
      </c>
      <c r="M6" s="753"/>
    </row>
    <row r="7" spans="1:25" ht="18" customHeight="1">
      <c r="A7" s="754">
        <v>1</v>
      </c>
      <c r="B7" s="755" t="s">
        <v>2236</v>
      </c>
      <c r="C7" s="53">
        <f ca="1">C8+C12+C14</f>
        <v>0</v>
      </c>
      <c r="D7" s="2299" t="s">
        <v>2239</v>
      </c>
      <c r="E7" s="2293"/>
      <c r="F7" s="2294"/>
      <c r="G7" s="1480"/>
      <c r="H7" s="754">
        <v>1</v>
      </c>
      <c r="I7" s="755" t="s">
        <v>2236</v>
      </c>
      <c r="J7" s="53">
        <f ca="1">J8+J12+J14</f>
        <v>0</v>
      </c>
      <c r="K7" s="2299" t="s">
        <v>2239</v>
      </c>
      <c r="L7" s="2293"/>
      <c r="M7" s="2294"/>
    </row>
    <row r="8" spans="1:25" ht="18" customHeight="1">
      <c r="A8" s="1698" t="s">
        <v>1623</v>
      </c>
      <c r="B8" s="3775" t="s">
        <v>2241</v>
      </c>
      <c r="C8" s="1693">
        <f ca="1">ROUND(F8*F10*F9*(1-F11)/10000,0)</f>
        <v>0</v>
      </c>
      <c r="D8" s="1690" t="s">
        <v>2251</v>
      </c>
      <c r="E8" s="61" t="s">
        <v>619</v>
      </c>
      <c r="F8" s="758">
        <f ca="1">INDIRECT("'数据-取费表'!u"&amp;$G$1)</f>
        <v>0</v>
      </c>
      <c r="G8" s="1480"/>
      <c r="H8" s="2307" t="s">
        <v>1623</v>
      </c>
      <c r="I8" s="3775" t="s">
        <v>2241</v>
      </c>
      <c r="J8" s="756">
        <f ca="1">ROUND(M8*M10*M9*(1-M11)/10000,0)</f>
        <v>0</v>
      </c>
      <c r="K8" s="339" t="s">
        <v>2251</v>
      </c>
      <c r="L8" s="757" t="s">
        <v>1537</v>
      </c>
      <c r="M8" s="758">
        <f ca="1">INDIRECT("'数据-取费表'!z"&amp;$G$1)</f>
        <v>0</v>
      </c>
    </row>
    <row r="9" spans="1:25" ht="18" customHeight="1">
      <c r="A9" s="2303"/>
      <c r="B9" s="3776"/>
      <c r="C9" s="1694"/>
      <c r="D9" s="1691"/>
      <c r="E9" s="61" t="s">
        <v>620</v>
      </c>
      <c r="F9" s="758">
        <f ca="1">IF(INDIRECT("'数据-取费表'!ah"&amp;$G$1)="",INDIRECT("'数据-取费表'!k"&amp;$G$1),INDIRECT("'数据-取费表'!ah"&amp;$G$1))</f>
        <v>0</v>
      </c>
      <c r="G9" s="1480"/>
      <c r="H9" s="2292"/>
      <c r="I9" s="3776"/>
      <c r="J9" s="761"/>
      <c r="K9" s="762"/>
      <c r="L9" s="757" t="s">
        <v>1538</v>
      </c>
      <c r="M9" s="758">
        <f ca="1">F9</f>
        <v>0</v>
      </c>
    </row>
    <row r="10" spans="1:25" ht="18" customHeight="1">
      <c r="A10" s="2296"/>
      <c r="B10" s="3777"/>
      <c r="C10" s="1694"/>
      <c r="D10" s="1691"/>
      <c r="E10" s="61" t="s">
        <v>621</v>
      </c>
      <c r="F10" s="758">
        <f ca="1">INDIRECT("'数据-取费表'!ai"&amp;$G$1)</f>
        <v>0</v>
      </c>
      <c r="G10" s="1480"/>
      <c r="H10" s="2292"/>
      <c r="I10" s="3777"/>
      <c r="J10" s="761"/>
      <c r="K10" s="762"/>
      <c r="L10" s="757" t="s">
        <v>1539</v>
      </c>
      <c r="M10" s="758">
        <f ca="1">INDIRECT("'数据-取费表'!ai"&amp;$G$1)</f>
        <v>0</v>
      </c>
    </row>
    <row r="11" spans="1:25" ht="18" customHeight="1">
      <c r="A11" s="759"/>
      <c r="B11" s="3778"/>
      <c r="C11" s="1694"/>
      <c r="D11" s="1691"/>
      <c r="E11" s="61" t="s">
        <v>622</v>
      </c>
      <c r="F11" s="767">
        <f ca="1">INDIRECT("'数据-取费表'!w"&amp;$G$1)</f>
        <v>0</v>
      </c>
      <c r="G11" s="1480"/>
      <c r="H11" s="2308"/>
      <c r="I11" s="3777"/>
      <c r="J11" s="761"/>
      <c r="K11" s="762"/>
      <c r="L11" s="768" t="s">
        <v>1540</v>
      </c>
      <c r="M11" s="769">
        <f ca="1">INDIRECT("'数据-取费表'!ab"&amp;$G$1)</f>
        <v>0</v>
      </c>
    </row>
    <row r="12" spans="1:25" ht="18" customHeight="1">
      <c r="A12" s="1698" t="s">
        <v>1624</v>
      </c>
      <c r="B12" s="2297" t="s">
        <v>2237</v>
      </c>
      <c r="C12" s="772">
        <f ca="1">ROUND(IF(F12="押一",C8/12*F13,IF(F12="押二",C8/12*2*F13,IF(F12="押三",C8/12*3*F13,C13*F13))),0)</f>
        <v>0</v>
      </c>
      <c r="D12" s="2304" t="s">
        <v>2670</v>
      </c>
      <c r="E12" s="2301" t="s">
        <v>2242</v>
      </c>
      <c r="F12" s="2385"/>
      <c r="G12" s="1480"/>
      <c r="H12" s="2335" t="s">
        <v>1624</v>
      </c>
      <c r="I12" s="2340" t="s">
        <v>2237</v>
      </c>
      <c r="J12" s="756">
        <f ca="1">ROUND(IF(M12="押一",J8/12*M13,IF(M12="押二",J8/12*2*M13,IF(M12="押三",J8/12*3*M13,J13*M13))),0)</f>
        <v>0</v>
      </c>
      <c r="K12" s="2304" t="s">
        <v>2670</v>
      </c>
      <c r="L12" s="2301" t="s">
        <v>2242</v>
      </c>
      <c r="M12" s="2385"/>
    </row>
    <row r="13" spans="1:25" ht="18" customHeight="1">
      <c r="A13" s="763"/>
      <c r="B13" s="2298" t="s">
        <v>2290</v>
      </c>
      <c r="C13" s="2302"/>
      <c r="D13" s="762"/>
      <c r="E13" s="2301" t="s">
        <v>2235</v>
      </c>
      <c r="F13" s="769">
        <f ca="1">'数据-取费表'!B39</f>
        <v>1.4999999999999999E-2</v>
      </c>
      <c r="G13" s="1480"/>
      <c r="H13" s="2336"/>
      <c r="I13" s="2298" t="s">
        <v>2290</v>
      </c>
      <c r="J13" s="2302"/>
      <c r="K13" s="2337"/>
      <c r="L13" s="2301" t="s">
        <v>2235</v>
      </c>
      <c r="M13" s="2295">
        <f ca="1">'数据-取费表'!B39</f>
        <v>1.4999999999999999E-2</v>
      </c>
    </row>
    <row r="14" spans="1:25" ht="18" customHeight="1" thickBot="1">
      <c r="A14" s="2311" t="s">
        <v>2245</v>
      </c>
      <c r="B14" s="2312" t="s">
        <v>2238</v>
      </c>
      <c r="C14" s="2313"/>
      <c r="D14" s="2314"/>
      <c r="E14" s="2315"/>
      <c r="F14" s="2316"/>
      <c r="G14" s="1480"/>
      <c r="H14" s="2325" t="s">
        <v>2245</v>
      </c>
      <c r="I14" s="2338" t="s">
        <v>2238</v>
      </c>
      <c r="J14" s="2339"/>
      <c r="K14" s="2314"/>
      <c r="L14" s="2315"/>
      <c r="M14" s="2328"/>
    </row>
    <row r="15" spans="1:25" ht="18" customHeight="1" thickTop="1">
      <c r="A15" s="1697" t="s">
        <v>1669</v>
      </c>
      <c r="B15" s="1695" t="s">
        <v>623</v>
      </c>
      <c r="C15" s="765">
        <f ca="1">ROUND(C31*F15,0)</f>
        <v>0</v>
      </c>
      <c r="D15" s="1702" t="s">
        <v>624</v>
      </c>
      <c r="E15" s="768" t="s">
        <v>625</v>
      </c>
      <c r="F15" s="773">
        <f ca="1">INDIRECT("'数据-取费表'!y"&amp;$G$1)</f>
        <v>0</v>
      </c>
      <c r="G15" s="1480"/>
      <c r="H15" s="1697" t="s">
        <v>1625</v>
      </c>
      <c r="I15" s="1695" t="s">
        <v>626</v>
      </c>
      <c r="J15" s="1687">
        <f ca="1">ROUND(J16*J17,0)</f>
        <v>0</v>
      </c>
      <c r="K15" s="1689" t="s">
        <v>624</v>
      </c>
      <c r="L15" s="774"/>
      <c r="M15" s="775"/>
    </row>
    <row r="16" spans="1:25" ht="18" customHeight="1">
      <c r="A16" s="776" t="s">
        <v>1670</v>
      </c>
      <c r="B16" s="757" t="s">
        <v>627</v>
      </c>
      <c r="C16" s="777">
        <f ca="1">INDIRECT("'数据-取费表'!m"&amp;$G$1)+INDIRECT("'数据-取费表'!t"&amp;$G$1)</f>
        <v>0</v>
      </c>
      <c r="D16" s="1845" t="s">
        <v>628</v>
      </c>
      <c r="E16" s="1846"/>
      <c r="F16" s="778"/>
      <c r="G16" s="1480"/>
      <c r="H16" s="776" t="s">
        <v>1860</v>
      </c>
      <c r="I16" s="2063" t="s">
        <v>2540</v>
      </c>
      <c r="J16" s="53">
        <f ca="1">C31</f>
        <v>0</v>
      </c>
      <c r="K16" s="26"/>
      <c r="L16" s="774"/>
      <c r="M16" s="775"/>
    </row>
    <row r="17" spans="1:25" s="1899" customFormat="1" ht="18" customHeight="1">
      <c r="A17" s="776" t="s">
        <v>1648</v>
      </c>
      <c r="B17" s="757" t="s">
        <v>629</v>
      </c>
      <c r="C17" s="53">
        <f ca="1">ROUND(C16*F17,0)</f>
        <v>0</v>
      </c>
      <c r="D17" s="779" t="s">
        <v>630</v>
      </c>
      <c r="E17" s="779" t="s">
        <v>631</v>
      </c>
      <c r="F17" s="780">
        <f>'数据-取费表'!B33</f>
        <v>0.03</v>
      </c>
      <c r="G17" s="1481"/>
      <c r="H17" s="776" t="s">
        <v>1861</v>
      </c>
      <c r="I17" s="757" t="s">
        <v>625</v>
      </c>
      <c r="J17" s="781">
        <f ca="1">INDIRECT("'数据-取费表'!ad"&amp;$G$1)</f>
        <v>0</v>
      </c>
      <c r="K17" s="26"/>
      <c r="L17" s="774"/>
      <c r="M17" s="775"/>
      <c r="N17" s="1898"/>
      <c r="O17" s="1898"/>
      <c r="P17" s="1898"/>
      <c r="Q17" s="1898"/>
      <c r="R17" s="1898"/>
      <c r="S17" s="1898"/>
      <c r="T17" s="1898"/>
      <c r="U17" s="1898"/>
      <c r="V17" s="1898"/>
      <c r="W17" s="1898"/>
      <c r="X17" s="1898"/>
      <c r="Y17" s="1898"/>
    </row>
    <row r="18" spans="1:25" ht="18" customHeight="1">
      <c r="A18" s="776" t="s">
        <v>1649</v>
      </c>
      <c r="B18" s="757" t="s">
        <v>632</v>
      </c>
      <c r="C18" s="53">
        <f ca="1">ROUND(INDIRECT("'数据-取费表'!m"&amp;$G$1)*F18,0)</f>
        <v>0</v>
      </c>
      <c r="D18" s="757" t="s">
        <v>630</v>
      </c>
      <c r="E18" s="757" t="s">
        <v>631</v>
      </c>
      <c r="F18" s="782">
        <f ca="1">IF(INDIRECT("'数据-取费表'!c"&amp;$G$1)="住宅",'数据-取费表'!B34,0)</f>
        <v>0</v>
      </c>
      <c r="G18" s="1480"/>
      <c r="H18" s="770" t="s">
        <v>1626</v>
      </c>
      <c r="I18" s="771" t="s">
        <v>633</v>
      </c>
      <c r="J18" s="772">
        <f ca="1">ROUND(J19+J24+J25+J26,0)</f>
        <v>0</v>
      </c>
      <c r="K18" s="26" t="s">
        <v>634</v>
      </c>
      <c r="L18" s="1848"/>
      <c r="M18" s="56"/>
    </row>
    <row r="19" spans="1:25" s="1899" customFormat="1" ht="18" customHeight="1">
      <c r="A19" s="776" t="s">
        <v>1650</v>
      </c>
      <c r="B19" s="757" t="s">
        <v>635</v>
      </c>
      <c r="C19" s="53">
        <f ca="1">ROUND(F19*(INDIRECT("'数据-取费表'!k"&amp;$G$1)+INDIRECT("'数据-取费表'!S"&amp;$G$1))/10000,0)</f>
        <v>0</v>
      </c>
      <c r="D19" s="757" t="s">
        <v>636</v>
      </c>
      <c r="E19" s="757" t="s">
        <v>637</v>
      </c>
      <c r="F19" s="56">
        <f>'数据-取费表'!B35</f>
        <v>200</v>
      </c>
      <c r="G19" s="1481"/>
      <c r="H19" s="776" t="s">
        <v>1860</v>
      </c>
      <c r="I19" s="757" t="s">
        <v>638</v>
      </c>
      <c r="J19" s="2924">
        <f ca="1">ROUND(IF(AND(项目基本情况!B11="自然人",项目基本情况!B10="北京市"),J8*M19/(1+'数据-取费表'!C42),J20+J21+J22),0)</f>
        <v>0</v>
      </c>
      <c r="K19" s="1845" t="s">
        <v>639</v>
      </c>
      <c r="L19" s="1843" t="s">
        <v>640</v>
      </c>
      <c r="M19" s="2923"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6" t="s">
        <v>1651</v>
      </c>
      <c r="B20" s="757" t="s">
        <v>641</v>
      </c>
      <c r="C20" s="53">
        <f ca="1">ROUND(C16*F20,0)</f>
        <v>0</v>
      </c>
      <c r="D20" s="757" t="s">
        <v>630</v>
      </c>
      <c r="E20" s="757" t="s">
        <v>631</v>
      </c>
      <c r="F20" s="782">
        <f>'数据-取费表'!B36</f>
        <v>1.4999999999999999E-2</v>
      </c>
      <c r="G20" s="1481"/>
      <c r="H20" s="776" t="s">
        <v>1630</v>
      </c>
      <c r="I20" s="757" t="s">
        <v>642</v>
      </c>
      <c r="J20" s="53">
        <f ca="1">ROUND(J8*M20/(1+'数据-取费表'!C42),1)</f>
        <v>0</v>
      </c>
      <c r="K20" s="1843" t="s">
        <v>643</v>
      </c>
      <c r="L20" s="757" t="s">
        <v>631</v>
      </c>
      <c r="M20" s="782">
        <f>'数据-取费表'!B41</f>
        <v>5.6000000000000001E-2</v>
      </c>
      <c r="N20" s="1898"/>
      <c r="O20" s="1898"/>
      <c r="P20" s="1898"/>
      <c r="Q20" s="1898"/>
      <c r="R20" s="1898"/>
      <c r="S20" s="1898"/>
      <c r="T20" s="1898"/>
      <c r="U20" s="1898"/>
      <c r="V20" s="1898"/>
      <c r="W20" s="1898"/>
      <c r="X20" s="1898"/>
      <c r="Y20" s="1898"/>
    </row>
    <row r="21" spans="1:25" ht="18" customHeight="1">
      <c r="A21" s="776" t="s">
        <v>1671</v>
      </c>
      <c r="B21" s="757" t="s">
        <v>644</v>
      </c>
      <c r="C21" s="53">
        <f ca="1">SUM(C16:C20)</f>
        <v>0</v>
      </c>
      <c r="D21" s="259" t="s">
        <v>645</v>
      </c>
      <c r="E21" s="1848"/>
      <c r="F21" s="56"/>
      <c r="G21" s="1480"/>
      <c r="H21" s="1698" t="s">
        <v>1648</v>
      </c>
      <c r="I21" s="757" t="s">
        <v>646</v>
      </c>
      <c r="J21" s="53">
        <f ca="1">IF(K21="按租金收入计税",ROUND(J8*M21/(1+'数据-取费表'!C42),1),ROUND(C31*F35*0.7,1))</f>
        <v>0</v>
      </c>
      <c r="K21" s="783" t="s">
        <v>647</v>
      </c>
      <c r="L21" s="757" t="s">
        <v>631</v>
      </c>
      <c r="M21" s="782">
        <f>IF(K21="按租金收入计税",'数据-取费表'!B51,'数据-取费表'!B50)</f>
        <v>1.2E-2</v>
      </c>
    </row>
    <row r="22" spans="1:25" s="1899" customFormat="1" ht="18" customHeight="1">
      <c r="A22" s="776" t="s">
        <v>1672</v>
      </c>
      <c r="B22" s="757" t="s">
        <v>648</v>
      </c>
      <c r="C22" s="53">
        <f ca="1">ROUND(C21*F22,0)</f>
        <v>0</v>
      </c>
      <c r="D22" s="784" t="s">
        <v>649</v>
      </c>
      <c r="E22" s="757" t="s">
        <v>631</v>
      </c>
      <c r="F22" s="782">
        <f>'数据-取费表'!B37</f>
        <v>0.02</v>
      </c>
      <c r="G22" s="1481"/>
      <c r="H22" s="1700" t="s">
        <v>1649</v>
      </c>
      <c r="I22" s="1690" t="s">
        <v>650</v>
      </c>
      <c r="J22" s="54">
        <f ca="1">ROUND(M22*M23/10000,0)</f>
        <v>0</v>
      </c>
      <c r="K22" s="786" t="s">
        <v>651</v>
      </c>
      <c r="L22" s="757" t="s">
        <v>652</v>
      </c>
      <c r="M22" s="615">
        <f>'数据-取费表'!B52</f>
        <v>18</v>
      </c>
      <c r="N22" s="1898"/>
      <c r="O22" s="1898"/>
      <c r="P22" s="1898"/>
      <c r="Q22" s="1898"/>
      <c r="R22" s="1898"/>
      <c r="S22" s="1898"/>
      <c r="T22" s="1898"/>
      <c r="U22" s="1898"/>
      <c r="V22" s="1898"/>
      <c r="W22" s="1898"/>
      <c r="X22" s="1898"/>
      <c r="Y22" s="1898"/>
    </row>
    <row r="23" spans="1:25" s="1899" customFormat="1" ht="18" customHeight="1">
      <c r="A23" s="776" t="s">
        <v>1673</v>
      </c>
      <c r="B23" s="757" t="s">
        <v>653</v>
      </c>
      <c r="C23" s="53" t="s">
        <v>1</v>
      </c>
      <c r="D23" s="784" t="s">
        <v>654</v>
      </c>
      <c r="E23" s="757" t="s">
        <v>655</v>
      </c>
      <c r="F23" s="782">
        <f>'数据-取费表'!B38</f>
        <v>0.02</v>
      </c>
      <c r="G23" s="1481"/>
      <c r="H23" s="1701"/>
      <c r="I23" s="1692"/>
      <c r="J23" s="69"/>
      <c r="K23" s="788"/>
      <c r="L23" s="757" t="s">
        <v>656</v>
      </c>
      <c r="M23" s="758">
        <f ca="1">INDIRECT("'数据-取费表'!r"&amp;$G$1)</f>
        <v>0</v>
      </c>
      <c r="N23" s="1898"/>
      <c r="O23" s="1898"/>
      <c r="P23" s="1898"/>
      <c r="Q23" s="1898"/>
      <c r="R23" s="1898"/>
      <c r="S23" s="1898"/>
      <c r="T23" s="1898"/>
      <c r="U23" s="1898"/>
      <c r="V23" s="1898"/>
      <c r="W23" s="1898"/>
      <c r="X23" s="1898"/>
      <c r="Y23" s="1898"/>
    </row>
    <row r="24" spans="1:25" ht="18" customHeight="1">
      <c r="A24" s="776" t="s">
        <v>1674</v>
      </c>
      <c r="B24" s="757" t="s">
        <v>657</v>
      </c>
      <c r="C24" s="53"/>
      <c r="D24" s="2344" t="str">
        <f>IF(F25&lt;=1,"单利计息。","复利计息。")&amp;"建造成本、管理费用、销售费用产生的利息。"</f>
        <v>复利计息。建造成本、管理费用、销售费用产生的利息。</v>
      </c>
      <c r="E24" s="1848"/>
      <c r="F24" s="56"/>
      <c r="G24" s="1480"/>
      <c r="H24" s="1699" t="s">
        <v>1861</v>
      </c>
      <c r="I24" s="757" t="s">
        <v>658</v>
      </c>
      <c r="J24" s="53">
        <f ca="1">ROUND(J16*M24,0)</f>
        <v>0</v>
      </c>
      <c r="K24" s="1843" t="s">
        <v>659</v>
      </c>
      <c r="L24" s="757" t="s">
        <v>631</v>
      </c>
      <c r="M24" s="789">
        <f ca="1">INDIRECT("'数据-取费表'!Ak"&amp;$G$1)</f>
        <v>0</v>
      </c>
    </row>
    <row r="25" spans="1:25" s="1899" customFormat="1" ht="18" customHeight="1">
      <c r="A25" s="776" t="s">
        <v>1670</v>
      </c>
      <c r="B25" s="757" t="s">
        <v>2218</v>
      </c>
      <c r="C25" s="53">
        <f ca="1">ROUND(IF('数据-取费表'!B22&lt;=1,(C21+C22)*F26*F25/2,(C21+C22)*(POWER((1+F26),F25/2)-1)),0)</f>
        <v>0</v>
      </c>
      <c r="D25" s="2343" t="str">
        <f>IF(F25&lt;=1,"(建造成本+管理费用)×利率×(建设周期÷2)","(建造成本+管理费用)×((1+利率)^(建设周期÷2)-1)")</f>
        <v>(建造成本+管理费用)×((1+利率)^(建设周期÷2)-1)</v>
      </c>
      <c r="E25" s="757" t="s">
        <v>660</v>
      </c>
      <c r="F25" s="615">
        <f>'数据-取费表'!B20</f>
        <v>2.5</v>
      </c>
      <c r="G25" s="1481"/>
      <c r="H25" s="776" t="s">
        <v>1673</v>
      </c>
      <c r="I25" s="757" t="s">
        <v>661</v>
      </c>
      <c r="J25" s="53">
        <f ca="1">ROUND(J15*M25,0)</f>
        <v>0</v>
      </c>
      <c r="K25" s="1843" t="s">
        <v>662</v>
      </c>
      <c r="L25" s="757" t="s">
        <v>631</v>
      </c>
      <c r="M25" s="790">
        <f ca="1">INDIRECT("'数据-取费表'!Al"&amp;$G$1)</f>
        <v>0</v>
      </c>
      <c r="N25" s="1898"/>
      <c r="O25" s="1898"/>
      <c r="P25" s="1898"/>
      <c r="Q25" s="1898"/>
      <c r="R25" s="1898"/>
      <c r="S25" s="1898"/>
      <c r="T25" s="1898"/>
      <c r="U25" s="1898"/>
      <c r="V25" s="1898"/>
      <c r="W25" s="1898"/>
      <c r="X25" s="1898"/>
      <c r="Y25" s="1898"/>
    </row>
    <row r="26" spans="1:25" s="1899" customFormat="1" ht="18" customHeight="1">
      <c r="A26" s="776" t="s">
        <v>1648</v>
      </c>
      <c r="B26" s="757" t="s">
        <v>663</v>
      </c>
      <c r="C26" s="53">
        <f ca="1">ROUND(IF('数据-取费表'!B22&lt;=1,F23*F26*F25/2,F23*(POWER((1+F26),F25/2)-1)),4)</f>
        <v>1E-3</v>
      </c>
      <c r="D26" s="2343" t="str">
        <f>IF(F25&lt;=1,"销售费用×利率×(建设周期÷2)","销售费用×((1+利率)^(建设周期÷2)-1)")</f>
        <v>销售费用×((1+利率)^(建设周期÷2)-1)</v>
      </c>
      <c r="E26" s="757" t="s">
        <v>664</v>
      </c>
      <c r="F26" s="791">
        <f ca="1">'数据-取费表'!B40</f>
        <v>4.1499999999999995E-2</v>
      </c>
      <c r="G26" s="1481"/>
      <c r="H26" s="776" t="s">
        <v>1674</v>
      </c>
      <c r="I26" s="757" t="s">
        <v>648</v>
      </c>
      <c r="J26" s="53">
        <f ca="1">ROUND(J7*M26,0)</f>
        <v>0</v>
      </c>
      <c r="K26" s="1843" t="s">
        <v>665</v>
      </c>
      <c r="L26" s="757" t="s">
        <v>631</v>
      </c>
      <c r="M26" s="767">
        <f ca="1">INDIRECT("'数据-取费表'!Am"&amp;$G$1)</f>
        <v>0</v>
      </c>
      <c r="N26" s="1898"/>
      <c r="O26" s="1898"/>
      <c r="P26" s="1898"/>
      <c r="Q26" s="1898"/>
      <c r="R26" s="1898"/>
      <c r="S26" s="1898"/>
      <c r="T26" s="1898"/>
      <c r="U26" s="1898"/>
      <c r="V26" s="1898"/>
      <c r="W26" s="1898"/>
      <c r="X26" s="1898"/>
      <c r="Y26" s="1898"/>
    </row>
    <row r="27" spans="1:25" ht="18" customHeight="1">
      <c r="A27" s="776" t="s">
        <v>1676</v>
      </c>
      <c r="B27" s="757" t="s">
        <v>666</v>
      </c>
      <c r="C27" s="53"/>
      <c r="D27" s="259" t="s">
        <v>667</v>
      </c>
      <c r="E27" s="1848"/>
      <c r="F27" s="56"/>
      <c r="G27" s="1480"/>
      <c r="H27" s="770" t="s">
        <v>1627</v>
      </c>
      <c r="I27" s="2642" t="s">
        <v>2537</v>
      </c>
      <c r="J27" s="772">
        <f ca="1">J7-J18</f>
        <v>0</v>
      </c>
      <c r="K27" s="1845" t="s">
        <v>682</v>
      </c>
      <c r="L27" s="1847"/>
      <c r="M27" s="792"/>
    </row>
    <row r="28" spans="1:25" ht="18" customHeight="1">
      <c r="A28" s="776" t="s">
        <v>1670</v>
      </c>
      <c r="B28" s="757" t="s">
        <v>2219</v>
      </c>
      <c r="C28" s="53">
        <f ca="1">ROUND((C21+C22)*F28,0)</f>
        <v>0</v>
      </c>
      <c r="D28" s="784" t="s">
        <v>683</v>
      </c>
      <c r="E28" s="768" t="s">
        <v>684</v>
      </c>
      <c r="F28" s="767">
        <f ca="1">INDIRECT("'数据-取费表'!q"&amp;$G$1)</f>
        <v>0</v>
      </c>
      <c r="G28" s="1480"/>
      <c r="H28" s="754" t="s">
        <v>1636</v>
      </c>
      <c r="I28" s="755" t="s">
        <v>685</v>
      </c>
      <c r="J28" s="756">
        <f ca="1">IF(J7&lt;&gt;0,ROUND(J27*(1-((1+M30)/(1+M28))^M29)/(M28-M30),0),0)</f>
        <v>0</v>
      </c>
      <c r="K28" s="786" t="s">
        <v>686</v>
      </c>
      <c r="L28" s="757" t="s">
        <v>687</v>
      </c>
      <c r="M28" s="767">
        <f ca="1">INDIRECT("'数据-取费表'!I"&amp;$G$1)</f>
        <v>0</v>
      </c>
    </row>
    <row r="29" spans="1:25" ht="18" customHeight="1">
      <c r="A29" s="776" t="s">
        <v>1648</v>
      </c>
      <c r="B29" s="757" t="s">
        <v>668</v>
      </c>
      <c r="C29" s="53">
        <f ca="1">ROUND(F23*F28,4)</f>
        <v>0</v>
      </c>
      <c r="D29" s="784" t="s">
        <v>688</v>
      </c>
      <c r="E29" s="779"/>
      <c r="F29" s="780"/>
      <c r="G29" s="1480"/>
      <c r="H29" s="759"/>
      <c r="I29" s="760"/>
      <c r="J29" s="761"/>
      <c r="K29" s="793" t="s">
        <v>689</v>
      </c>
      <c r="L29" s="757" t="s">
        <v>690</v>
      </c>
      <c r="M29" s="794">
        <f ca="1">INDIRECT("'数据-取费表'!ag"&amp;$G$1)</f>
        <v>0</v>
      </c>
    </row>
    <row r="30" spans="1:25" s="1899" customFormat="1" ht="18" customHeight="1">
      <c r="A30" s="776" t="s">
        <v>1677</v>
      </c>
      <c r="B30" s="757" t="s">
        <v>669</v>
      </c>
      <c r="C30" s="53">
        <f>ROUND(F30/(1+'数据-取费表'!C42),4)</f>
        <v>5.33E-2</v>
      </c>
      <c r="D30" s="784" t="s">
        <v>691</v>
      </c>
      <c r="E30" s="757" t="s">
        <v>631</v>
      </c>
      <c r="F30" s="782">
        <f>'数据-取费表'!B41</f>
        <v>5.6000000000000001E-2</v>
      </c>
      <c r="G30" s="1481"/>
      <c r="H30" s="763"/>
      <c r="I30" s="764"/>
      <c r="J30" s="765"/>
      <c r="K30" s="788"/>
      <c r="L30" s="757" t="s">
        <v>692</v>
      </c>
      <c r="M30" s="767">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34" t="s">
        <v>1678</v>
      </c>
      <c r="B31" s="2315" t="s">
        <v>2538</v>
      </c>
      <c r="C31" s="2318">
        <f ca="1">ROUND((C21+C22+C25+C28)/(1-F23-C26-C29-C30),0)</f>
        <v>0</v>
      </c>
      <c r="D31" s="2319"/>
      <c r="E31" s="2320"/>
      <c r="F31" s="2321"/>
      <c r="G31" s="1481"/>
      <c r="H31" s="795" t="s">
        <v>1667</v>
      </c>
      <c r="I31" s="2643" t="s">
        <v>2539</v>
      </c>
      <c r="J31" s="797">
        <f ca="1">ROUND(J28/(1+F45)^F46,0)</f>
        <v>0</v>
      </c>
      <c r="K31" s="798" t="s">
        <v>670</v>
      </c>
      <c r="L31" s="799"/>
      <c r="M31" s="800">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671</v>
      </c>
      <c r="C32" s="765">
        <f ca="1">ROUND(C33+C38+C39+C40,0)</f>
        <v>0</v>
      </c>
      <c r="D32" s="1689" t="s">
        <v>634</v>
      </c>
      <c r="E32" s="2290"/>
      <c r="F32" s="2294"/>
      <c r="G32" s="1897"/>
      <c r="H32" s="1900"/>
      <c r="I32" s="1901"/>
      <c r="J32" s="1902"/>
      <c r="K32" s="1903"/>
      <c r="L32" s="1904"/>
      <c r="M32" s="1905"/>
    </row>
    <row r="33" spans="1:18" ht="18" customHeight="1">
      <c r="A33" s="776" t="s">
        <v>1671</v>
      </c>
      <c r="B33" s="757" t="s">
        <v>638</v>
      </c>
      <c r="C33" s="2924">
        <f ca="1">ROUND(IF(AND(项目基本情况!B11="自然人",项目基本情况!B10="北京市"),C8*F33/(1+'数据-取费表'!C42),C34+C35+C36),0)</f>
        <v>0</v>
      </c>
      <c r="D33" s="1845" t="s">
        <v>639</v>
      </c>
      <c r="E33" s="1843" t="s">
        <v>672</v>
      </c>
      <c r="F33" s="2923" t="str">
        <f>IF(项目基本情况!B11="企业","——",IF('数据-取费表'!B10="住宅",IF(F8*F9*F10/12/(1+'数据-取费表'!F30)&gt;100000,4%,2.5%),IF(F8*F9*F10/12/(1+'数据-取费表'!F30)&gt;100000,12%,7%)))</f>
        <v>——</v>
      </c>
      <c r="G33" s="1897"/>
      <c r="H33" s="3163" t="s">
        <v>2724</v>
      </c>
      <c r="I33" s="1901"/>
      <c r="J33" s="1902"/>
      <c r="K33" s="1903"/>
      <c r="L33" s="1904"/>
      <c r="M33" s="1905"/>
    </row>
    <row r="34" spans="1:18" ht="18" customHeight="1">
      <c r="A34" s="776" t="s">
        <v>1670</v>
      </c>
      <c r="B34" s="757" t="s">
        <v>642</v>
      </c>
      <c r="C34" s="53">
        <f ca="1">ROUND(C8*F34/(1+'数据-取费表'!C42),1)</f>
        <v>0</v>
      </c>
      <c r="D34" s="1843" t="s">
        <v>643</v>
      </c>
      <c r="E34" s="757" t="s">
        <v>631</v>
      </c>
      <c r="F34" s="782">
        <f>'数据-取费表'!B41</f>
        <v>5.6000000000000001E-2</v>
      </c>
      <c r="G34" s="1897"/>
      <c r="H34" s="1906"/>
      <c r="I34" s="1907"/>
      <c r="J34" s="1908"/>
      <c r="K34" s="1909"/>
      <c r="L34" s="1910"/>
      <c r="M34" s="1911"/>
    </row>
    <row r="35" spans="1:18" ht="18" customHeight="1">
      <c r="A35" s="776" t="s">
        <v>1648</v>
      </c>
      <c r="B35" s="757" t="s">
        <v>646</v>
      </c>
      <c r="C35" s="53">
        <f ca="1">IF(D35="按租金收入计税",ROUND(C8*F35/(1+'数据-取费表'!C42),1),IF(D35="按房产原值计税",ROUND(C31*F35*0.7,1),INDIRECT("'数据-取费表'!Aj"&amp;$G$1)))</f>
        <v>0</v>
      </c>
      <c r="D35" s="783" t="s">
        <v>1479</v>
      </c>
      <c r="E35" s="757" t="s">
        <v>631</v>
      </c>
      <c r="F35" s="782">
        <f>IF(D35="按租金收入计税",'数据-取费表'!B51,'数据-取费表'!B50)</f>
        <v>1.2E-2</v>
      </c>
      <c r="G35" s="1897"/>
      <c r="H35" s="1912"/>
      <c r="I35" s="1912"/>
      <c r="J35" s="1912"/>
      <c r="K35" s="1913"/>
      <c r="L35" s="1912"/>
      <c r="M35" s="1912"/>
    </row>
    <row r="36" spans="1:18" ht="18" customHeight="1">
      <c r="A36" s="785" t="s">
        <v>1675</v>
      </c>
      <c r="B36" s="339" t="s">
        <v>650</v>
      </c>
      <c r="C36" s="54">
        <f ca="1">ROUND(F36*F37/10000,1)</f>
        <v>0</v>
      </c>
      <c r="D36" s="786" t="s">
        <v>651</v>
      </c>
      <c r="E36" s="757" t="s">
        <v>652</v>
      </c>
      <c r="F36" s="615">
        <f>'数据-取费表'!B52</f>
        <v>18</v>
      </c>
      <c r="G36" s="1897"/>
      <c r="H36" s="1900"/>
      <c r="I36" s="3774"/>
      <c r="J36" s="1914"/>
      <c r="K36" s="1915"/>
      <c r="L36" s="1914"/>
      <c r="M36" s="1914"/>
    </row>
    <row r="37" spans="1:18" ht="18" customHeight="1">
      <c r="A37" s="787"/>
      <c r="B37" s="766"/>
      <c r="C37" s="69"/>
      <c r="D37" s="788"/>
      <c r="E37" s="757" t="s">
        <v>656</v>
      </c>
      <c r="F37" s="758">
        <f ca="1">INDIRECT("'数据-取费表'!r"&amp;$G$1)</f>
        <v>0</v>
      </c>
      <c r="G37" s="1897"/>
      <c r="H37" s="1900"/>
      <c r="I37" s="3774"/>
      <c r="J37" s="1912"/>
      <c r="K37" s="1913"/>
      <c r="L37" s="1912"/>
      <c r="M37" s="1912"/>
    </row>
    <row r="38" spans="1:18" ht="18" customHeight="1">
      <c r="A38" s="776" t="s">
        <v>1672</v>
      </c>
      <c r="B38" s="757" t="s">
        <v>658</v>
      </c>
      <c r="C38" s="53">
        <f ca="1">ROUND(C31*F38,1)</f>
        <v>0</v>
      </c>
      <c r="D38" s="1843" t="s">
        <v>673</v>
      </c>
      <c r="E38" s="757" t="s">
        <v>631</v>
      </c>
      <c r="F38" s="789">
        <f ca="1">INDIRECT("'数据-取费表'!Ak"&amp;$G$1)</f>
        <v>0</v>
      </c>
      <c r="G38" s="1897"/>
      <c r="H38" s="1912"/>
      <c r="I38" s="2927"/>
      <c r="J38" s="1852"/>
      <c r="K38" s="1916"/>
      <c r="L38" s="1912"/>
      <c r="M38" s="1912"/>
    </row>
    <row r="39" spans="1:18" ht="18" customHeight="1">
      <c r="A39" s="776" t="s">
        <v>1673</v>
      </c>
      <c r="B39" s="757" t="s">
        <v>661</v>
      </c>
      <c r="C39" s="53">
        <f ca="1">ROUND(C15*F39,1)</f>
        <v>0</v>
      </c>
      <c r="D39" s="1843" t="s">
        <v>662</v>
      </c>
      <c r="E39" s="757" t="s">
        <v>631</v>
      </c>
      <c r="F39" s="790">
        <f ca="1">INDIRECT("'数据-取费表'!Al"&amp;$G$1)</f>
        <v>0</v>
      </c>
      <c r="G39" s="1897"/>
      <c r="H39" s="1912"/>
      <c r="I39" s="2927"/>
      <c r="J39" s="1852"/>
      <c r="K39" s="1916"/>
      <c r="L39" s="1912"/>
      <c r="M39" s="1912"/>
    </row>
    <row r="40" spans="1:18" ht="18" customHeight="1" thickBot="1">
      <c r="A40" s="2334" t="s">
        <v>1674</v>
      </c>
      <c r="B40" s="2320" t="s">
        <v>648</v>
      </c>
      <c r="C40" s="2318">
        <f ca="1">ROUND(C7*F40,1)</f>
        <v>0</v>
      </c>
      <c r="D40" s="2319" t="s">
        <v>665</v>
      </c>
      <c r="E40" s="2320" t="s">
        <v>631</v>
      </c>
      <c r="F40" s="2316">
        <f ca="1">INDIRECT("'数据-取费表'!Am"&amp;$G$1)</f>
        <v>0</v>
      </c>
      <c r="G40" s="1897"/>
      <c r="H40" s="1912"/>
      <c r="I40" s="2927"/>
      <c r="J40" s="1852"/>
      <c r="K40" s="1917"/>
      <c r="L40" s="1912"/>
      <c r="M40" s="1912"/>
    </row>
    <row r="41" spans="1:18" ht="18" customHeight="1" thickTop="1">
      <c r="A41" s="1697">
        <v>4</v>
      </c>
      <c r="B41" s="1695" t="s">
        <v>674</v>
      </c>
      <c r="C41" s="1260"/>
      <c r="D41" s="1261"/>
      <c r="E41" s="1261"/>
      <c r="F41" s="1262"/>
      <c r="G41" s="1897"/>
      <c r="H41" s="1897"/>
      <c r="I41" s="1897"/>
      <c r="J41" s="1897"/>
      <c r="K41" s="1917"/>
      <c r="L41" s="1897"/>
      <c r="M41" s="1897"/>
    </row>
    <row r="42" spans="1:18" ht="18" customHeight="1">
      <c r="A42" s="776" t="s">
        <v>1671</v>
      </c>
      <c r="B42" s="807" t="s">
        <v>675</v>
      </c>
      <c r="C42" s="801">
        <f ca="1">C7-C32</f>
        <v>0</v>
      </c>
      <c r="D42" s="1845" t="s">
        <v>676</v>
      </c>
      <c r="E42" s="1847"/>
      <c r="F42" s="792"/>
      <c r="G42" s="1897"/>
      <c r="H42" s="1897"/>
      <c r="I42" s="1897"/>
      <c r="J42" s="1897"/>
      <c r="K42" s="1917"/>
      <c r="L42" s="1897"/>
      <c r="M42" s="1897"/>
    </row>
    <row r="43" spans="1:18" ht="18" customHeight="1">
      <c r="A43" s="776" t="s">
        <v>1672</v>
      </c>
      <c r="B43" s="807" t="s">
        <v>693</v>
      </c>
      <c r="C43" s="808">
        <f ca="1">ROUND(C15*F43,0)</f>
        <v>0</v>
      </c>
      <c r="D43" s="1263" t="s">
        <v>694</v>
      </c>
      <c r="E43" s="2710" t="s">
        <v>2660</v>
      </c>
      <c r="F43" s="2711">
        <f ca="1">INDIRECT("'数据-取费表'!j"&amp;$G$1)</f>
        <v>0</v>
      </c>
      <c r="G43" s="1897"/>
      <c r="H43" s="1897"/>
      <c r="I43" s="1897"/>
      <c r="J43" s="1897"/>
      <c r="K43" s="1917"/>
      <c r="L43" s="1897"/>
      <c r="M43" s="1897"/>
    </row>
    <row r="44" spans="1:18" ht="18" customHeight="1">
      <c r="A44" s="776" t="s">
        <v>1673</v>
      </c>
      <c r="B44" s="807" t="s">
        <v>695</v>
      </c>
      <c r="C44" s="1264">
        <f ca="1">C42-C43</f>
        <v>0</v>
      </c>
      <c r="D44" s="456" t="s">
        <v>696</v>
      </c>
      <c r="E44" s="457"/>
      <c r="F44" s="458"/>
      <c r="G44" s="1897"/>
      <c r="H44" s="1897"/>
      <c r="I44" s="1897"/>
      <c r="J44" s="1897"/>
      <c r="K44" s="1917"/>
      <c r="L44" s="1897"/>
      <c r="M44" s="1897"/>
    </row>
    <row r="45" spans="1:18" ht="18" customHeight="1">
      <c r="A45" s="776" t="s">
        <v>1674</v>
      </c>
      <c r="B45" s="1263" t="s">
        <v>697</v>
      </c>
      <c r="C45" s="2667">
        <f ca="1">ROUND(-PV(F45,F46,C44,0),0)</f>
        <v>0</v>
      </c>
      <c r="D45" s="1265" t="s">
        <v>698</v>
      </c>
      <c r="E45" s="779" t="s">
        <v>699</v>
      </c>
      <c r="F45" s="802">
        <f ca="1">INDIRECT("'数据-取费表'!h"&amp;$G$1)</f>
        <v>0</v>
      </c>
      <c r="G45" s="1897"/>
      <c r="H45" s="1897"/>
      <c r="I45" s="1897"/>
      <c r="J45" s="1897"/>
      <c r="K45" s="1917"/>
      <c r="L45" s="1897"/>
      <c r="M45" s="1897"/>
    </row>
    <row r="46" spans="1:18" ht="18" customHeight="1" thickBot="1">
      <c r="A46" s="803"/>
      <c r="B46" s="1266"/>
      <c r="C46" s="1267"/>
      <c r="D46" s="1268"/>
      <c r="E46" s="2712" t="s">
        <v>2663</v>
      </c>
      <c r="F46" s="800">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5" t="s">
        <v>2129</v>
      </c>
      <c r="J47" s="2186"/>
      <c r="K47" s="2187"/>
      <c r="L47" s="2726" t="str">
        <f ca="1">IF(M48="住宅",0,IF(L49&gt;J52,L61,J61))</f>
        <v>0</v>
      </c>
      <c r="O47" s="2201" t="s">
        <v>2196</v>
      </c>
      <c r="P47" s="1480"/>
      <c r="Q47" s="1488"/>
      <c r="R47" s="1480"/>
    </row>
    <row r="48" spans="1:18" s="1894" customFormat="1" ht="18" customHeight="1" thickBot="1">
      <c r="A48" s="1918"/>
      <c r="C48" s="1921"/>
      <c r="D48" s="1922"/>
      <c r="E48" s="1922"/>
      <c r="F48" s="1923"/>
      <c r="G48" s="1924"/>
      <c r="I48" s="2717" t="s">
        <v>2130</v>
      </c>
      <c r="J48" s="2188"/>
      <c r="K48" s="2723" t="s">
        <v>2135</v>
      </c>
      <c r="L48" s="2727">
        <f ca="1">INDIRECT("'数据-取费表'!d"&amp;$G$1)</f>
        <v>0</v>
      </c>
      <c r="M48" s="2709" t="str">
        <f>IF(ISNUMBER(FIND("住宅",C1)),"住宅","非住宅")</f>
        <v>非住宅</v>
      </c>
      <c r="O48" s="2202" t="s">
        <v>2161</v>
      </c>
      <c r="P48" s="2203" t="s">
        <v>2162</v>
      </c>
      <c r="Q48" s="2204" t="s">
        <v>2163</v>
      </c>
      <c r="R48" s="2203" t="s">
        <v>2164</v>
      </c>
    </row>
    <row r="49" spans="1:18" s="1894" customFormat="1" ht="18" customHeight="1" thickBot="1">
      <c r="A49" s="1918"/>
      <c r="D49" s="1925"/>
      <c r="E49" s="1926"/>
      <c r="F49" s="1923"/>
      <c r="G49" s="1924"/>
      <c r="H49" s="1927"/>
      <c r="I49" s="2714" t="s">
        <v>2131</v>
      </c>
      <c r="J49" s="2189"/>
      <c r="K49" s="2724" t="s">
        <v>2137</v>
      </c>
      <c r="L49" s="1775">
        <f ca="1">INDIRECT("'数据-取费表'!f"&amp;$G$1)</f>
        <v>0</v>
      </c>
      <c r="O49" s="2205" t="s">
        <v>2165</v>
      </c>
      <c r="P49" s="2206" t="s">
        <v>2191</v>
      </c>
      <c r="Q49" s="2207">
        <f ca="1">C41+J31</f>
        <v>0</v>
      </c>
      <c r="R49" s="2206" t="s">
        <v>2166</v>
      </c>
    </row>
    <row r="50" spans="1:18" s="1894" customFormat="1" ht="18" customHeight="1" thickBot="1">
      <c r="A50" s="1918"/>
      <c r="D50" s="1928"/>
      <c r="E50" s="1928"/>
      <c r="F50" s="1922"/>
      <c r="G50" s="1929"/>
      <c r="H50" s="1927"/>
      <c r="I50" s="2714" t="s">
        <v>2132</v>
      </c>
      <c r="J50" s="2190"/>
      <c r="K50" s="2725" t="s">
        <v>2138</v>
      </c>
      <c r="L50" s="2191"/>
      <c r="O50" s="2205" t="s">
        <v>2167</v>
      </c>
      <c r="P50" s="2206" t="s">
        <v>2192</v>
      </c>
      <c r="Q50" s="2207" t="str">
        <f ca="1">J61</f>
        <v>0</v>
      </c>
      <c r="R50" s="2206" t="s">
        <v>2168</v>
      </c>
    </row>
    <row r="51" spans="1:18" s="1894" customFormat="1" ht="18" customHeight="1" thickBot="1">
      <c r="A51" s="1930"/>
      <c r="D51" s="1928"/>
      <c r="E51" s="1928"/>
      <c r="F51" s="1919"/>
      <c r="H51" s="1927"/>
      <c r="I51" s="2714" t="s">
        <v>2133</v>
      </c>
      <c r="J51" s="2721">
        <f>SUMPRODUCT((I64:I66=J48)*(J63:L63=J49)*(J64:L66))</f>
        <v>0</v>
      </c>
      <c r="K51" s="2725" t="s">
        <v>2139</v>
      </c>
      <c r="L51" s="2191"/>
      <c r="O51" s="2208" t="s">
        <v>2169</v>
      </c>
      <c r="P51" s="2206" t="s">
        <v>2193</v>
      </c>
      <c r="Q51" s="2207">
        <f ca="1">C31</f>
        <v>0</v>
      </c>
      <c r="R51" s="2206" t="s">
        <v>2166</v>
      </c>
    </row>
    <row r="52" spans="1:18" s="1894" customFormat="1" ht="18" customHeight="1" thickBot="1">
      <c r="A52" s="1930"/>
      <c r="F52" s="1919"/>
      <c r="I52" s="2718" t="s">
        <v>2134</v>
      </c>
      <c r="J52" s="2722">
        <f>IF(J50="",J51,J50+J51-YEAR('数据-取费表'!B3))</f>
        <v>0</v>
      </c>
      <c r="K52" s="2714" t="s">
        <v>2140</v>
      </c>
      <c r="L52" s="2728">
        <f ca="1">C45</f>
        <v>0</v>
      </c>
      <c r="O52" s="2208" t="s">
        <v>2170</v>
      </c>
      <c r="P52" s="2206" t="s">
        <v>2171</v>
      </c>
      <c r="Q52" s="2209" t="e">
        <f ca="1">J59</f>
        <v>#VALUE!</v>
      </c>
      <c r="R52" s="2210"/>
    </row>
    <row r="53" spans="1:18" s="1894" customFormat="1" ht="18" customHeight="1" thickBot="1">
      <c r="A53" s="1930"/>
      <c r="F53" s="1919"/>
      <c r="I53" s="2719" t="s">
        <v>2207</v>
      </c>
      <c r="J53" s="2192"/>
      <c r="K53" s="2719" t="s">
        <v>2206</v>
      </c>
      <c r="L53" s="2192"/>
      <c r="O53" s="2208" t="s">
        <v>2172</v>
      </c>
      <c r="P53" s="2206" t="s">
        <v>2173</v>
      </c>
      <c r="Q53" s="2209">
        <f>J53</f>
        <v>0</v>
      </c>
      <c r="R53" s="2210"/>
    </row>
    <row r="54" spans="1:18" s="1894" customFormat="1" ht="29.25" thickBot="1">
      <c r="A54" s="1930"/>
      <c r="I54" s="2720" t="s">
        <v>2674</v>
      </c>
      <c r="J54" s="2773">
        <f ca="1">IF(M48="住宅",MAX(J52,L49-'数据-取费表'!B20),MIN(J52,L49-'数据-取费表'!B20))</f>
        <v>-2.5</v>
      </c>
      <c r="K54" s="3779"/>
      <c r="L54" s="3780"/>
      <c r="O54" s="2208" t="s">
        <v>2174</v>
      </c>
      <c r="P54" s="2206" t="s">
        <v>2175</v>
      </c>
      <c r="Q54" s="2207">
        <f ca="1">J54</f>
        <v>-2.5</v>
      </c>
      <c r="R54" s="2206" t="s">
        <v>2176</v>
      </c>
    </row>
    <row r="55" spans="1:18" s="1894" customFormat="1" ht="18" customHeight="1" thickBot="1">
      <c r="A55" s="1930"/>
      <c r="I55" s="27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9"/>
      <c r="K55" s="2730"/>
      <c r="O55" s="2205" t="s">
        <v>2177</v>
      </c>
      <c r="P55" s="2206" t="s">
        <v>2194</v>
      </c>
      <c r="Q55" s="2207">
        <f ca="1">Q49+Q50</f>
        <v>0</v>
      </c>
      <c r="R55" s="2210" t="s">
        <v>2178</v>
      </c>
    </row>
    <row r="56" spans="1:18" s="1894" customFormat="1" ht="16.5" thickBot="1">
      <c r="A56" s="1930"/>
      <c r="B56" s="1931"/>
      <c r="C56" s="1931"/>
      <c r="I56" s="2731" t="s">
        <v>2141</v>
      </c>
      <c r="J56" s="2703" t="e">
        <f ca="1">ROUND(IF(J48="钢混",J58/J51,1-(1-2%)*(J51-J58)/J51),3)</f>
        <v>#VALUE!</v>
      </c>
      <c r="K56" s="2732" t="s">
        <v>2142</v>
      </c>
      <c r="L56" s="2193"/>
      <c r="O56" s="2211" t="s">
        <v>2197</v>
      </c>
      <c r="P56" s="1480"/>
      <c r="Q56" s="1488"/>
      <c r="R56" s="1480"/>
    </row>
    <row r="57" spans="1:18" s="1894" customFormat="1" ht="43.5" thickBot="1">
      <c r="A57" s="1930"/>
      <c r="B57" s="1931"/>
      <c r="C57" s="1931"/>
      <c r="I57" s="2733" t="s">
        <v>2143</v>
      </c>
      <c r="J57" s="2743" t="s">
        <v>1477</v>
      </c>
      <c r="K57" s="2714" t="s">
        <v>2148</v>
      </c>
      <c r="L57" s="1775">
        <f ca="1">IF(L49&lt;J52,"——",L49-J52)</f>
        <v>0</v>
      </c>
      <c r="O57" s="2202" t="s">
        <v>2161</v>
      </c>
      <c r="P57" s="2203" t="s">
        <v>2162</v>
      </c>
      <c r="Q57" s="2204" t="s">
        <v>2163</v>
      </c>
      <c r="R57" s="2203" t="s">
        <v>2164</v>
      </c>
    </row>
    <row r="58" spans="1:18" s="1894" customFormat="1" ht="29.25" thickBot="1">
      <c r="A58" s="1930"/>
      <c r="B58" s="1931"/>
      <c r="C58" s="1931"/>
      <c r="I58" s="2734" t="s">
        <v>2144</v>
      </c>
      <c r="J58" s="2735" t="str">
        <f ca="1">IF(OR(M48="住宅",J52&lt;L49,J57="是"),"——",J52-L49)</f>
        <v>——</v>
      </c>
      <c r="K58" s="2714" t="s">
        <v>2149</v>
      </c>
      <c r="L58" s="1775">
        <f ca="1">IF(L49&lt;J52,"——",IF(L56="比较法",L50,IF(L56="基准地价",L51,L52)))</f>
        <v>0</v>
      </c>
      <c r="O58" s="2205" t="s">
        <v>2165</v>
      </c>
      <c r="P58" s="2206" t="s">
        <v>2191</v>
      </c>
      <c r="Q58" s="2207">
        <f ca="1">C41+J31</f>
        <v>0</v>
      </c>
      <c r="R58" s="2206" t="s">
        <v>2166</v>
      </c>
    </row>
    <row r="59" spans="1:18" s="1894" customFormat="1" ht="29.25" thickBot="1">
      <c r="A59" s="1930"/>
      <c r="B59" s="1931"/>
      <c r="C59" s="1931"/>
      <c r="I59" s="2734" t="s">
        <v>2145</v>
      </c>
      <c r="J59" s="2704" t="e">
        <f ca="1">IF(J56&lt;0.4,0.4,J56)</f>
        <v>#VALUE!</v>
      </c>
      <c r="K59" s="2714" t="s">
        <v>2150</v>
      </c>
      <c r="L59" s="1775">
        <f ca="1">IF(ISERROR(POWER(1+L53,L48-L49)*(POWER(1+L53,L49)-1)/(POWER(1+L53,L48)-1)),0,POWER(1+L53,L48-L49)*(POWER(1+L53,L49)-1)/(POWER(1+L53,L48)-1))</f>
        <v>0</v>
      </c>
      <c r="O59" s="2205" t="s">
        <v>2167</v>
      </c>
      <c r="P59" s="2206" t="s">
        <v>2198</v>
      </c>
      <c r="Q59" s="2207" t="e">
        <f ca="1">L61</f>
        <v>#DIV/0!</v>
      </c>
      <c r="R59" s="2210" t="s">
        <v>2200</v>
      </c>
    </row>
    <row r="60" spans="1:18" s="1894" customFormat="1" ht="29.25" thickBot="1">
      <c r="A60" s="1930"/>
      <c r="B60" s="1931"/>
      <c r="C60" s="1931"/>
      <c r="I60" s="2734" t="s">
        <v>2146</v>
      </c>
      <c r="J60" s="2735" t="str">
        <f ca="1">IF(OR(M48="住宅",J52&lt;L49,J57="是"),"——",ROUND(C30*J59,0))</f>
        <v>——</v>
      </c>
      <c r="K60" s="2714" t="s">
        <v>2151</v>
      </c>
      <c r="L60" s="1775">
        <f ca="1">IF(ISERROR(POWER(1+L53,L48-J52)*(POWER(1+L53,J52)-1)/(POWER(1+L53,L48)-1)),0,POWER(1+L53,L48-J52)*(POWER(1+L53,J52)-1)/(POWER(1+L53,L48)-1))</f>
        <v>0</v>
      </c>
      <c r="O60" s="2208" t="s">
        <v>2169</v>
      </c>
      <c r="P60" s="2206" t="s">
        <v>2199</v>
      </c>
      <c r="Q60" s="2207">
        <f>IF(L56="比较法",L50,IF(L56="基准地价",L51,0))</f>
        <v>0</v>
      </c>
      <c r="R60" s="2206" t="s">
        <v>2166</v>
      </c>
    </row>
    <row r="61" spans="1:18" s="1894" customFormat="1" ht="15.75" thickBot="1">
      <c r="A61" s="1930"/>
      <c r="B61" s="1931"/>
      <c r="C61" s="1931"/>
      <c r="I61" s="2736" t="s">
        <v>2147</v>
      </c>
      <c r="J61" s="2737" t="str">
        <f ca="1">IF(OR(M48="住宅",J52&lt;L49,J57="是"),"0",ROUND(J60/(1+J53)^J54,0))</f>
        <v>0</v>
      </c>
      <c r="K61" s="2738" t="s">
        <v>2152</v>
      </c>
      <c r="L61" s="2737" t="e">
        <f ca="1">IF(OR(M48="住宅",L49&lt;J52),0,ROUND(L58*(L59/L60-1),0))</f>
        <v>#DIV/0!</v>
      </c>
      <c r="O61" s="2208" t="s">
        <v>2170</v>
      </c>
      <c r="P61" s="2206" t="s">
        <v>2179</v>
      </c>
      <c r="Q61" s="2209">
        <f>L53</f>
        <v>0</v>
      </c>
      <c r="R61" s="2210"/>
    </row>
    <row r="62" spans="1:18" s="1894" customFormat="1" ht="20.25" thickBot="1">
      <c r="A62" s="1930"/>
      <c r="B62" s="1931"/>
      <c r="C62" s="1931"/>
      <c r="K62" s="1920"/>
      <c r="O62" s="2208" t="s">
        <v>2172</v>
      </c>
      <c r="P62" s="2206" t="s">
        <v>2180</v>
      </c>
      <c r="Q62" s="2207">
        <f ca="1">L59</f>
        <v>0</v>
      </c>
      <c r="R62" s="2210" t="s">
        <v>2181</v>
      </c>
    </row>
    <row r="63" spans="1:18" s="1894" customFormat="1" ht="20.25" thickBot="1">
      <c r="A63" s="1930"/>
      <c r="B63" s="1931"/>
      <c r="C63" s="1931"/>
      <c r="I63" s="2739" t="s">
        <v>2153</v>
      </c>
      <c r="J63" s="2740" t="s">
        <v>2154</v>
      </c>
      <c r="K63" s="2740" t="s">
        <v>2155</v>
      </c>
      <c r="L63" s="2740" t="s">
        <v>2136</v>
      </c>
      <c r="M63" s="2741" t="s">
        <v>2643</v>
      </c>
      <c r="O63" s="2208" t="s">
        <v>2174</v>
      </c>
      <c r="P63" s="2206" t="s">
        <v>2182</v>
      </c>
      <c r="Q63" s="2207">
        <f ca="1">L60</f>
        <v>0</v>
      </c>
      <c r="R63" s="2210" t="s">
        <v>2183</v>
      </c>
    </row>
    <row r="64" spans="1:18" s="1894" customFormat="1" ht="15.75" thickBot="1">
      <c r="A64" s="1930"/>
      <c r="B64" s="1931"/>
      <c r="C64" s="1931"/>
      <c r="I64" s="2739" t="s">
        <v>2156</v>
      </c>
      <c r="J64" s="2740">
        <v>70</v>
      </c>
      <c r="K64" s="2740">
        <v>50</v>
      </c>
      <c r="L64" s="2740">
        <v>80</v>
      </c>
      <c r="M64" s="2742">
        <v>0.02</v>
      </c>
      <c r="O64" s="2205" t="s">
        <v>2177</v>
      </c>
      <c r="P64" s="2206" t="s">
        <v>2194</v>
      </c>
      <c r="Q64" s="2207" t="e">
        <f ca="1">Q58+Q59</f>
        <v>#DIV/0!</v>
      </c>
      <c r="R64" s="2210" t="s">
        <v>2178</v>
      </c>
    </row>
    <row r="65" spans="1:18" s="1894" customFormat="1" ht="16.5" thickBot="1">
      <c r="A65" s="1930"/>
      <c r="B65" s="1931"/>
      <c r="C65" s="1931"/>
      <c r="I65" s="2739" t="s">
        <v>2157</v>
      </c>
      <c r="J65" s="2740">
        <v>50</v>
      </c>
      <c r="K65" s="2740">
        <v>35</v>
      </c>
      <c r="L65" s="2740">
        <v>60</v>
      </c>
      <c r="M65" s="818">
        <v>0</v>
      </c>
      <c r="O65" s="2211" t="s">
        <v>2201</v>
      </c>
      <c r="P65" s="1480"/>
      <c r="Q65" s="1488"/>
      <c r="R65" s="1480"/>
    </row>
    <row r="66" spans="1:18" s="1894" customFormat="1" ht="15.75" thickBot="1">
      <c r="A66" s="1930"/>
      <c r="B66" s="1931"/>
      <c r="C66" s="1931"/>
      <c r="I66" s="2739" t="s">
        <v>2158</v>
      </c>
      <c r="J66" s="2740">
        <v>40</v>
      </c>
      <c r="K66" s="2740">
        <v>30</v>
      </c>
      <c r="L66" s="2740">
        <v>50</v>
      </c>
      <c r="M66" s="2742">
        <v>0.02</v>
      </c>
      <c r="O66" s="2202" t="s">
        <v>2161</v>
      </c>
      <c r="P66" s="2203" t="s">
        <v>2162</v>
      </c>
      <c r="Q66" s="2204" t="s">
        <v>2163</v>
      </c>
      <c r="R66" s="2203" t="s">
        <v>2164</v>
      </c>
    </row>
    <row r="67" spans="1:18" s="1894" customFormat="1" ht="15.75" thickBot="1">
      <c r="A67" s="1930"/>
      <c r="B67" s="1931"/>
      <c r="C67" s="1931"/>
      <c r="K67" s="1920"/>
      <c r="O67" s="2205" t="s">
        <v>2165</v>
      </c>
      <c r="P67" s="2206" t="s">
        <v>2191</v>
      </c>
      <c r="Q67" s="2207">
        <f ca="1">C41+J31</f>
        <v>0</v>
      </c>
      <c r="R67" s="2206" t="s">
        <v>2166</v>
      </c>
    </row>
    <row r="68" spans="1:18" s="1894" customFormat="1" ht="20.25" thickBot="1">
      <c r="A68" s="1930"/>
      <c r="B68" s="1931"/>
      <c r="C68" s="1931"/>
      <c r="K68" s="1920"/>
      <c r="O68" s="2205" t="s">
        <v>2167</v>
      </c>
      <c r="P68" s="2206" t="s">
        <v>2198</v>
      </c>
      <c r="Q68" s="2207" t="e">
        <f ca="1">L61</f>
        <v>#DIV/0!</v>
      </c>
      <c r="R68" s="2210" t="s">
        <v>2200</v>
      </c>
    </row>
    <row r="69" spans="1:18" s="1894" customFormat="1" ht="21.75" thickBot="1">
      <c r="A69" s="1930"/>
      <c r="B69" s="1931"/>
      <c r="C69" s="1931"/>
      <c r="K69" s="1920"/>
      <c r="O69" s="2208" t="s">
        <v>2169</v>
      </c>
      <c r="P69" s="2206" t="s">
        <v>2199</v>
      </c>
      <c r="Q69" s="2212">
        <f ca="1">L52</f>
        <v>0</v>
      </c>
      <c r="R69" s="2213" t="s">
        <v>2202</v>
      </c>
    </row>
    <row r="70" spans="1:18" s="1894" customFormat="1" ht="20.25" thickBot="1">
      <c r="A70" s="1930"/>
      <c r="B70" s="1931"/>
      <c r="C70" s="1931"/>
      <c r="K70" s="1920"/>
      <c r="O70" s="2208" t="s">
        <v>2170</v>
      </c>
      <c r="P70" s="2214" t="s">
        <v>2184</v>
      </c>
      <c r="Q70" s="2207">
        <f ca="1">ROUND(Q71-Q72*Q73,0)</f>
        <v>0</v>
      </c>
      <c r="R70" s="2210"/>
    </row>
    <row r="71" spans="1:18" s="1894" customFormat="1" ht="15.75" thickBot="1">
      <c r="A71" s="1930"/>
      <c r="B71" s="1931"/>
      <c r="C71" s="1931"/>
      <c r="K71" s="1920"/>
      <c r="O71" s="2208" t="s">
        <v>2185</v>
      </c>
      <c r="P71" s="2214" t="s">
        <v>2186</v>
      </c>
      <c r="Q71" s="2207">
        <f ca="1">C42</f>
        <v>0</v>
      </c>
      <c r="R71" s="2206" t="s">
        <v>2166</v>
      </c>
    </row>
    <row r="72" spans="1:18" s="1894" customFormat="1" ht="15.75" thickBot="1">
      <c r="A72" s="1930"/>
      <c r="B72" s="1931"/>
      <c r="C72" s="1931"/>
      <c r="K72" s="1920"/>
      <c r="O72" s="2208" t="s">
        <v>2187</v>
      </c>
      <c r="P72" s="2214" t="s">
        <v>2188</v>
      </c>
      <c r="Q72" s="2207">
        <f ca="1">C15</f>
        <v>0</v>
      </c>
      <c r="R72" s="2206" t="s">
        <v>2166</v>
      </c>
    </row>
    <row r="73" spans="1:18" s="1894" customFormat="1" ht="15.75" thickBot="1">
      <c r="A73" s="1930"/>
      <c r="B73" s="1931"/>
      <c r="C73" s="1931"/>
      <c r="K73" s="1920"/>
      <c r="O73" s="2208" t="s">
        <v>2189</v>
      </c>
      <c r="P73" s="2214" t="s">
        <v>2190</v>
      </c>
      <c r="Q73" s="2209">
        <f ca="1">F43</f>
        <v>0</v>
      </c>
      <c r="R73" s="2210"/>
    </row>
    <row r="74" spans="1:18" s="1894" customFormat="1" ht="15.75" thickBot="1">
      <c r="A74" s="1930"/>
      <c r="B74" s="1931"/>
      <c r="C74" s="1931"/>
      <c r="K74" s="1920"/>
      <c r="O74" s="2208" t="s">
        <v>2172</v>
      </c>
      <c r="P74" s="2206" t="s">
        <v>2179</v>
      </c>
      <c r="Q74" s="2209">
        <f>L53</f>
        <v>0</v>
      </c>
      <c r="R74" s="2210"/>
    </row>
    <row r="75" spans="1:18" s="1894" customFormat="1" ht="20.25" thickBot="1">
      <c r="A75" s="1930"/>
      <c r="B75" s="1931"/>
      <c r="C75" s="1931"/>
      <c r="K75" s="1920"/>
      <c r="O75" s="2208" t="s">
        <v>2174</v>
      </c>
      <c r="P75" s="2206" t="s">
        <v>2180</v>
      </c>
      <c r="Q75" s="2207">
        <f ca="1">L59</f>
        <v>0</v>
      </c>
      <c r="R75" s="2210" t="s">
        <v>2181</v>
      </c>
    </row>
    <row r="76" spans="1:18" s="1894" customFormat="1" ht="20.25" thickBot="1">
      <c r="A76" s="1930"/>
      <c r="B76" s="1931"/>
      <c r="C76" s="1931"/>
      <c r="K76" s="1920"/>
      <c r="O76" s="2208" t="s">
        <v>2203</v>
      </c>
      <c r="P76" s="2206" t="s">
        <v>2182</v>
      </c>
      <c r="Q76" s="2207">
        <f ca="1">L60</f>
        <v>0</v>
      </c>
      <c r="R76" s="2210" t="s">
        <v>2183</v>
      </c>
    </row>
    <row r="77" spans="1:18" s="1894" customFormat="1" ht="15.75" thickBot="1">
      <c r="A77" s="1930"/>
      <c r="B77" s="1931"/>
      <c r="C77" s="1931"/>
      <c r="K77" s="1920"/>
      <c r="O77" s="2205" t="s">
        <v>2177</v>
      </c>
      <c r="P77" s="2206" t="s">
        <v>2194</v>
      </c>
      <c r="Q77" s="2207" t="e">
        <f ca="1">Q67+Q68</f>
        <v>#DIV/0!</v>
      </c>
      <c r="R77" s="2210" t="s">
        <v>2178</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2" customWidth="1"/>
    <col min="2" max="2" width="8.875" style="3232"/>
    <col min="3" max="5" width="12.875" style="3232" customWidth="1"/>
    <col min="6" max="6" width="47.5" style="3232" customWidth="1"/>
    <col min="7" max="7" width="13" style="3392" customWidth="1"/>
    <col min="8" max="8" width="8.875" style="3226"/>
    <col min="9" max="9" width="8.875" style="3227"/>
    <col min="10" max="10" width="5.75" style="3393" customWidth="1"/>
    <col min="11" max="11" width="11.75" style="3393" customWidth="1"/>
    <col min="12" max="13" width="10.75" style="3393" customWidth="1"/>
    <col min="14" max="14" width="10" style="3393" customWidth="1"/>
    <col min="15" max="16" width="10.5" style="3393" bestFit="1" customWidth="1"/>
    <col min="17" max="17" width="10" style="3393" customWidth="1"/>
    <col min="18" max="18" width="10.125" style="3393" customWidth="1"/>
    <col min="19" max="19" width="10" style="3393" customWidth="1"/>
    <col min="20" max="20" width="26.125" style="3393" customWidth="1"/>
    <col min="21" max="21" width="8.875" style="3393"/>
    <col min="22" max="22" width="8.875" style="3227"/>
    <col min="23" max="256" width="8.875" style="3232"/>
    <col min="257" max="257" width="9.5" style="3232" customWidth="1"/>
    <col min="258" max="258" width="8.875" style="3232"/>
    <col min="259" max="261" width="12.875" style="3232" customWidth="1"/>
    <col min="262" max="262" width="47.5" style="3232" customWidth="1"/>
    <col min="263" max="263" width="13" style="3232" customWidth="1"/>
    <col min="264" max="265" width="8.875" style="3232"/>
    <col min="266" max="266" width="5.75" style="3232" customWidth="1"/>
    <col min="267" max="267" width="11.75" style="3232" customWidth="1"/>
    <col min="268" max="269" width="10.75" style="3232" customWidth="1"/>
    <col min="270" max="270" width="10" style="3232" customWidth="1"/>
    <col min="271" max="272" width="10.5" style="3232" bestFit="1" customWidth="1"/>
    <col min="273" max="273" width="10" style="3232" customWidth="1"/>
    <col min="274" max="274" width="10.125" style="3232" customWidth="1"/>
    <col min="275" max="275" width="10" style="3232" customWidth="1"/>
    <col min="276" max="276" width="26.125" style="3232" customWidth="1"/>
    <col min="277" max="512" width="8.875" style="3232"/>
    <col min="513" max="513" width="9.5" style="3232" customWidth="1"/>
    <col min="514" max="514" width="8.875" style="3232"/>
    <col min="515" max="517" width="12.875" style="3232" customWidth="1"/>
    <col min="518" max="518" width="47.5" style="3232" customWidth="1"/>
    <col min="519" max="519" width="13" style="3232" customWidth="1"/>
    <col min="520" max="521" width="8.875" style="3232"/>
    <col min="522" max="522" width="5.75" style="3232" customWidth="1"/>
    <col min="523" max="523" width="11.75" style="3232" customWidth="1"/>
    <col min="524" max="525" width="10.75" style="3232" customWidth="1"/>
    <col min="526" max="526" width="10" style="3232" customWidth="1"/>
    <col min="527" max="528" width="10.5" style="3232" bestFit="1" customWidth="1"/>
    <col min="529" max="529" width="10" style="3232" customWidth="1"/>
    <col min="530" max="530" width="10.125" style="3232" customWidth="1"/>
    <col min="531" max="531" width="10" style="3232" customWidth="1"/>
    <col min="532" max="532" width="26.125" style="3232" customWidth="1"/>
    <col min="533" max="768" width="8.875" style="3232"/>
    <col min="769" max="769" width="9.5" style="3232" customWidth="1"/>
    <col min="770" max="770" width="8.875" style="3232"/>
    <col min="771" max="773" width="12.875" style="3232" customWidth="1"/>
    <col min="774" max="774" width="47.5" style="3232" customWidth="1"/>
    <col min="775" max="775" width="13" style="3232" customWidth="1"/>
    <col min="776" max="777" width="8.875" style="3232"/>
    <col min="778" max="778" width="5.75" style="3232" customWidth="1"/>
    <col min="779" max="779" width="11.75" style="3232" customWidth="1"/>
    <col min="780" max="781" width="10.75" style="3232" customWidth="1"/>
    <col min="782" max="782" width="10" style="3232" customWidth="1"/>
    <col min="783" max="784" width="10.5" style="3232" bestFit="1" customWidth="1"/>
    <col min="785" max="785" width="10" style="3232" customWidth="1"/>
    <col min="786" max="786" width="10.125" style="3232" customWidth="1"/>
    <col min="787" max="787" width="10" style="3232" customWidth="1"/>
    <col min="788" max="788" width="26.125" style="3232" customWidth="1"/>
    <col min="789" max="1024" width="8.875" style="3232"/>
    <col min="1025" max="1025" width="9.5" style="3232" customWidth="1"/>
    <col min="1026" max="1026" width="8.875" style="3232"/>
    <col min="1027" max="1029" width="12.875" style="3232" customWidth="1"/>
    <col min="1030" max="1030" width="47.5" style="3232" customWidth="1"/>
    <col min="1031" max="1031" width="13" style="3232" customWidth="1"/>
    <col min="1032" max="1033" width="8.875" style="3232"/>
    <col min="1034" max="1034" width="5.75" style="3232" customWidth="1"/>
    <col min="1035" max="1035" width="11.75" style="3232" customWidth="1"/>
    <col min="1036" max="1037" width="10.75" style="3232" customWidth="1"/>
    <col min="1038" max="1038" width="10" style="3232" customWidth="1"/>
    <col min="1039" max="1040" width="10.5" style="3232" bestFit="1" customWidth="1"/>
    <col min="1041" max="1041" width="10" style="3232" customWidth="1"/>
    <col min="1042" max="1042" width="10.125" style="3232" customWidth="1"/>
    <col min="1043" max="1043" width="10" style="3232" customWidth="1"/>
    <col min="1044" max="1044" width="26.125" style="3232" customWidth="1"/>
    <col min="1045" max="1280" width="8.875" style="3232"/>
    <col min="1281" max="1281" width="9.5" style="3232" customWidth="1"/>
    <col min="1282" max="1282" width="8.875" style="3232"/>
    <col min="1283" max="1285" width="12.875" style="3232" customWidth="1"/>
    <col min="1286" max="1286" width="47.5" style="3232" customWidth="1"/>
    <col min="1287" max="1287" width="13" style="3232" customWidth="1"/>
    <col min="1288" max="1289" width="8.875" style="3232"/>
    <col min="1290" max="1290" width="5.75" style="3232" customWidth="1"/>
    <col min="1291" max="1291" width="11.75" style="3232" customWidth="1"/>
    <col min="1292" max="1293" width="10.75" style="3232" customWidth="1"/>
    <col min="1294" max="1294" width="10" style="3232" customWidth="1"/>
    <col min="1295" max="1296" width="10.5" style="3232" bestFit="1" customWidth="1"/>
    <col min="1297" max="1297" width="10" style="3232" customWidth="1"/>
    <col min="1298" max="1298" width="10.125" style="3232" customWidth="1"/>
    <col min="1299" max="1299" width="10" style="3232" customWidth="1"/>
    <col min="1300" max="1300" width="26.125" style="3232" customWidth="1"/>
    <col min="1301" max="1536" width="8.875" style="3232"/>
    <col min="1537" max="1537" width="9.5" style="3232" customWidth="1"/>
    <col min="1538" max="1538" width="8.875" style="3232"/>
    <col min="1539" max="1541" width="12.875" style="3232" customWidth="1"/>
    <col min="1542" max="1542" width="47.5" style="3232" customWidth="1"/>
    <col min="1543" max="1543" width="13" style="3232" customWidth="1"/>
    <col min="1544" max="1545" width="8.875" style="3232"/>
    <col min="1546" max="1546" width="5.75" style="3232" customWidth="1"/>
    <col min="1547" max="1547" width="11.75" style="3232" customWidth="1"/>
    <col min="1548" max="1549" width="10.75" style="3232" customWidth="1"/>
    <col min="1550" max="1550" width="10" style="3232" customWidth="1"/>
    <col min="1551" max="1552" width="10.5" style="3232" bestFit="1" customWidth="1"/>
    <col min="1553" max="1553" width="10" style="3232" customWidth="1"/>
    <col min="1554" max="1554" width="10.125" style="3232" customWidth="1"/>
    <col min="1555" max="1555" width="10" style="3232" customWidth="1"/>
    <col min="1556" max="1556" width="26.125" style="3232" customWidth="1"/>
    <col min="1557" max="1792" width="8.875" style="3232"/>
    <col min="1793" max="1793" width="9.5" style="3232" customWidth="1"/>
    <col min="1794" max="1794" width="8.875" style="3232"/>
    <col min="1795" max="1797" width="12.875" style="3232" customWidth="1"/>
    <col min="1798" max="1798" width="47.5" style="3232" customWidth="1"/>
    <col min="1799" max="1799" width="13" style="3232" customWidth="1"/>
    <col min="1800" max="1801" width="8.875" style="3232"/>
    <col min="1802" max="1802" width="5.75" style="3232" customWidth="1"/>
    <col min="1803" max="1803" width="11.75" style="3232" customWidth="1"/>
    <col min="1804" max="1805" width="10.75" style="3232" customWidth="1"/>
    <col min="1806" max="1806" width="10" style="3232" customWidth="1"/>
    <col min="1807" max="1808" width="10.5" style="3232" bestFit="1" customWidth="1"/>
    <col min="1809" max="1809" width="10" style="3232" customWidth="1"/>
    <col min="1810" max="1810" width="10.125" style="3232" customWidth="1"/>
    <col min="1811" max="1811" width="10" style="3232" customWidth="1"/>
    <col min="1812" max="1812" width="26.125" style="3232" customWidth="1"/>
    <col min="1813" max="2048" width="8.875" style="3232"/>
    <col min="2049" max="2049" width="9.5" style="3232" customWidth="1"/>
    <col min="2050" max="2050" width="8.875" style="3232"/>
    <col min="2051" max="2053" width="12.875" style="3232" customWidth="1"/>
    <col min="2054" max="2054" width="47.5" style="3232" customWidth="1"/>
    <col min="2055" max="2055" width="13" style="3232" customWidth="1"/>
    <col min="2056" max="2057" width="8.875" style="3232"/>
    <col min="2058" max="2058" width="5.75" style="3232" customWidth="1"/>
    <col min="2059" max="2059" width="11.75" style="3232" customWidth="1"/>
    <col min="2060" max="2061" width="10.75" style="3232" customWidth="1"/>
    <col min="2062" max="2062" width="10" style="3232" customWidth="1"/>
    <col min="2063" max="2064" width="10.5" style="3232" bestFit="1" customWidth="1"/>
    <col min="2065" max="2065" width="10" style="3232" customWidth="1"/>
    <col min="2066" max="2066" width="10.125" style="3232" customWidth="1"/>
    <col min="2067" max="2067" width="10" style="3232" customWidth="1"/>
    <col min="2068" max="2068" width="26.125" style="3232" customWidth="1"/>
    <col min="2069" max="2304" width="8.875" style="3232"/>
    <col min="2305" max="2305" width="9.5" style="3232" customWidth="1"/>
    <col min="2306" max="2306" width="8.875" style="3232"/>
    <col min="2307" max="2309" width="12.875" style="3232" customWidth="1"/>
    <col min="2310" max="2310" width="47.5" style="3232" customWidth="1"/>
    <col min="2311" max="2311" width="13" style="3232" customWidth="1"/>
    <col min="2312" max="2313" width="8.875" style="3232"/>
    <col min="2314" max="2314" width="5.75" style="3232" customWidth="1"/>
    <col min="2315" max="2315" width="11.75" style="3232" customWidth="1"/>
    <col min="2316" max="2317" width="10.75" style="3232" customWidth="1"/>
    <col min="2318" max="2318" width="10" style="3232" customWidth="1"/>
    <col min="2319" max="2320" width="10.5" style="3232" bestFit="1" customWidth="1"/>
    <col min="2321" max="2321" width="10" style="3232" customWidth="1"/>
    <col min="2322" max="2322" width="10.125" style="3232" customWidth="1"/>
    <col min="2323" max="2323" width="10" style="3232" customWidth="1"/>
    <col min="2324" max="2324" width="26.125" style="3232" customWidth="1"/>
    <col min="2325" max="2560" width="8.875" style="3232"/>
    <col min="2561" max="2561" width="9.5" style="3232" customWidth="1"/>
    <col min="2562" max="2562" width="8.875" style="3232"/>
    <col min="2563" max="2565" width="12.875" style="3232" customWidth="1"/>
    <col min="2566" max="2566" width="47.5" style="3232" customWidth="1"/>
    <col min="2567" max="2567" width="13" style="3232" customWidth="1"/>
    <col min="2568" max="2569" width="8.875" style="3232"/>
    <col min="2570" max="2570" width="5.75" style="3232" customWidth="1"/>
    <col min="2571" max="2571" width="11.75" style="3232" customWidth="1"/>
    <col min="2572" max="2573" width="10.75" style="3232" customWidth="1"/>
    <col min="2574" max="2574" width="10" style="3232" customWidth="1"/>
    <col min="2575" max="2576" width="10.5" style="3232" bestFit="1" customWidth="1"/>
    <col min="2577" max="2577" width="10" style="3232" customWidth="1"/>
    <col min="2578" max="2578" width="10.125" style="3232" customWidth="1"/>
    <col min="2579" max="2579" width="10" style="3232" customWidth="1"/>
    <col min="2580" max="2580" width="26.125" style="3232" customWidth="1"/>
    <col min="2581" max="2816" width="8.875" style="3232"/>
    <col min="2817" max="2817" width="9.5" style="3232" customWidth="1"/>
    <col min="2818" max="2818" width="8.875" style="3232"/>
    <col min="2819" max="2821" width="12.875" style="3232" customWidth="1"/>
    <col min="2822" max="2822" width="47.5" style="3232" customWidth="1"/>
    <col min="2823" max="2823" width="13" style="3232" customWidth="1"/>
    <col min="2824" max="2825" width="8.875" style="3232"/>
    <col min="2826" max="2826" width="5.75" style="3232" customWidth="1"/>
    <col min="2827" max="2827" width="11.75" style="3232" customWidth="1"/>
    <col min="2828" max="2829" width="10.75" style="3232" customWidth="1"/>
    <col min="2830" max="2830" width="10" style="3232" customWidth="1"/>
    <col min="2831" max="2832" width="10.5" style="3232" bestFit="1" customWidth="1"/>
    <col min="2833" max="2833" width="10" style="3232" customWidth="1"/>
    <col min="2834" max="2834" width="10.125" style="3232" customWidth="1"/>
    <col min="2835" max="2835" width="10" style="3232" customWidth="1"/>
    <col min="2836" max="2836" width="26.125" style="3232" customWidth="1"/>
    <col min="2837" max="3072" width="8.875" style="3232"/>
    <col min="3073" max="3073" width="9.5" style="3232" customWidth="1"/>
    <col min="3074" max="3074" width="8.875" style="3232"/>
    <col min="3075" max="3077" width="12.875" style="3232" customWidth="1"/>
    <col min="3078" max="3078" width="47.5" style="3232" customWidth="1"/>
    <col min="3079" max="3079" width="13" style="3232" customWidth="1"/>
    <col min="3080" max="3081" width="8.875" style="3232"/>
    <col min="3082" max="3082" width="5.75" style="3232" customWidth="1"/>
    <col min="3083" max="3083" width="11.75" style="3232" customWidth="1"/>
    <col min="3084" max="3085" width="10.75" style="3232" customWidth="1"/>
    <col min="3086" max="3086" width="10" style="3232" customWidth="1"/>
    <col min="3087" max="3088" width="10.5" style="3232" bestFit="1" customWidth="1"/>
    <col min="3089" max="3089" width="10" style="3232" customWidth="1"/>
    <col min="3090" max="3090" width="10.125" style="3232" customWidth="1"/>
    <col min="3091" max="3091" width="10" style="3232" customWidth="1"/>
    <col min="3092" max="3092" width="26.125" style="3232" customWidth="1"/>
    <col min="3093" max="3328" width="8.875" style="3232"/>
    <col min="3329" max="3329" width="9.5" style="3232" customWidth="1"/>
    <col min="3330" max="3330" width="8.875" style="3232"/>
    <col min="3331" max="3333" width="12.875" style="3232" customWidth="1"/>
    <col min="3334" max="3334" width="47.5" style="3232" customWidth="1"/>
    <col min="3335" max="3335" width="13" style="3232" customWidth="1"/>
    <col min="3336" max="3337" width="8.875" style="3232"/>
    <col min="3338" max="3338" width="5.75" style="3232" customWidth="1"/>
    <col min="3339" max="3339" width="11.75" style="3232" customWidth="1"/>
    <col min="3340" max="3341" width="10.75" style="3232" customWidth="1"/>
    <col min="3342" max="3342" width="10" style="3232" customWidth="1"/>
    <col min="3343" max="3344" width="10.5" style="3232" bestFit="1" customWidth="1"/>
    <col min="3345" max="3345" width="10" style="3232" customWidth="1"/>
    <col min="3346" max="3346" width="10.125" style="3232" customWidth="1"/>
    <col min="3347" max="3347" width="10" style="3232" customWidth="1"/>
    <col min="3348" max="3348" width="26.125" style="3232" customWidth="1"/>
    <col min="3349" max="3584" width="8.875" style="3232"/>
    <col min="3585" max="3585" width="9.5" style="3232" customWidth="1"/>
    <col min="3586" max="3586" width="8.875" style="3232"/>
    <col min="3587" max="3589" width="12.875" style="3232" customWidth="1"/>
    <col min="3590" max="3590" width="47.5" style="3232" customWidth="1"/>
    <col min="3591" max="3591" width="13" style="3232" customWidth="1"/>
    <col min="3592" max="3593" width="8.875" style="3232"/>
    <col min="3594" max="3594" width="5.75" style="3232" customWidth="1"/>
    <col min="3595" max="3595" width="11.75" style="3232" customWidth="1"/>
    <col min="3596" max="3597" width="10.75" style="3232" customWidth="1"/>
    <col min="3598" max="3598" width="10" style="3232" customWidth="1"/>
    <col min="3599" max="3600" width="10.5" style="3232" bestFit="1" customWidth="1"/>
    <col min="3601" max="3601" width="10" style="3232" customWidth="1"/>
    <col min="3602" max="3602" width="10.125" style="3232" customWidth="1"/>
    <col min="3603" max="3603" width="10" style="3232" customWidth="1"/>
    <col min="3604" max="3604" width="26.125" style="3232" customWidth="1"/>
    <col min="3605" max="3840" width="8.875" style="3232"/>
    <col min="3841" max="3841" width="9.5" style="3232" customWidth="1"/>
    <col min="3842" max="3842" width="8.875" style="3232"/>
    <col min="3843" max="3845" width="12.875" style="3232" customWidth="1"/>
    <col min="3846" max="3846" width="47.5" style="3232" customWidth="1"/>
    <col min="3847" max="3847" width="13" style="3232" customWidth="1"/>
    <col min="3848" max="3849" width="8.875" style="3232"/>
    <col min="3850" max="3850" width="5.75" style="3232" customWidth="1"/>
    <col min="3851" max="3851" width="11.75" style="3232" customWidth="1"/>
    <col min="3852" max="3853" width="10.75" style="3232" customWidth="1"/>
    <col min="3854" max="3854" width="10" style="3232" customWidth="1"/>
    <col min="3855" max="3856" width="10.5" style="3232" bestFit="1" customWidth="1"/>
    <col min="3857" max="3857" width="10" style="3232" customWidth="1"/>
    <col min="3858" max="3858" width="10.125" style="3232" customWidth="1"/>
    <col min="3859" max="3859" width="10" style="3232" customWidth="1"/>
    <col min="3860" max="3860" width="26.125" style="3232" customWidth="1"/>
    <col min="3861" max="4096" width="8.875" style="3232"/>
    <col min="4097" max="4097" width="9.5" style="3232" customWidth="1"/>
    <col min="4098" max="4098" width="8.875" style="3232"/>
    <col min="4099" max="4101" width="12.875" style="3232" customWidth="1"/>
    <col min="4102" max="4102" width="47.5" style="3232" customWidth="1"/>
    <col min="4103" max="4103" width="13" style="3232" customWidth="1"/>
    <col min="4104" max="4105" width="8.875" style="3232"/>
    <col min="4106" max="4106" width="5.75" style="3232" customWidth="1"/>
    <col min="4107" max="4107" width="11.75" style="3232" customWidth="1"/>
    <col min="4108" max="4109" width="10.75" style="3232" customWidth="1"/>
    <col min="4110" max="4110" width="10" style="3232" customWidth="1"/>
    <col min="4111" max="4112" width="10.5" style="3232" bestFit="1" customWidth="1"/>
    <col min="4113" max="4113" width="10" style="3232" customWidth="1"/>
    <col min="4114" max="4114" width="10.125" style="3232" customWidth="1"/>
    <col min="4115" max="4115" width="10" style="3232" customWidth="1"/>
    <col min="4116" max="4116" width="26.125" style="3232" customWidth="1"/>
    <col min="4117" max="4352" width="8.875" style="3232"/>
    <col min="4353" max="4353" width="9.5" style="3232" customWidth="1"/>
    <col min="4354" max="4354" width="8.875" style="3232"/>
    <col min="4355" max="4357" width="12.875" style="3232" customWidth="1"/>
    <col min="4358" max="4358" width="47.5" style="3232" customWidth="1"/>
    <col min="4359" max="4359" width="13" style="3232" customWidth="1"/>
    <col min="4360" max="4361" width="8.875" style="3232"/>
    <col min="4362" max="4362" width="5.75" style="3232" customWidth="1"/>
    <col min="4363" max="4363" width="11.75" style="3232" customWidth="1"/>
    <col min="4364" max="4365" width="10.75" style="3232" customWidth="1"/>
    <col min="4366" max="4366" width="10" style="3232" customWidth="1"/>
    <col min="4367" max="4368" width="10.5" style="3232" bestFit="1" customWidth="1"/>
    <col min="4369" max="4369" width="10" style="3232" customWidth="1"/>
    <col min="4370" max="4370" width="10.125" style="3232" customWidth="1"/>
    <col min="4371" max="4371" width="10" style="3232" customWidth="1"/>
    <col min="4372" max="4372" width="26.125" style="3232" customWidth="1"/>
    <col min="4373" max="4608" width="8.875" style="3232"/>
    <col min="4609" max="4609" width="9.5" style="3232" customWidth="1"/>
    <col min="4610" max="4610" width="8.875" style="3232"/>
    <col min="4611" max="4613" width="12.875" style="3232" customWidth="1"/>
    <col min="4614" max="4614" width="47.5" style="3232" customWidth="1"/>
    <col min="4615" max="4615" width="13" style="3232" customWidth="1"/>
    <col min="4616" max="4617" width="8.875" style="3232"/>
    <col min="4618" max="4618" width="5.75" style="3232" customWidth="1"/>
    <col min="4619" max="4619" width="11.75" style="3232" customWidth="1"/>
    <col min="4620" max="4621" width="10.75" style="3232" customWidth="1"/>
    <col min="4622" max="4622" width="10" style="3232" customWidth="1"/>
    <col min="4623" max="4624" width="10.5" style="3232" bestFit="1" customWidth="1"/>
    <col min="4625" max="4625" width="10" style="3232" customWidth="1"/>
    <col min="4626" max="4626" width="10.125" style="3232" customWidth="1"/>
    <col min="4627" max="4627" width="10" style="3232" customWidth="1"/>
    <col min="4628" max="4628" width="26.125" style="3232" customWidth="1"/>
    <col min="4629" max="4864" width="8.875" style="3232"/>
    <col min="4865" max="4865" width="9.5" style="3232" customWidth="1"/>
    <col min="4866" max="4866" width="8.875" style="3232"/>
    <col min="4867" max="4869" width="12.875" style="3232" customWidth="1"/>
    <col min="4870" max="4870" width="47.5" style="3232" customWidth="1"/>
    <col min="4871" max="4871" width="13" style="3232" customWidth="1"/>
    <col min="4872" max="4873" width="8.875" style="3232"/>
    <col min="4874" max="4874" width="5.75" style="3232" customWidth="1"/>
    <col min="4875" max="4875" width="11.75" style="3232" customWidth="1"/>
    <col min="4876" max="4877" width="10.75" style="3232" customWidth="1"/>
    <col min="4878" max="4878" width="10" style="3232" customWidth="1"/>
    <col min="4879" max="4880" width="10.5" style="3232" bestFit="1" customWidth="1"/>
    <col min="4881" max="4881" width="10" style="3232" customWidth="1"/>
    <col min="4882" max="4882" width="10.125" style="3232" customWidth="1"/>
    <col min="4883" max="4883" width="10" style="3232" customWidth="1"/>
    <col min="4884" max="4884" width="26.125" style="3232" customWidth="1"/>
    <col min="4885" max="5120" width="8.875" style="3232"/>
    <col min="5121" max="5121" width="9.5" style="3232" customWidth="1"/>
    <col min="5122" max="5122" width="8.875" style="3232"/>
    <col min="5123" max="5125" width="12.875" style="3232" customWidth="1"/>
    <col min="5126" max="5126" width="47.5" style="3232" customWidth="1"/>
    <col min="5127" max="5127" width="13" style="3232" customWidth="1"/>
    <col min="5128" max="5129" width="8.875" style="3232"/>
    <col min="5130" max="5130" width="5.75" style="3232" customWidth="1"/>
    <col min="5131" max="5131" width="11.75" style="3232" customWidth="1"/>
    <col min="5132" max="5133" width="10.75" style="3232" customWidth="1"/>
    <col min="5134" max="5134" width="10" style="3232" customWidth="1"/>
    <col min="5135" max="5136" width="10.5" style="3232" bestFit="1" customWidth="1"/>
    <col min="5137" max="5137" width="10" style="3232" customWidth="1"/>
    <col min="5138" max="5138" width="10.125" style="3232" customWidth="1"/>
    <col min="5139" max="5139" width="10" style="3232" customWidth="1"/>
    <col min="5140" max="5140" width="26.125" style="3232" customWidth="1"/>
    <col min="5141" max="5376" width="8.875" style="3232"/>
    <col min="5377" max="5377" width="9.5" style="3232" customWidth="1"/>
    <col min="5378" max="5378" width="8.875" style="3232"/>
    <col min="5379" max="5381" width="12.875" style="3232" customWidth="1"/>
    <col min="5382" max="5382" width="47.5" style="3232" customWidth="1"/>
    <col min="5383" max="5383" width="13" style="3232" customWidth="1"/>
    <col min="5384" max="5385" width="8.875" style="3232"/>
    <col min="5386" max="5386" width="5.75" style="3232" customWidth="1"/>
    <col min="5387" max="5387" width="11.75" style="3232" customWidth="1"/>
    <col min="5388" max="5389" width="10.75" style="3232" customWidth="1"/>
    <col min="5390" max="5390" width="10" style="3232" customWidth="1"/>
    <col min="5391" max="5392" width="10.5" style="3232" bestFit="1" customWidth="1"/>
    <col min="5393" max="5393" width="10" style="3232" customWidth="1"/>
    <col min="5394" max="5394" width="10.125" style="3232" customWidth="1"/>
    <col min="5395" max="5395" width="10" style="3232" customWidth="1"/>
    <col min="5396" max="5396" width="26.125" style="3232" customWidth="1"/>
    <col min="5397" max="5632" width="8.875" style="3232"/>
    <col min="5633" max="5633" width="9.5" style="3232" customWidth="1"/>
    <col min="5634" max="5634" width="8.875" style="3232"/>
    <col min="5635" max="5637" width="12.875" style="3232" customWidth="1"/>
    <col min="5638" max="5638" width="47.5" style="3232" customWidth="1"/>
    <col min="5639" max="5639" width="13" style="3232" customWidth="1"/>
    <col min="5640" max="5641" width="8.875" style="3232"/>
    <col min="5642" max="5642" width="5.75" style="3232" customWidth="1"/>
    <col min="5643" max="5643" width="11.75" style="3232" customWidth="1"/>
    <col min="5644" max="5645" width="10.75" style="3232" customWidth="1"/>
    <col min="5646" max="5646" width="10" style="3232" customWidth="1"/>
    <col min="5647" max="5648" width="10.5" style="3232" bestFit="1" customWidth="1"/>
    <col min="5649" max="5649" width="10" style="3232" customWidth="1"/>
    <col min="5650" max="5650" width="10.125" style="3232" customWidth="1"/>
    <col min="5651" max="5651" width="10" style="3232" customWidth="1"/>
    <col min="5652" max="5652" width="26.125" style="3232" customWidth="1"/>
    <col min="5653" max="5888" width="8.875" style="3232"/>
    <col min="5889" max="5889" width="9.5" style="3232" customWidth="1"/>
    <col min="5890" max="5890" width="8.875" style="3232"/>
    <col min="5891" max="5893" width="12.875" style="3232" customWidth="1"/>
    <col min="5894" max="5894" width="47.5" style="3232" customWidth="1"/>
    <col min="5895" max="5895" width="13" style="3232" customWidth="1"/>
    <col min="5896" max="5897" width="8.875" style="3232"/>
    <col min="5898" max="5898" width="5.75" style="3232" customWidth="1"/>
    <col min="5899" max="5899" width="11.75" style="3232" customWidth="1"/>
    <col min="5900" max="5901" width="10.75" style="3232" customWidth="1"/>
    <col min="5902" max="5902" width="10" style="3232" customWidth="1"/>
    <col min="5903" max="5904" width="10.5" style="3232" bestFit="1" customWidth="1"/>
    <col min="5905" max="5905" width="10" style="3232" customWidth="1"/>
    <col min="5906" max="5906" width="10.125" style="3232" customWidth="1"/>
    <col min="5907" max="5907" width="10" style="3232" customWidth="1"/>
    <col min="5908" max="5908" width="26.125" style="3232" customWidth="1"/>
    <col min="5909" max="6144" width="8.875" style="3232"/>
    <col min="6145" max="6145" width="9.5" style="3232" customWidth="1"/>
    <col min="6146" max="6146" width="8.875" style="3232"/>
    <col min="6147" max="6149" width="12.875" style="3232" customWidth="1"/>
    <col min="6150" max="6150" width="47.5" style="3232" customWidth="1"/>
    <col min="6151" max="6151" width="13" style="3232" customWidth="1"/>
    <col min="6152" max="6153" width="8.875" style="3232"/>
    <col min="6154" max="6154" width="5.75" style="3232" customWidth="1"/>
    <col min="6155" max="6155" width="11.75" style="3232" customWidth="1"/>
    <col min="6156" max="6157" width="10.75" style="3232" customWidth="1"/>
    <col min="6158" max="6158" width="10" style="3232" customWidth="1"/>
    <col min="6159" max="6160" width="10.5" style="3232" bestFit="1" customWidth="1"/>
    <col min="6161" max="6161" width="10" style="3232" customWidth="1"/>
    <col min="6162" max="6162" width="10.125" style="3232" customWidth="1"/>
    <col min="6163" max="6163" width="10" style="3232" customWidth="1"/>
    <col min="6164" max="6164" width="26.125" style="3232" customWidth="1"/>
    <col min="6165" max="6400" width="8.875" style="3232"/>
    <col min="6401" max="6401" width="9.5" style="3232" customWidth="1"/>
    <col min="6402" max="6402" width="8.875" style="3232"/>
    <col min="6403" max="6405" width="12.875" style="3232" customWidth="1"/>
    <col min="6406" max="6406" width="47.5" style="3232" customWidth="1"/>
    <col min="6407" max="6407" width="13" style="3232" customWidth="1"/>
    <col min="6408" max="6409" width="8.875" style="3232"/>
    <col min="6410" max="6410" width="5.75" style="3232" customWidth="1"/>
    <col min="6411" max="6411" width="11.75" style="3232" customWidth="1"/>
    <col min="6412" max="6413" width="10.75" style="3232" customWidth="1"/>
    <col min="6414" max="6414" width="10" style="3232" customWidth="1"/>
    <col min="6415" max="6416" width="10.5" style="3232" bestFit="1" customWidth="1"/>
    <col min="6417" max="6417" width="10" style="3232" customWidth="1"/>
    <col min="6418" max="6418" width="10.125" style="3232" customWidth="1"/>
    <col min="6419" max="6419" width="10" style="3232" customWidth="1"/>
    <col min="6420" max="6420" width="26.125" style="3232" customWidth="1"/>
    <col min="6421" max="6656" width="8.875" style="3232"/>
    <col min="6657" max="6657" width="9.5" style="3232" customWidth="1"/>
    <col min="6658" max="6658" width="8.875" style="3232"/>
    <col min="6659" max="6661" width="12.875" style="3232" customWidth="1"/>
    <col min="6662" max="6662" width="47.5" style="3232" customWidth="1"/>
    <col min="6663" max="6663" width="13" style="3232" customWidth="1"/>
    <col min="6664" max="6665" width="8.875" style="3232"/>
    <col min="6666" max="6666" width="5.75" style="3232" customWidth="1"/>
    <col min="6667" max="6667" width="11.75" style="3232" customWidth="1"/>
    <col min="6668" max="6669" width="10.75" style="3232" customWidth="1"/>
    <col min="6670" max="6670" width="10" style="3232" customWidth="1"/>
    <col min="6671" max="6672" width="10.5" style="3232" bestFit="1" customWidth="1"/>
    <col min="6673" max="6673" width="10" style="3232" customWidth="1"/>
    <col min="6674" max="6674" width="10.125" style="3232" customWidth="1"/>
    <col min="6675" max="6675" width="10" style="3232" customWidth="1"/>
    <col min="6676" max="6676" width="26.125" style="3232" customWidth="1"/>
    <col min="6677" max="6912" width="8.875" style="3232"/>
    <col min="6913" max="6913" width="9.5" style="3232" customWidth="1"/>
    <col min="6914" max="6914" width="8.875" style="3232"/>
    <col min="6915" max="6917" width="12.875" style="3232" customWidth="1"/>
    <col min="6918" max="6918" width="47.5" style="3232" customWidth="1"/>
    <col min="6919" max="6919" width="13" style="3232" customWidth="1"/>
    <col min="6920" max="6921" width="8.875" style="3232"/>
    <col min="6922" max="6922" width="5.75" style="3232" customWidth="1"/>
    <col min="6923" max="6923" width="11.75" style="3232" customWidth="1"/>
    <col min="6924" max="6925" width="10.75" style="3232" customWidth="1"/>
    <col min="6926" max="6926" width="10" style="3232" customWidth="1"/>
    <col min="6927" max="6928" width="10.5" style="3232" bestFit="1" customWidth="1"/>
    <col min="6929" max="6929" width="10" style="3232" customWidth="1"/>
    <col min="6930" max="6930" width="10.125" style="3232" customWidth="1"/>
    <col min="6931" max="6931" width="10" style="3232" customWidth="1"/>
    <col min="6932" max="6932" width="26.125" style="3232" customWidth="1"/>
    <col min="6933" max="7168" width="8.875" style="3232"/>
    <col min="7169" max="7169" width="9.5" style="3232" customWidth="1"/>
    <col min="7170" max="7170" width="8.875" style="3232"/>
    <col min="7171" max="7173" width="12.875" style="3232" customWidth="1"/>
    <col min="7174" max="7174" width="47.5" style="3232" customWidth="1"/>
    <col min="7175" max="7175" width="13" style="3232" customWidth="1"/>
    <col min="7176" max="7177" width="8.875" style="3232"/>
    <col min="7178" max="7178" width="5.75" style="3232" customWidth="1"/>
    <col min="7179" max="7179" width="11.75" style="3232" customWidth="1"/>
    <col min="7180" max="7181" width="10.75" style="3232" customWidth="1"/>
    <col min="7182" max="7182" width="10" style="3232" customWidth="1"/>
    <col min="7183" max="7184" width="10.5" style="3232" bestFit="1" customWidth="1"/>
    <col min="7185" max="7185" width="10" style="3232" customWidth="1"/>
    <col min="7186" max="7186" width="10.125" style="3232" customWidth="1"/>
    <col min="7187" max="7187" width="10" style="3232" customWidth="1"/>
    <col min="7188" max="7188" width="26.125" style="3232" customWidth="1"/>
    <col min="7189" max="7424" width="8.875" style="3232"/>
    <col min="7425" max="7425" width="9.5" style="3232" customWidth="1"/>
    <col min="7426" max="7426" width="8.875" style="3232"/>
    <col min="7427" max="7429" width="12.875" style="3232" customWidth="1"/>
    <col min="7430" max="7430" width="47.5" style="3232" customWidth="1"/>
    <col min="7431" max="7431" width="13" style="3232" customWidth="1"/>
    <col min="7432" max="7433" width="8.875" style="3232"/>
    <col min="7434" max="7434" width="5.75" style="3232" customWidth="1"/>
    <col min="7435" max="7435" width="11.75" style="3232" customWidth="1"/>
    <col min="7436" max="7437" width="10.75" style="3232" customWidth="1"/>
    <col min="7438" max="7438" width="10" style="3232" customWidth="1"/>
    <col min="7439" max="7440" width="10.5" style="3232" bestFit="1" customWidth="1"/>
    <col min="7441" max="7441" width="10" style="3232" customWidth="1"/>
    <col min="7442" max="7442" width="10.125" style="3232" customWidth="1"/>
    <col min="7443" max="7443" width="10" style="3232" customWidth="1"/>
    <col min="7444" max="7444" width="26.125" style="3232" customWidth="1"/>
    <col min="7445" max="7680" width="8.875" style="3232"/>
    <col min="7681" max="7681" width="9.5" style="3232" customWidth="1"/>
    <col min="7682" max="7682" width="8.875" style="3232"/>
    <col min="7683" max="7685" width="12.875" style="3232" customWidth="1"/>
    <col min="7686" max="7686" width="47.5" style="3232" customWidth="1"/>
    <col min="7687" max="7687" width="13" style="3232" customWidth="1"/>
    <col min="7688" max="7689" width="8.875" style="3232"/>
    <col min="7690" max="7690" width="5.75" style="3232" customWidth="1"/>
    <col min="7691" max="7691" width="11.75" style="3232" customWidth="1"/>
    <col min="7692" max="7693" width="10.75" style="3232" customWidth="1"/>
    <col min="7694" max="7694" width="10" style="3232" customWidth="1"/>
    <col min="7695" max="7696" width="10.5" style="3232" bestFit="1" customWidth="1"/>
    <col min="7697" max="7697" width="10" style="3232" customWidth="1"/>
    <col min="7698" max="7698" width="10.125" style="3232" customWidth="1"/>
    <col min="7699" max="7699" width="10" style="3232" customWidth="1"/>
    <col min="7700" max="7700" width="26.125" style="3232" customWidth="1"/>
    <col min="7701" max="7936" width="8.875" style="3232"/>
    <col min="7937" max="7937" width="9.5" style="3232" customWidth="1"/>
    <col min="7938" max="7938" width="8.875" style="3232"/>
    <col min="7939" max="7941" width="12.875" style="3232" customWidth="1"/>
    <col min="7942" max="7942" width="47.5" style="3232" customWidth="1"/>
    <col min="7943" max="7943" width="13" style="3232" customWidth="1"/>
    <col min="7944" max="7945" width="8.875" style="3232"/>
    <col min="7946" max="7946" width="5.75" style="3232" customWidth="1"/>
    <col min="7947" max="7947" width="11.75" style="3232" customWidth="1"/>
    <col min="7948" max="7949" width="10.75" style="3232" customWidth="1"/>
    <col min="7950" max="7950" width="10" style="3232" customWidth="1"/>
    <col min="7951" max="7952" width="10.5" style="3232" bestFit="1" customWidth="1"/>
    <col min="7953" max="7953" width="10" style="3232" customWidth="1"/>
    <col min="7954" max="7954" width="10.125" style="3232" customWidth="1"/>
    <col min="7955" max="7955" width="10" style="3232" customWidth="1"/>
    <col min="7956" max="7956" width="26.125" style="3232" customWidth="1"/>
    <col min="7957" max="8192" width="8.875" style="3232"/>
    <col min="8193" max="8193" width="9.5" style="3232" customWidth="1"/>
    <col min="8194" max="8194" width="8.875" style="3232"/>
    <col min="8195" max="8197" width="12.875" style="3232" customWidth="1"/>
    <col min="8198" max="8198" width="47.5" style="3232" customWidth="1"/>
    <col min="8199" max="8199" width="13" style="3232" customWidth="1"/>
    <col min="8200" max="8201" width="8.875" style="3232"/>
    <col min="8202" max="8202" width="5.75" style="3232" customWidth="1"/>
    <col min="8203" max="8203" width="11.75" style="3232" customWidth="1"/>
    <col min="8204" max="8205" width="10.75" style="3232" customWidth="1"/>
    <col min="8206" max="8206" width="10" style="3232" customWidth="1"/>
    <col min="8207" max="8208" width="10.5" style="3232" bestFit="1" customWidth="1"/>
    <col min="8209" max="8209" width="10" style="3232" customWidth="1"/>
    <col min="8210" max="8210" width="10.125" style="3232" customWidth="1"/>
    <col min="8211" max="8211" width="10" style="3232" customWidth="1"/>
    <col min="8212" max="8212" width="26.125" style="3232" customWidth="1"/>
    <col min="8213" max="8448" width="8.875" style="3232"/>
    <col min="8449" max="8449" width="9.5" style="3232" customWidth="1"/>
    <col min="8450" max="8450" width="8.875" style="3232"/>
    <col min="8451" max="8453" width="12.875" style="3232" customWidth="1"/>
    <col min="8454" max="8454" width="47.5" style="3232" customWidth="1"/>
    <col min="8455" max="8455" width="13" style="3232" customWidth="1"/>
    <col min="8456" max="8457" width="8.875" style="3232"/>
    <col min="8458" max="8458" width="5.75" style="3232" customWidth="1"/>
    <col min="8459" max="8459" width="11.75" style="3232" customWidth="1"/>
    <col min="8460" max="8461" width="10.75" style="3232" customWidth="1"/>
    <col min="8462" max="8462" width="10" style="3232" customWidth="1"/>
    <col min="8463" max="8464" width="10.5" style="3232" bestFit="1" customWidth="1"/>
    <col min="8465" max="8465" width="10" style="3232" customWidth="1"/>
    <col min="8466" max="8466" width="10.125" style="3232" customWidth="1"/>
    <col min="8467" max="8467" width="10" style="3232" customWidth="1"/>
    <col min="8468" max="8468" width="26.125" style="3232" customWidth="1"/>
    <col min="8469" max="8704" width="8.875" style="3232"/>
    <col min="8705" max="8705" width="9.5" style="3232" customWidth="1"/>
    <col min="8706" max="8706" width="8.875" style="3232"/>
    <col min="8707" max="8709" width="12.875" style="3232" customWidth="1"/>
    <col min="8710" max="8710" width="47.5" style="3232" customWidth="1"/>
    <col min="8711" max="8711" width="13" style="3232" customWidth="1"/>
    <col min="8712" max="8713" width="8.875" style="3232"/>
    <col min="8714" max="8714" width="5.75" style="3232" customWidth="1"/>
    <col min="8715" max="8715" width="11.75" style="3232" customWidth="1"/>
    <col min="8716" max="8717" width="10.75" style="3232" customWidth="1"/>
    <col min="8718" max="8718" width="10" style="3232" customWidth="1"/>
    <col min="8719" max="8720" width="10.5" style="3232" bestFit="1" customWidth="1"/>
    <col min="8721" max="8721" width="10" style="3232" customWidth="1"/>
    <col min="8722" max="8722" width="10.125" style="3232" customWidth="1"/>
    <col min="8723" max="8723" width="10" style="3232" customWidth="1"/>
    <col min="8724" max="8724" width="26.125" style="3232" customWidth="1"/>
    <col min="8725" max="8960" width="8.875" style="3232"/>
    <col min="8961" max="8961" width="9.5" style="3232" customWidth="1"/>
    <col min="8962" max="8962" width="8.875" style="3232"/>
    <col min="8963" max="8965" width="12.875" style="3232" customWidth="1"/>
    <col min="8966" max="8966" width="47.5" style="3232" customWidth="1"/>
    <col min="8967" max="8967" width="13" style="3232" customWidth="1"/>
    <col min="8968" max="8969" width="8.875" style="3232"/>
    <col min="8970" max="8970" width="5.75" style="3232" customWidth="1"/>
    <col min="8971" max="8971" width="11.75" style="3232" customWidth="1"/>
    <col min="8972" max="8973" width="10.75" style="3232" customWidth="1"/>
    <col min="8974" max="8974" width="10" style="3232" customWidth="1"/>
    <col min="8975" max="8976" width="10.5" style="3232" bestFit="1" customWidth="1"/>
    <col min="8977" max="8977" width="10" style="3232" customWidth="1"/>
    <col min="8978" max="8978" width="10.125" style="3232" customWidth="1"/>
    <col min="8979" max="8979" width="10" style="3232" customWidth="1"/>
    <col min="8980" max="8980" width="26.125" style="3232" customWidth="1"/>
    <col min="8981" max="9216" width="8.875" style="3232"/>
    <col min="9217" max="9217" width="9.5" style="3232" customWidth="1"/>
    <col min="9218" max="9218" width="8.875" style="3232"/>
    <col min="9219" max="9221" width="12.875" style="3232" customWidth="1"/>
    <col min="9222" max="9222" width="47.5" style="3232" customWidth="1"/>
    <col min="9223" max="9223" width="13" style="3232" customWidth="1"/>
    <col min="9224" max="9225" width="8.875" style="3232"/>
    <col min="9226" max="9226" width="5.75" style="3232" customWidth="1"/>
    <col min="9227" max="9227" width="11.75" style="3232" customWidth="1"/>
    <col min="9228" max="9229" width="10.75" style="3232" customWidth="1"/>
    <col min="9230" max="9230" width="10" style="3232" customWidth="1"/>
    <col min="9231" max="9232" width="10.5" style="3232" bestFit="1" customWidth="1"/>
    <col min="9233" max="9233" width="10" style="3232" customWidth="1"/>
    <col min="9234" max="9234" width="10.125" style="3232" customWidth="1"/>
    <col min="9235" max="9235" width="10" style="3232" customWidth="1"/>
    <col min="9236" max="9236" width="26.125" style="3232" customWidth="1"/>
    <col min="9237" max="9472" width="8.875" style="3232"/>
    <col min="9473" max="9473" width="9.5" style="3232" customWidth="1"/>
    <col min="9474" max="9474" width="8.875" style="3232"/>
    <col min="9475" max="9477" width="12.875" style="3232" customWidth="1"/>
    <col min="9478" max="9478" width="47.5" style="3232" customWidth="1"/>
    <col min="9479" max="9479" width="13" style="3232" customWidth="1"/>
    <col min="9480" max="9481" width="8.875" style="3232"/>
    <col min="9482" max="9482" width="5.75" style="3232" customWidth="1"/>
    <col min="9483" max="9483" width="11.75" style="3232" customWidth="1"/>
    <col min="9484" max="9485" width="10.75" style="3232" customWidth="1"/>
    <col min="9486" max="9486" width="10" style="3232" customWidth="1"/>
    <col min="9487" max="9488" width="10.5" style="3232" bestFit="1" customWidth="1"/>
    <col min="9489" max="9489" width="10" style="3232" customWidth="1"/>
    <col min="9490" max="9490" width="10.125" style="3232" customWidth="1"/>
    <col min="9491" max="9491" width="10" style="3232" customWidth="1"/>
    <col min="9492" max="9492" width="26.125" style="3232" customWidth="1"/>
    <col min="9493" max="9728" width="8.875" style="3232"/>
    <col min="9729" max="9729" width="9.5" style="3232" customWidth="1"/>
    <col min="9730" max="9730" width="8.875" style="3232"/>
    <col min="9731" max="9733" width="12.875" style="3232" customWidth="1"/>
    <col min="9734" max="9734" width="47.5" style="3232" customWidth="1"/>
    <col min="9735" max="9735" width="13" style="3232" customWidth="1"/>
    <col min="9736" max="9737" width="8.875" style="3232"/>
    <col min="9738" max="9738" width="5.75" style="3232" customWidth="1"/>
    <col min="9739" max="9739" width="11.75" style="3232" customWidth="1"/>
    <col min="9740" max="9741" width="10.75" style="3232" customWidth="1"/>
    <col min="9742" max="9742" width="10" style="3232" customWidth="1"/>
    <col min="9743" max="9744" width="10.5" style="3232" bestFit="1" customWidth="1"/>
    <col min="9745" max="9745" width="10" style="3232" customWidth="1"/>
    <col min="9746" max="9746" width="10.125" style="3232" customWidth="1"/>
    <col min="9747" max="9747" width="10" style="3232" customWidth="1"/>
    <col min="9748" max="9748" width="26.125" style="3232" customWidth="1"/>
    <col min="9749" max="9984" width="8.875" style="3232"/>
    <col min="9985" max="9985" width="9.5" style="3232" customWidth="1"/>
    <col min="9986" max="9986" width="8.875" style="3232"/>
    <col min="9987" max="9989" width="12.875" style="3232" customWidth="1"/>
    <col min="9990" max="9990" width="47.5" style="3232" customWidth="1"/>
    <col min="9991" max="9991" width="13" style="3232" customWidth="1"/>
    <col min="9992" max="9993" width="8.875" style="3232"/>
    <col min="9994" max="9994" width="5.75" style="3232" customWidth="1"/>
    <col min="9995" max="9995" width="11.75" style="3232" customWidth="1"/>
    <col min="9996" max="9997" width="10.75" style="3232" customWidth="1"/>
    <col min="9998" max="9998" width="10" style="3232" customWidth="1"/>
    <col min="9999" max="10000" width="10.5" style="3232" bestFit="1" customWidth="1"/>
    <col min="10001" max="10001" width="10" style="3232" customWidth="1"/>
    <col min="10002" max="10002" width="10.125" style="3232" customWidth="1"/>
    <col min="10003" max="10003" width="10" style="3232" customWidth="1"/>
    <col min="10004" max="10004" width="26.125" style="3232" customWidth="1"/>
    <col min="10005" max="10240" width="8.875" style="3232"/>
    <col min="10241" max="10241" width="9.5" style="3232" customWidth="1"/>
    <col min="10242" max="10242" width="8.875" style="3232"/>
    <col min="10243" max="10245" width="12.875" style="3232" customWidth="1"/>
    <col min="10246" max="10246" width="47.5" style="3232" customWidth="1"/>
    <col min="10247" max="10247" width="13" style="3232" customWidth="1"/>
    <col min="10248" max="10249" width="8.875" style="3232"/>
    <col min="10250" max="10250" width="5.75" style="3232" customWidth="1"/>
    <col min="10251" max="10251" width="11.75" style="3232" customWidth="1"/>
    <col min="10252" max="10253" width="10.75" style="3232" customWidth="1"/>
    <col min="10254" max="10254" width="10" style="3232" customWidth="1"/>
    <col min="10255" max="10256" width="10.5" style="3232" bestFit="1" customWidth="1"/>
    <col min="10257" max="10257" width="10" style="3232" customWidth="1"/>
    <col min="10258" max="10258" width="10.125" style="3232" customWidth="1"/>
    <col min="10259" max="10259" width="10" style="3232" customWidth="1"/>
    <col min="10260" max="10260" width="26.125" style="3232" customWidth="1"/>
    <col min="10261" max="10496" width="8.875" style="3232"/>
    <col min="10497" max="10497" width="9.5" style="3232" customWidth="1"/>
    <col min="10498" max="10498" width="8.875" style="3232"/>
    <col min="10499" max="10501" width="12.875" style="3232" customWidth="1"/>
    <col min="10502" max="10502" width="47.5" style="3232" customWidth="1"/>
    <col min="10503" max="10503" width="13" style="3232" customWidth="1"/>
    <col min="10504" max="10505" width="8.875" style="3232"/>
    <col min="10506" max="10506" width="5.75" style="3232" customWidth="1"/>
    <col min="10507" max="10507" width="11.75" style="3232" customWidth="1"/>
    <col min="10508" max="10509" width="10.75" style="3232" customWidth="1"/>
    <col min="10510" max="10510" width="10" style="3232" customWidth="1"/>
    <col min="10511" max="10512" width="10.5" style="3232" bestFit="1" customWidth="1"/>
    <col min="10513" max="10513" width="10" style="3232" customWidth="1"/>
    <col min="10514" max="10514" width="10.125" style="3232" customWidth="1"/>
    <col min="10515" max="10515" width="10" style="3232" customWidth="1"/>
    <col min="10516" max="10516" width="26.125" style="3232" customWidth="1"/>
    <col min="10517" max="10752" width="8.875" style="3232"/>
    <col min="10753" max="10753" width="9.5" style="3232" customWidth="1"/>
    <col min="10754" max="10754" width="8.875" style="3232"/>
    <col min="10755" max="10757" width="12.875" style="3232" customWidth="1"/>
    <col min="10758" max="10758" width="47.5" style="3232" customWidth="1"/>
    <col min="10759" max="10759" width="13" style="3232" customWidth="1"/>
    <col min="10760" max="10761" width="8.875" style="3232"/>
    <col min="10762" max="10762" width="5.75" style="3232" customWidth="1"/>
    <col min="10763" max="10763" width="11.75" style="3232" customWidth="1"/>
    <col min="10764" max="10765" width="10.75" style="3232" customWidth="1"/>
    <col min="10766" max="10766" width="10" style="3232" customWidth="1"/>
    <col min="10767" max="10768" width="10.5" style="3232" bestFit="1" customWidth="1"/>
    <col min="10769" max="10769" width="10" style="3232" customWidth="1"/>
    <col min="10770" max="10770" width="10.125" style="3232" customWidth="1"/>
    <col min="10771" max="10771" width="10" style="3232" customWidth="1"/>
    <col min="10772" max="10772" width="26.125" style="3232" customWidth="1"/>
    <col min="10773" max="11008" width="8.875" style="3232"/>
    <col min="11009" max="11009" width="9.5" style="3232" customWidth="1"/>
    <col min="11010" max="11010" width="8.875" style="3232"/>
    <col min="11011" max="11013" width="12.875" style="3232" customWidth="1"/>
    <col min="11014" max="11014" width="47.5" style="3232" customWidth="1"/>
    <col min="11015" max="11015" width="13" style="3232" customWidth="1"/>
    <col min="11016" max="11017" width="8.875" style="3232"/>
    <col min="11018" max="11018" width="5.75" style="3232" customWidth="1"/>
    <col min="11019" max="11019" width="11.75" style="3232" customWidth="1"/>
    <col min="11020" max="11021" width="10.75" style="3232" customWidth="1"/>
    <col min="11022" max="11022" width="10" style="3232" customWidth="1"/>
    <col min="11023" max="11024" width="10.5" style="3232" bestFit="1" customWidth="1"/>
    <col min="11025" max="11025" width="10" style="3232" customWidth="1"/>
    <col min="11026" max="11026" width="10.125" style="3232" customWidth="1"/>
    <col min="11027" max="11027" width="10" style="3232" customWidth="1"/>
    <col min="11028" max="11028" width="26.125" style="3232" customWidth="1"/>
    <col min="11029" max="11264" width="8.875" style="3232"/>
    <col min="11265" max="11265" width="9.5" style="3232" customWidth="1"/>
    <col min="11266" max="11266" width="8.875" style="3232"/>
    <col min="11267" max="11269" width="12.875" style="3232" customWidth="1"/>
    <col min="11270" max="11270" width="47.5" style="3232" customWidth="1"/>
    <col min="11271" max="11271" width="13" style="3232" customWidth="1"/>
    <col min="11272" max="11273" width="8.875" style="3232"/>
    <col min="11274" max="11274" width="5.75" style="3232" customWidth="1"/>
    <col min="11275" max="11275" width="11.75" style="3232" customWidth="1"/>
    <col min="11276" max="11277" width="10.75" style="3232" customWidth="1"/>
    <col min="11278" max="11278" width="10" style="3232" customWidth="1"/>
    <col min="11279" max="11280" width="10.5" style="3232" bestFit="1" customWidth="1"/>
    <col min="11281" max="11281" width="10" style="3232" customWidth="1"/>
    <col min="11282" max="11282" width="10.125" style="3232" customWidth="1"/>
    <col min="11283" max="11283" width="10" style="3232" customWidth="1"/>
    <col min="11284" max="11284" width="26.125" style="3232" customWidth="1"/>
    <col min="11285" max="11520" width="8.875" style="3232"/>
    <col min="11521" max="11521" width="9.5" style="3232" customWidth="1"/>
    <col min="11522" max="11522" width="8.875" style="3232"/>
    <col min="11523" max="11525" width="12.875" style="3232" customWidth="1"/>
    <col min="11526" max="11526" width="47.5" style="3232" customWidth="1"/>
    <col min="11527" max="11527" width="13" style="3232" customWidth="1"/>
    <col min="11528" max="11529" width="8.875" style="3232"/>
    <col min="11530" max="11530" width="5.75" style="3232" customWidth="1"/>
    <col min="11531" max="11531" width="11.75" style="3232" customWidth="1"/>
    <col min="11532" max="11533" width="10.75" style="3232" customWidth="1"/>
    <col min="11534" max="11534" width="10" style="3232" customWidth="1"/>
    <col min="11535" max="11536" width="10.5" style="3232" bestFit="1" customWidth="1"/>
    <col min="11537" max="11537" width="10" style="3232" customWidth="1"/>
    <col min="11538" max="11538" width="10.125" style="3232" customWidth="1"/>
    <col min="11539" max="11539" width="10" style="3232" customWidth="1"/>
    <col min="11540" max="11540" width="26.125" style="3232" customWidth="1"/>
    <col min="11541" max="11776" width="8.875" style="3232"/>
    <col min="11777" max="11777" width="9.5" style="3232" customWidth="1"/>
    <col min="11778" max="11778" width="8.875" style="3232"/>
    <col min="11779" max="11781" width="12.875" style="3232" customWidth="1"/>
    <col min="11782" max="11782" width="47.5" style="3232" customWidth="1"/>
    <col min="11783" max="11783" width="13" style="3232" customWidth="1"/>
    <col min="11784" max="11785" width="8.875" style="3232"/>
    <col min="11786" max="11786" width="5.75" style="3232" customWidth="1"/>
    <col min="11787" max="11787" width="11.75" style="3232" customWidth="1"/>
    <col min="11788" max="11789" width="10.75" style="3232" customWidth="1"/>
    <col min="11790" max="11790" width="10" style="3232" customWidth="1"/>
    <col min="11791" max="11792" width="10.5" style="3232" bestFit="1" customWidth="1"/>
    <col min="11793" max="11793" width="10" style="3232" customWidth="1"/>
    <col min="11794" max="11794" width="10.125" style="3232" customWidth="1"/>
    <col min="11795" max="11795" width="10" style="3232" customWidth="1"/>
    <col min="11796" max="11796" width="26.125" style="3232" customWidth="1"/>
    <col min="11797" max="12032" width="8.875" style="3232"/>
    <col min="12033" max="12033" width="9.5" style="3232" customWidth="1"/>
    <col min="12034" max="12034" width="8.875" style="3232"/>
    <col min="12035" max="12037" width="12.875" style="3232" customWidth="1"/>
    <col min="12038" max="12038" width="47.5" style="3232" customWidth="1"/>
    <col min="12039" max="12039" width="13" style="3232" customWidth="1"/>
    <col min="12040" max="12041" width="8.875" style="3232"/>
    <col min="12042" max="12042" width="5.75" style="3232" customWidth="1"/>
    <col min="12043" max="12043" width="11.75" style="3232" customWidth="1"/>
    <col min="12044" max="12045" width="10.75" style="3232" customWidth="1"/>
    <col min="12046" max="12046" width="10" style="3232" customWidth="1"/>
    <col min="12047" max="12048" width="10.5" style="3232" bestFit="1" customWidth="1"/>
    <col min="12049" max="12049" width="10" style="3232" customWidth="1"/>
    <col min="12050" max="12050" width="10.125" style="3232" customWidth="1"/>
    <col min="12051" max="12051" width="10" style="3232" customWidth="1"/>
    <col min="12052" max="12052" width="26.125" style="3232" customWidth="1"/>
    <col min="12053" max="12288" width="8.875" style="3232"/>
    <col min="12289" max="12289" width="9.5" style="3232" customWidth="1"/>
    <col min="12290" max="12290" width="8.875" style="3232"/>
    <col min="12291" max="12293" width="12.875" style="3232" customWidth="1"/>
    <col min="12294" max="12294" width="47.5" style="3232" customWidth="1"/>
    <col min="12295" max="12295" width="13" style="3232" customWidth="1"/>
    <col min="12296" max="12297" width="8.875" style="3232"/>
    <col min="12298" max="12298" width="5.75" style="3232" customWidth="1"/>
    <col min="12299" max="12299" width="11.75" style="3232" customWidth="1"/>
    <col min="12300" max="12301" width="10.75" style="3232" customWidth="1"/>
    <col min="12302" max="12302" width="10" style="3232" customWidth="1"/>
    <col min="12303" max="12304" width="10.5" style="3232" bestFit="1" customWidth="1"/>
    <col min="12305" max="12305" width="10" style="3232" customWidth="1"/>
    <col min="12306" max="12306" width="10.125" style="3232" customWidth="1"/>
    <col min="12307" max="12307" width="10" style="3232" customWidth="1"/>
    <col min="12308" max="12308" width="26.125" style="3232" customWidth="1"/>
    <col min="12309" max="12544" width="8.875" style="3232"/>
    <col min="12545" max="12545" width="9.5" style="3232" customWidth="1"/>
    <col min="12546" max="12546" width="8.875" style="3232"/>
    <col min="12547" max="12549" width="12.875" style="3232" customWidth="1"/>
    <col min="12550" max="12550" width="47.5" style="3232" customWidth="1"/>
    <col min="12551" max="12551" width="13" style="3232" customWidth="1"/>
    <col min="12552" max="12553" width="8.875" style="3232"/>
    <col min="12554" max="12554" width="5.75" style="3232" customWidth="1"/>
    <col min="12555" max="12555" width="11.75" style="3232" customWidth="1"/>
    <col min="12556" max="12557" width="10.75" style="3232" customWidth="1"/>
    <col min="12558" max="12558" width="10" style="3232" customWidth="1"/>
    <col min="12559" max="12560" width="10.5" style="3232" bestFit="1" customWidth="1"/>
    <col min="12561" max="12561" width="10" style="3232" customWidth="1"/>
    <col min="12562" max="12562" width="10.125" style="3232" customWidth="1"/>
    <col min="12563" max="12563" width="10" style="3232" customWidth="1"/>
    <col min="12564" max="12564" width="26.125" style="3232" customWidth="1"/>
    <col min="12565" max="12800" width="8.875" style="3232"/>
    <col min="12801" max="12801" width="9.5" style="3232" customWidth="1"/>
    <col min="12802" max="12802" width="8.875" style="3232"/>
    <col min="12803" max="12805" width="12.875" style="3232" customWidth="1"/>
    <col min="12806" max="12806" width="47.5" style="3232" customWidth="1"/>
    <col min="12807" max="12807" width="13" style="3232" customWidth="1"/>
    <col min="12808" max="12809" width="8.875" style="3232"/>
    <col min="12810" max="12810" width="5.75" style="3232" customWidth="1"/>
    <col min="12811" max="12811" width="11.75" style="3232" customWidth="1"/>
    <col min="12812" max="12813" width="10.75" style="3232" customWidth="1"/>
    <col min="12814" max="12814" width="10" style="3232" customWidth="1"/>
    <col min="12815" max="12816" width="10.5" style="3232" bestFit="1" customWidth="1"/>
    <col min="12817" max="12817" width="10" style="3232" customWidth="1"/>
    <col min="12818" max="12818" width="10.125" style="3232" customWidth="1"/>
    <col min="12819" max="12819" width="10" style="3232" customWidth="1"/>
    <col min="12820" max="12820" width="26.125" style="3232" customWidth="1"/>
    <col min="12821" max="13056" width="8.875" style="3232"/>
    <col min="13057" max="13057" width="9.5" style="3232" customWidth="1"/>
    <col min="13058" max="13058" width="8.875" style="3232"/>
    <col min="13059" max="13061" width="12.875" style="3232" customWidth="1"/>
    <col min="13062" max="13062" width="47.5" style="3232" customWidth="1"/>
    <col min="13063" max="13063" width="13" style="3232" customWidth="1"/>
    <col min="13064" max="13065" width="8.875" style="3232"/>
    <col min="13066" max="13066" width="5.75" style="3232" customWidth="1"/>
    <col min="13067" max="13067" width="11.75" style="3232" customWidth="1"/>
    <col min="13068" max="13069" width="10.75" style="3232" customWidth="1"/>
    <col min="13070" max="13070" width="10" style="3232" customWidth="1"/>
    <col min="13071" max="13072" width="10.5" style="3232" bestFit="1" customWidth="1"/>
    <col min="13073" max="13073" width="10" style="3232" customWidth="1"/>
    <col min="13074" max="13074" width="10.125" style="3232" customWidth="1"/>
    <col min="13075" max="13075" width="10" style="3232" customWidth="1"/>
    <col min="13076" max="13076" width="26.125" style="3232" customWidth="1"/>
    <col min="13077" max="13312" width="8.875" style="3232"/>
    <col min="13313" max="13313" width="9.5" style="3232" customWidth="1"/>
    <col min="13314" max="13314" width="8.875" style="3232"/>
    <col min="13315" max="13317" width="12.875" style="3232" customWidth="1"/>
    <col min="13318" max="13318" width="47.5" style="3232" customWidth="1"/>
    <col min="13319" max="13319" width="13" style="3232" customWidth="1"/>
    <col min="13320" max="13321" width="8.875" style="3232"/>
    <col min="13322" max="13322" width="5.75" style="3232" customWidth="1"/>
    <col min="13323" max="13323" width="11.75" style="3232" customWidth="1"/>
    <col min="13324" max="13325" width="10.75" style="3232" customWidth="1"/>
    <col min="13326" max="13326" width="10" style="3232" customWidth="1"/>
    <col min="13327" max="13328" width="10.5" style="3232" bestFit="1" customWidth="1"/>
    <col min="13329" max="13329" width="10" style="3232" customWidth="1"/>
    <col min="13330" max="13330" width="10.125" style="3232" customWidth="1"/>
    <col min="13331" max="13331" width="10" style="3232" customWidth="1"/>
    <col min="13332" max="13332" width="26.125" style="3232" customWidth="1"/>
    <col min="13333" max="13568" width="8.875" style="3232"/>
    <col min="13569" max="13569" width="9.5" style="3232" customWidth="1"/>
    <col min="13570" max="13570" width="8.875" style="3232"/>
    <col min="13571" max="13573" width="12.875" style="3232" customWidth="1"/>
    <col min="13574" max="13574" width="47.5" style="3232" customWidth="1"/>
    <col min="13575" max="13575" width="13" style="3232" customWidth="1"/>
    <col min="13576" max="13577" width="8.875" style="3232"/>
    <col min="13578" max="13578" width="5.75" style="3232" customWidth="1"/>
    <col min="13579" max="13579" width="11.75" style="3232" customWidth="1"/>
    <col min="13580" max="13581" width="10.75" style="3232" customWidth="1"/>
    <col min="13582" max="13582" width="10" style="3232" customWidth="1"/>
    <col min="13583" max="13584" width="10.5" style="3232" bestFit="1" customWidth="1"/>
    <col min="13585" max="13585" width="10" style="3232" customWidth="1"/>
    <col min="13586" max="13586" width="10.125" style="3232" customWidth="1"/>
    <col min="13587" max="13587" width="10" style="3232" customWidth="1"/>
    <col min="13588" max="13588" width="26.125" style="3232" customWidth="1"/>
    <col min="13589" max="13824" width="8.875" style="3232"/>
    <col min="13825" max="13825" width="9.5" style="3232" customWidth="1"/>
    <col min="13826" max="13826" width="8.875" style="3232"/>
    <col min="13827" max="13829" width="12.875" style="3232" customWidth="1"/>
    <col min="13830" max="13830" width="47.5" style="3232" customWidth="1"/>
    <col min="13831" max="13831" width="13" style="3232" customWidth="1"/>
    <col min="13832" max="13833" width="8.875" style="3232"/>
    <col min="13834" max="13834" width="5.75" style="3232" customWidth="1"/>
    <col min="13835" max="13835" width="11.75" style="3232" customWidth="1"/>
    <col min="13836" max="13837" width="10.75" style="3232" customWidth="1"/>
    <col min="13838" max="13838" width="10" style="3232" customWidth="1"/>
    <col min="13839" max="13840" width="10.5" style="3232" bestFit="1" customWidth="1"/>
    <col min="13841" max="13841" width="10" style="3232" customWidth="1"/>
    <col min="13842" max="13842" width="10.125" style="3232" customWidth="1"/>
    <col min="13843" max="13843" width="10" style="3232" customWidth="1"/>
    <col min="13844" max="13844" width="26.125" style="3232" customWidth="1"/>
    <col min="13845" max="14080" width="8.875" style="3232"/>
    <col min="14081" max="14081" width="9.5" style="3232" customWidth="1"/>
    <col min="14082" max="14082" width="8.875" style="3232"/>
    <col min="14083" max="14085" width="12.875" style="3232" customWidth="1"/>
    <col min="14086" max="14086" width="47.5" style="3232" customWidth="1"/>
    <col min="14087" max="14087" width="13" style="3232" customWidth="1"/>
    <col min="14088" max="14089" width="8.875" style="3232"/>
    <col min="14090" max="14090" width="5.75" style="3232" customWidth="1"/>
    <col min="14091" max="14091" width="11.75" style="3232" customWidth="1"/>
    <col min="14092" max="14093" width="10.75" style="3232" customWidth="1"/>
    <col min="14094" max="14094" width="10" style="3232" customWidth="1"/>
    <col min="14095" max="14096" width="10.5" style="3232" bestFit="1" customWidth="1"/>
    <col min="14097" max="14097" width="10" style="3232" customWidth="1"/>
    <col min="14098" max="14098" width="10.125" style="3232" customWidth="1"/>
    <col min="14099" max="14099" width="10" style="3232" customWidth="1"/>
    <col min="14100" max="14100" width="26.125" style="3232" customWidth="1"/>
    <col min="14101" max="14336" width="8.875" style="3232"/>
    <col min="14337" max="14337" width="9.5" style="3232" customWidth="1"/>
    <col min="14338" max="14338" width="8.875" style="3232"/>
    <col min="14339" max="14341" width="12.875" style="3232" customWidth="1"/>
    <col min="14342" max="14342" width="47.5" style="3232" customWidth="1"/>
    <col min="14343" max="14343" width="13" style="3232" customWidth="1"/>
    <col min="14344" max="14345" width="8.875" style="3232"/>
    <col min="14346" max="14346" width="5.75" style="3232" customWidth="1"/>
    <col min="14347" max="14347" width="11.75" style="3232" customWidth="1"/>
    <col min="14348" max="14349" width="10.75" style="3232" customWidth="1"/>
    <col min="14350" max="14350" width="10" style="3232" customWidth="1"/>
    <col min="14351" max="14352" width="10.5" style="3232" bestFit="1" customWidth="1"/>
    <col min="14353" max="14353" width="10" style="3232" customWidth="1"/>
    <col min="14354" max="14354" width="10.125" style="3232" customWidth="1"/>
    <col min="14355" max="14355" width="10" style="3232" customWidth="1"/>
    <col min="14356" max="14356" width="26.125" style="3232" customWidth="1"/>
    <col min="14357" max="14592" width="8.875" style="3232"/>
    <col min="14593" max="14593" width="9.5" style="3232" customWidth="1"/>
    <col min="14594" max="14594" width="8.875" style="3232"/>
    <col min="14595" max="14597" width="12.875" style="3232" customWidth="1"/>
    <col min="14598" max="14598" width="47.5" style="3232" customWidth="1"/>
    <col min="14599" max="14599" width="13" style="3232" customWidth="1"/>
    <col min="14600" max="14601" width="8.875" style="3232"/>
    <col min="14602" max="14602" width="5.75" style="3232" customWidth="1"/>
    <col min="14603" max="14603" width="11.75" style="3232" customWidth="1"/>
    <col min="14604" max="14605" width="10.75" style="3232" customWidth="1"/>
    <col min="14606" max="14606" width="10" style="3232" customWidth="1"/>
    <col min="14607" max="14608" width="10.5" style="3232" bestFit="1" customWidth="1"/>
    <col min="14609" max="14609" width="10" style="3232" customWidth="1"/>
    <col min="14610" max="14610" width="10.125" style="3232" customWidth="1"/>
    <col min="14611" max="14611" width="10" style="3232" customWidth="1"/>
    <col min="14612" max="14612" width="26.125" style="3232" customWidth="1"/>
    <col min="14613" max="14848" width="8.875" style="3232"/>
    <col min="14849" max="14849" width="9.5" style="3232" customWidth="1"/>
    <col min="14850" max="14850" width="8.875" style="3232"/>
    <col min="14851" max="14853" width="12.875" style="3232" customWidth="1"/>
    <col min="14854" max="14854" width="47.5" style="3232" customWidth="1"/>
    <col min="14855" max="14855" width="13" style="3232" customWidth="1"/>
    <col min="14856" max="14857" width="8.875" style="3232"/>
    <col min="14858" max="14858" width="5.75" style="3232" customWidth="1"/>
    <col min="14859" max="14859" width="11.75" style="3232" customWidth="1"/>
    <col min="14860" max="14861" width="10.75" style="3232" customWidth="1"/>
    <col min="14862" max="14862" width="10" style="3232" customWidth="1"/>
    <col min="14863" max="14864" width="10.5" style="3232" bestFit="1" customWidth="1"/>
    <col min="14865" max="14865" width="10" style="3232" customWidth="1"/>
    <col min="14866" max="14866" width="10.125" style="3232" customWidth="1"/>
    <col min="14867" max="14867" width="10" style="3232" customWidth="1"/>
    <col min="14868" max="14868" width="26.125" style="3232" customWidth="1"/>
    <col min="14869" max="15104" width="8.875" style="3232"/>
    <col min="15105" max="15105" width="9.5" style="3232" customWidth="1"/>
    <col min="15106" max="15106" width="8.875" style="3232"/>
    <col min="15107" max="15109" width="12.875" style="3232" customWidth="1"/>
    <col min="15110" max="15110" width="47.5" style="3232" customWidth="1"/>
    <col min="15111" max="15111" width="13" style="3232" customWidth="1"/>
    <col min="15112" max="15113" width="8.875" style="3232"/>
    <col min="15114" max="15114" width="5.75" style="3232" customWidth="1"/>
    <col min="15115" max="15115" width="11.75" style="3232" customWidth="1"/>
    <col min="15116" max="15117" width="10.75" style="3232" customWidth="1"/>
    <col min="15118" max="15118" width="10" style="3232" customWidth="1"/>
    <col min="15119" max="15120" width="10.5" style="3232" bestFit="1" customWidth="1"/>
    <col min="15121" max="15121" width="10" style="3232" customWidth="1"/>
    <col min="15122" max="15122" width="10.125" style="3232" customWidth="1"/>
    <col min="15123" max="15123" width="10" style="3232" customWidth="1"/>
    <col min="15124" max="15124" width="26.125" style="3232" customWidth="1"/>
    <col min="15125" max="15360" width="8.875" style="3232"/>
    <col min="15361" max="15361" width="9.5" style="3232" customWidth="1"/>
    <col min="15362" max="15362" width="8.875" style="3232"/>
    <col min="15363" max="15365" width="12.875" style="3232" customWidth="1"/>
    <col min="15366" max="15366" width="47.5" style="3232" customWidth="1"/>
    <col min="15367" max="15367" width="13" style="3232" customWidth="1"/>
    <col min="15368" max="15369" width="8.875" style="3232"/>
    <col min="15370" max="15370" width="5.75" style="3232" customWidth="1"/>
    <col min="15371" max="15371" width="11.75" style="3232" customWidth="1"/>
    <col min="15372" max="15373" width="10.75" style="3232" customWidth="1"/>
    <col min="15374" max="15374" width="10" style="3232" customWidth="1"/>
    <col min="15375" max="15376" width="10.5" style="3232" bestFit="1" customWidth="1"/>
    <col min="15377" max="15377" width="10" style="3232" customWidth="1"/>
    <col min="15378" max="15378" width="10.125" style="3232" customWidth="1"/>
    <col min="15379" max="15379" width="10" style="3232" customWidth="1"/>
    <col min="15380" max="15380" width="26.125" style="3232" customWidth="1"/>
    <col min="15381" max="15616" width="8.875" style="3232"/>
    <col min="15617" max="15617" width="9.5" style="3232" customWidth="1"/>
    <col min="15618" max="15618" width="8.875" style="3232"/>
    <col min="15619" max="15621" width="12.875" style="3232" customWidth="1"/>
    <col min="15622" max="15622" width="47.5" style="3232" customWidth="1"/>
    <col min="15623" max="15623" width="13" style="3232" customWidth="1"/>
    <col min="15624" max="15625" width="8.875" style="3232"/>
    <col min="15626" max="15626" width="5.75" style="3232" customWidth="1"/>
    <col min="15627" max="15627" width="11.75" style="3232" customWidth="1"/>
    <col min="15628" max="15629" width="10.75" style="3232" customWidth="1"/>
    <col min="15630" max="15630" width="10" style="3232" customWidth="1"/>
    <col min="15631" max="15632" width="10.5" style="3232" bestFit="1" customWidth="1"/>
    <col min="15633" max="15633" width="10" style="3232" customWidth="1"/>
    <col min="15634" max="15634" width="10.125" style="3232" customWidth="1"/>
    <col min="15635" max="15635" width="10" style="3232" customWidth="1"/>
    <col min="15636" max="15636" width="26.125" style="3232" customWidth="1"/>
    <col min="15637" max="15872" width="8.875" style="3232"/>
    <col min="15873" max="15873" width="9.5" style="3232" customWidth="1"/>
    <col min="15874" max="15874" width="8.875" style="3232"/>
    <col min="15875" max="15877" width="12.875" style="3232" customWidth="1"/>
    <col min="15878" max="15878" width="47.5" style="3232" customWidth="1"/>
    <col min="15879" max="15879" width="13" style="3232" customWidth="1"/>
    <col min="15880" max="15881" width="8.875" style="3232"/>
    <col min="15882" max="15882" width="5.75" style="3232" customWidth="1"/>
    <col min="15883" max="15883" width="11.75" style="3232" customWidth="1"/>
    <col min="15884" max="15885" width="10.75" style="3232" customWidth="1"/>
    <col min="15886" max="15886" width="10" style="3232" customWidth="1"/>
    <col min="15887" max="15888" width="10.5" style="3232" bestFit="1" customWidth="1"/>
    <col min="15889" max="15889" width="10" style="3232" customWidth="1"/>
    <col min="15890" max="15890" width="10.125" style="3232" customWidth="1"/>
    <col min="15891" max="15891" width="10" style="3232" customWidth="1"/>
    <col min="15892" max="15892" width="26.125" style="3232" customWidth="1"/>
    <col min="15893" max="16128" width="8.875" style="3232"/>
    <col min="16129" max="16129" width="9.5" style="3232" customWidth="1"/>
    <col min="16130" max="16130" width="8.875" style="3232"/>
    <col min="16131" max="16133" width="12.875" style="3232" customWidth="1"/>
    <col min="16134" max="16134" width="47.5" style="3232" customWidth="1"/>
    <col min="16135" max="16135" width="13" style="3232" customWidth="1"/>
    <col min="16136" max="16137" width="8.875" style="3232"/>
    <col min="16138" max="16138" width="5.75" style="3232" customWidth="1"/>
    <col min="16139" max="16139" width="11.75" style="3232" customWidth="1"/>
    <col min="16140" max="16141" width="10.75" style="3232" customWidth="1"/>
    <col min="16142" max="16142" width="10" style="3232" customWidth="1"/>
    <col min="16143" max="16144" width="10.5" style="3232" bestFit="1" customWidth="1"/>
    <col min="16145" max="16145" width="10" style="3232" customWidth="1"/>
    <col min="16146" max="16146" width="10.125" style="3232" customWidth="1"/>
    <col min="16147" max="16147" width="10" style="3232" customWidth="1"/>
    <col min="16148" max="16148" width="26.125" style="3232" customWidth="1"/>
    <col min="16149" max="16384" width="8.875" style="3232"/>
  </cols>
  <sheetData>
    <row r="1" spans="1:22" ht="21" customHeight="1">
      <c r="A1" s="3221" t="s">
        <v>2884</v>
      </c>
      <c r="B1" s="3222"/>
      <c r="C1" s="3235"/>
      <c r="D1" s="3235"/>
      <c r="E1" s="3223"/>
      <c r="F1" s="3224"/>
      <c r="G1" s="3225"/>
      <c r="J1" s="3228" t="s">
        <v>2741</v>
      </c>
      <c r="K1" s="3229"/>
      <c r="L1" s="3229"/>
      <c r="M1" s="3229"/>
      <c r="N1" s="3229"/>
      <c r="O1" s="3229"/>
      <c r="P1" s="3229"/>
      <c r="Q1" s="3229"/>
      <c r="R1" s="3230"/>
      <c r="S1" s="3231"/>
      <c r="T1" s="3231"/>
      <c r="U1" s="3231"/>
    </row>
    <row r="2" spans="1:22" s="3244" customFormat="1" ht="13.15" customHeight="1">
      <c r="A2" s="3233" t="s">
        <v>2742</v>
      </c>
      <c r="B2" s="3234" t="e">
        <f>C40</f>
        <v>#DIV/0!</v>
      </c>
      <c r="C2" s="3235" t="s">
        <v>2743</v>
      </c>
      <c r="D2" s="3235"/>
      <c r="E2" s="3236"/>
      <c r="F2" s="3237"/>
      <c r="G2" s="3238"/>
      <c r="H2" s="3239"/>
      <c r="I2" s="3240"/>
      <c r="J2" s="3781" t="s">
        <v>2744</v>
      </c>
      <c r="K2" s="3782"/>
      <c r="L2" s="3241" t="s">
        <v>2745</v>
      </c>
      <c r="M2" s="3241" t="s">
        <v>2746</v>
      </c>
      <c r="N2" s="3241" t="s">
        <v>2747</v>
      </c>
      <c r="O2" s="3241" t="s">
        <v>2748</v>
      </c>
      <c r="P2" s="3241" t="s">
        <v>2749</v>
      </c>
      <c r="Q2" s="3242" t="s">
        <v>2750</v>
      </c>
      <c r="R2" s="3243" t="s">
        <v>2751</v>
      </c>
      <c r="S2" s="3231"/>
      <c r="T2" s="3231"/>
      <c r="U2" s="3231"/>
      <c r="V2" s="3240"/>
    </row>
    <row r="3" spans="1:22" s="3244" customFormat="1" ht="13.15" customHeight="1">
      <c r="A3" s="3245" t="s">
        <v>2752</v>
      </c>
      <c r="B3" s="3246" t="e">
        <f>ROUND(B2*10000/B4,0)</f>
        <v>#DIV/0!</v>
      </c>
      <c r="C3" s="3235" t="s">
        <v>2753</v>
      </c>
      <c r="D3" s="3235"/>
      <c r="E3" s="3236"/>
      <c r="F3" s="3237"/>
      <c r="G3" s="3238"/>
      <c r="H3" s="3239"/>
      <c r="I3" s="3240"/>
      <c r="J3" s="3783" t="s">
        <v>2754</v>
      </c>
      <c r="K3" s="3784"/>
      <c r="L3" s="3247"/>
      <c r="M3" s="3247"/>
      <c r="N3" s="3247"/>
      <c r="O3" s="3247"/>
      <c r="P3" s="3247"/>
      <c r="Q3" s="3248"/>
      <c r="R3" s="3249">
        <f>SUM(L3:Q3)</f>
        <v>0</v>
      </c>
      <c r="S3" s="3231"/>
      <c r="T3" s="3231"/>
      <c r="U3" s="3231"/>
      <c r="V3" s="3240"/>
    </row>
    <row r="4" spans="1:22" s="3244" customFormat="1" ht="13.15" customHeight="1">
      <c r="A4" s="3250" t="s">
        <v>2755</v>
      </c>
      <c r="B4" s="3251"/>
      <c r="C4" s="3235"/>
      <c r="D4" s="3235"/>
      <c r="E4" s="3236"/>
      <c r="F4" s="3237"/>
      <c r="G4" s="3238"/>
      <c r="H4" s="3239"/>
      <c r="I4" s="3240"/>
      <c r="J4" s="3783" t="s">
        <v>2756</v>
      </c>
      <c r="K4" s="3784"/>
      <c r="L4" s="3252"/>
      <c r="M4" s="3252"/>
      <c r="N4" s="3252"/>
      <c r="O4" s="3252"/>
      <c r="P4" s="3252"/>
      <c r="Q4" s="3253"/>
      <c r="R4" s="3254">
        <f>SUM(L4:Q4)</f>
        <v>0</v>
      </c>
      <c r="S4" s="3231"/>
      <c r="T4" s="3231"/>
      <c r="U4" s="3231"/>
      <c r="V4" s="3240"/>
    </row>
    <row r="5" spans="1:22" s="3244" customFormat="1" ht="13.15" customHeight="1" thickBot="1">
      <c r="A5" s="3255" t="s">
        <v>2757</v>
      </c>
      <c r="B5" s="3256"/>
      <c r="C5" s="3235"/>
      <c r="D5" s="3257"/>
      <c r="E5" s="3237"/>
      <c r="F5" s="3237"/>
      <c r="G5" s="3238"/>
      <c r="H5" s="3239"/>
      <c r="I5" s="3240"/>
      <c r="J5" s="3258" t="s">
        <v>2758</v>
      </c>
      <c r="K5" s="3259"/>
      <c r="L5" s="3259"/>
      <c r="M5" s="3260"/>
      <c r="N5" s="3260"/>
      <c r="O5" s="3260"/>
      <c r="P5" s="3260"/>
      <c r="Q5" s="3260"/>
      <c r="R5" s="3243">
        <f>SUM(R14,R19,R24,R25,R27,R28)</f>
        <v>0</v>
      </c>
      <c r="S5" s="3231"/>
      <c r="T5" s="3231" t="s">
        <v>2759</v>
      </c>
      <c r="U5" s="3231" t="e">
        <f>ROUND(R5*10000/365/R3,1)</f>
        <v>#DIV/0!</v>
      </c>
      <c r="V5" s="3240"/>
    </row>
    <row r="6" spans="1:22" s="3244" customFormat="1" ht="13.15" customHeight="1" thickBot="1">
      <c r="A6" s="3785" t="s">
        <v>2760</v>
      </c>
      <c r="B6" s="3786"/>
      <c r="C6" s="3787"/>
      <c r="D6" s="3261"/>
      <c r="E6" s="3262"/>
      <c r="F6" s="3263"/>
      <c r="G6" s="3264"/>
      <c r="H6" s="3239"/>
      <c r="I6" s="3240"/>
      <c r="J6" s="3788">
        <v>1</v>
      </c>
      <c r="K6" s="3789" t="s">
        <v>2761</v>
      </c>
      <c r="L6" s="3265" t="s">
        <v>2762</v>
      </c>
      <c r="M6" s="3266" t="s">
        <v>2763</v>
      </c>
      <c r="N6" s="3266" t="s">
        <v>2764</v>
      </c>
      <c r="O6" s="3266" t="s">
        <v>2765</v>
      </c>
      <c r="P6" s="3266" t="s">
        <v>2766</v>
      </c>
      <c r="Q6" s="3266" t="s">
        <v>2767</v>
      </c>
      <c r="R6" s="3249" t="s">
        <v>2768</v>
      </c>
      <c r="S6" s="3231"/>
      <c r="T6" s="3231" t="s">
        <v>2769</v>
      </c>
      <c r="U6" s="3231"/>
      <c r="V6" s="3240"/>
    </row>
    <row r="7" spans="1:22" s="3244" customFormat="1" ht="13.15" customHeight="1">
      <c r="A7" s="3267" t="s">
        <v>2770</v>
      </c>
      <c r="B7" s="3268"/>
      <c r="C7" s="3269"/>
      <c r="D7" s="3270">
        <f>SUM(D9,D10,D11,D17,0)</f>
        <v>0</v>
      </c>
      <c r="E7" s="3271" t="e">
        <f>E9+E10+E11+E17</f>
        <v>#DIV/0!</v>
      </c>
      <c r="F7" s="3272"/>
      <c r="G7" s="3273"/>
      <c r="H7" s="3239"/>
      <c r="I7" s="3240"/>
      <c r="J7" s="3788"/>
      <c r="K7" s="3790"/>
      <c r="L7" s="3274" t="s">
        <v>2771</v>
      </c>
      <c r="M7" s="3275"/>
      <c r="N7" s="3251"/>
      <c r="O7" s="3276"/>
      <c r="P7" s="3276"/>
      <c r="Q7" s="3277">
        <v>365</v>
      </c>
      <c r="R7" s="3278">
        <f>ROUND(M7*N7*O7*P7*Q7/10000,0)</f>
        <v>0</v>
      </c>
      <c r="S7" s="3231"/>
      <c r="T7" s="3231" t="s">
        <v>2772</v>
      </c>
      <c r="U7" s="3231"/>
      <c r="V7" s="3240"/>
    </row>
    <row r="8" spans="1:22" s="3244" customFormat="1" ht="13.15" customHeight="1">
      <c r="A8" s="3279" t="s">
        <v>2773</v>
      </c>
      <c r="B8" s="3792" t="s">
        <v>2774</v>
      </c>
      <c r="C8" s="3793"/>
      <c r="D8" s="3280" t="s">
        <v>2775</v>
      </c>
      <c r="E8" s="3281" t="s">
        <v>2776</v>
      </c>
      <c r="F8" s="3282" t="s">
        <v>2777</v>
      </c>
      <c r="G8" s="3283"/>
      <c r="H8" s="3239"/>
      <c r="I8" s="3240"/>
      <c r="J8" s="3788"/>
      <c r="K8" s="3790"/>
      <c r="L8" s="3274" t="s">
        <v>2778</v>
      </c>
      <c r="M8" s="3275"/>
      <c r="N8" s="3251"/>
      <c r="O8" s="3276"/>
      <c r="P8" s="3276"/>
      <c r="Q8" s="3277">
        <v>365</v>
      </c>
      <c r="R8" s="3278">
        <f t="shared" ref="R8:R13" si="0">ROUND(M8*N8*O8*P8*Q8/10000,0)</f>
        <v>0</v>
      </c>
      <c r="S8" s="3231"/>
      <c r="T8" s="3231" t="s">
        <v>2779</v>
      </c>
      <c r="U8" s="3231"/>
      <c r="V8" s="3240"/>
    </row>
    <row r="9" spans="1:22" s="3244" customFormat="1" ht="13.15" customHeight="1">
      <c r="A9" s="3279">
        <v>1</v>
      </c>
      <c r="B9" s="3792" t="s">
        <v>2780</v>
      </c>
      <c r="C9" s="3793"/>
      <c r="D9" s="3280">
        <f>ROUND(D6*E9,0)</f>
        <v>0</v>
      </c>
      <c r="E9" s="3284"/>
      <c r="F9" s="3285" t="s">
        <v>2781</v>
      </c>
      <c r="G9" s="3264"/>
      <c r="H9" s="3239"/>
      <c r="I9" s="3240"/>
      <c r="J9" s="3788"/>
      <c r="K9" s="3790"/>
      <c r="L9" s="3274" t="s">
        <v>2782</v>
      </c>
      <c r="M9" s="3275"/>
      <c r="N9" s="3251"/>
      <c r="O9" s="3276"/>
      <c r="P9" s="3276"/>
      <c r="Q9" s="3277">
        <v>365</v>
      </c>
      <c r="R9" s="3278">
        <f t="shared" si="0"/>
        <v>0</v>
      </c>
      <c r="S9" s="3231"/>
      <c r="T9" s="3231"/>
      <c r="U9" s="3231"/>
      <c r="V9" s="3240"/>
    </row>
    <row r="10" spans="1:22" s="3244" customFormat="1" ht="13.15" customHeight="1">
      <c r="A10" s="3279">
        <v>2</v>
      </c>
      <c r="B10" s="3792" t="s">
        <v>2783</v>
      </c>
      <c r="C10" s="3793"/>
      <c r="D10" s="3280">
        <f>ROUND(D6*E10,0)</f>
        <v>0</v>
      </c>
      <c r="E10" s="3284"/>
      <c r="F10" s="3285" t="s">
        <v>2784</v>
      </c>
      <c r="G10" s="3264"/>
      <c r="H10" s="3239"/>
      <c r="I10" s="3240"/>
      <c r="J10" s="3788"/>
      <c r="K10" s="3790"/>
      <c r="L10" s="3274" t="s">
        <v>2785</v>
      </c>
      <c r="M10" s="3275"/>
      <c r="N10" s="3251"/>
      <c r="O10" s="3276"/>
      <c r="P10" s="3276"/>
      <c r="Q10" s="3277">
        <v>365</v>
      </c>
      <c r="R10" s="3278">
        <f t="shared" si="0"/>
        <v>0</v>
      </c>
      <c r="S10" s="3231"/>
      <c r="T10" s="3231"/>
      <c r="U10" s="3231"/>
      <c r="V10" s="3240"/>
    </row>
    <row r="11" spans="1:22" s="3244" customFormat="1" ht="13.15" customHeight="1">
      <c r="A11" s="3279">
        <v>3</v>
      </c>
      <c r="B11" s="3792" t="s">
        <v>2786</v>
      </c>
      <c r="C11" s="3793"/>
      <c r="D11" s="3280">
        <f>D12+D14+D15+D16</f>
        <v>0</v>
      </c>
      <c r="E11" s="3286" t="e">
        <f>D11/D6</f>
        <v>#DIV/0!</v>
      </c>
      <c r="F11" s="3282"/>
      <c r="G11" s="3283"/>
      <c r="H11" s="3239"/>
      <c r="I11" s="3240"/>
      <c r="J11" s="3788"/>
      <c r="K11" s="3790"/>
      <c r="L11" s="3274" t="s">
        <v>2787</v>
      </c>
      <c r="M11" s="3275"/>
      <c r="N11" s="3251"/>
      <c r="O11" s="3276"/>
      <c r="P11" s="3276"/>
      <c r="Q11" s="3277">
        <v>365</v>
      </c>
      <c r="R11" s="3278">
        <f t="shared" si="0"/>
        <v>0</v>
      </c>
      <c r="S11" s="3231"/>
      <c r="T11" s="3231"/>
      <c r="U11" s="3231"/>
      <c r="V11" s="3240"/>
    </row>
    <row r="12" spans="1:22" s="3244" customFormat="1" ht="13.15" customHeight="1">
      <c r="A12" s="3287" t="s">
        <v>2788</v>
      </c>
      <c r="B12" s="3794" t="s">
        <v>2789</v>
      </c>
      <c r="C12" s="3795"/>
      <c r="D12" s="3288">
        <f>ROUND(D13*1.2%*(1-30%),0)</f>
        <v>0</v>
      </c>
      <c r="E12" s="3289">
        <v>1.2E-2</v>
      </c>
      <c r="F12" s="3282" t="s">
        <v>2790</v>
      </c>
      <c r="G12" s="3283"/>
      <c r="H12" s="3239"/>
      <c r="I12" s="3240"/>
      <c r="J12" s="3788"/>
      <c r="K12" s="3790"/>
      <c r="L12" s="3274" t="s">
        <v>2791</v>
      </c>
      <c r="M12" s="3275"/>
      <c r="N12" s="3251"/>
      <c r="O12" s="3276"/>
      <c r="P12" s="3276"/>
      <c r="Q12" s="3277">
        <v>365</v>
      </c>
      <c r="R12" s="3278">
        <f t="shared" si="0"/>
        <v>0</v>
      </c>
      <c r="S12" s="3231"/>
      <c r="T12" s="3231"/>
      <c r="U12" s="3231"/>
      <c r="V12" s="3240"/>
    </row>
    <row r="13" spans="1:22" s="3244" customFormat="1" ht="13.15" customHeight="1">
      <c r="A13" s="3287"/>
      <c r="B13" s="3290"/>
      <c r="C13" s="3291" t="s">
        <v>2792</v>
      </c>
      <c r="D13" s="3292"/>
      <c r="E13" s="3293"/>
      <c r="F13" s="3282"/>
      <c r="G13" s="3283"/>
      <c r="H13" s="3239"/>
      <c r="I13" s="3240"/>
      <c r="J13" s="3788"/>
      <c r="K13" s="3790"/>
      <c r="L13" s="3274" t="s">
        <v>2793</v>
      </c>
      <c r="M13" s="3275"/>
      <c r="N13" s="3251"/>
      <c r="O13" s="3276"/>
      <c r="P13" s="3276"/>
      <c r="Q13" s="3277">
        <v>365</v>
      </c>
      <c r="R13" s="3278">
        <f t="shared" si="0"/>
        <v>0</v>
      </c>
      <c r="S13" s="3231"/>
      <c r="T13" s="3231"/>
      <c r="U13" s="3231"/>
      <c r="V13" s="3240"/>
    </row>
    <row r="14" spans="1:22" s="3244" customFormat="1" ht="13.15" customHeight="1">
      <c r="A14" s="3287" t="s">
        <v>2794</v>
      </c>
      <c r="B14" s="3794" t="s">
        <v>2795</v>
      </c>
      <c r="C14" s="3795"/>
      <c r="D14" s="3288">
        <f>ROUND(E14*B5/10000,0)</f>
        <v>0</v>
      </c>
      <c r="E14" s="3277"/>
      <c r="F14" s="3282" t="s">
        <v>2796</v>
      </c>
      <c r="G14" s="3283"/>
      <c r="H14" s="3239"/>
      <c r="I14" s="3240"/>
      <c r="J14" s="3788"/>
      <c r="K14" s="3791"/>
      <c r="L14" s="3294" t="s">
        <v>2797</v>
      </c>
      <c r="M14" s="3295">
        <f>SUM(M7:M13)</f>
        <v>0</v>
      </c>
      <c r="N14" s="3295" t="e">
        <f>ROUND((N7*M7+N8*M8+N9*M9+N10*M10+N11*M11+N12*M12+N13*M13)/M14,0)</f>
        <v>#DIV/0!</v>
      </c>
      <c r="O14" s="3296"/>
      <c r="P14" s="3296"/>
      <c r="Q14" s="3297"/>
      <c r="R14" s="3243">
        <f>SUM(R7:R13)</f>
        <v>0</v>
      </c>
      <c r="S14" s="3231"/>
      <c r="T14" s="3231"/>
      <c r="U14" s="3231"/>
      <c r="V14" s="3240"/>
    </row>
    <row r="15" spans="1:22" s="3244" customFormat="1" ht="13.15" customHeight="1">
      <c r="A15" s="3287" t="s">
        <v>2798</v>
      </c>
      <c r="B15" s="3794" t="s">
        <v>2799</v>
      </c>
      <c r="C15" s="3795"/>
      <c r="D15" s="3288">
        <f>ROUND(D6*E15,0)</f>
        <v>0</v>
      </c>
      <c r="E15" s="3289">
        <v>5.5E-2</v>
      </c>
      <c r="F15" s="3282" t="s">
        <v>2800</v>
      </c>
      <c r="G15" s="3264"/>
      <c r="H15" s="3239"/>
      <c r="I15" s="3240"/>
      <c r="J15" s="3788">
        <v>2</v>
      </c>
      <c r="K15" s="3789" t="s">
        <v>2801</v>
      </c>
      <c r="L15" s="3274" t="s">
        <v>2802</v>
      </c>
      <c r="M15" s="3275" t="s">
        <v>2803</v>
      </c>
      <c r="N15" s="3275" t="s">
        <v>2804</v>
      </c>
      <c r="O15" s="3276" t="s">
        <v>2805</v>
      </c>
      <c r="P15" s="3276" t="s">
        <v>2806</v>
      </c>
      <c r="Q15" s="3251" t="s">
        <v>2807</v>
      </c>
      <c r="R15" s="3298" t="s">
        <v>2808</v>
      </c>
      <c r="S15" s="3231"/>
      <c r="T15" s="3231"/>
      <c r="U15" s="3231"/>
      <c r="V15" s="3240"/>
    </row>
    <row r="16" spans="1:22" s="3244" customFormat="1" ht="13.15" customHeight="1">
      <c r="A16" s="3287" t="s">
        <v>2809</v>
      </c>
      <c r="B16" s="3794" t="s">
        <v>2810</v>
      </c>
      <c r="C16" s="3795"/>
      <c r="D16" s="3299">
        <f>D6*E16</f>
        <v>0</v>
      </c>
      <c r="E16" s="3300"/>
      <c r="F16" s="3285" t="s">
        <v>2811</v>
      </c>
      <c r="G16" s="3264"/>
      <c r="H16" s="3239"/>
      <c r="I16" s="3240"/>
      <c r="J16" s="3788"/>
      <c r="K16" s="3790"/>
      <c r="L16" s="3274" t="s">
        <v>2812</v>
      </c>
      <c r="M16" s="3275"/>
      <c r="N16" s="3275"/>
      <c r="O16" s="3276"/>
      <c r="P16" s="3277">
        <v>365</v>
      </c>
      <c r="Q16" s="3251"/>
      <c r="R16" s="3298">
        <f>ROUND(M16*N16*O16*P16/10000,0)</f>
        <v>0</v>
      </c>
      <c r="S16" s="3231"/>
      <c r="T16" s="3231"/>
      <c r="U16" s="3231"/>
      <c r="V16" s="3240"/>
    </row>
    <row r="17" spans="1:22" s="3244" customFormat="1" ht="13.15" customHeight="1" thickBot="1">
      <c r="A17" s="3301">
        <v>4</v>
      </c>
      <c r="B17" s="3796" t="s">
        <v>2813</v>
      </c>
      <c r="C17" s="3797"/>
      <c r="D17" s="3302">
        <f>ROUND(D6*E17,0)</f>
        <v>0</v>
      </c>
      <c r="E17" s="3303"/>
      <c r="F17" s="3304" t="s">
        <v>2814</v>
      </c>
      <c r="G17" s="3264"/>
      <c r="H17" s="3239"/>
      <c r="I17" s="3240"/>
      <c r="J17" s="3788"/>
      <c r="K17" s="3790"/>
      <c r="L17" s="3274" t="s">
        <v>2815</v>
      </c>
      <c r="M17" s="3275"/>
      <c r="N17" s="3275"/>
      <c r="O17" s="3276"/>
      <c r="P17" s="3277">
        <v>365</v>
      </c>
      <c r="Q17" s="3251"/>
      <c r="R17" s="3298">
        <f>ROUND(M17*N17*O17*P17/10000,0)</f>
        <v>0</v>
      </c>
      <c r="S17" s="3231"/>
      <c r="T17" s="3231"/>
      <c r="U17" s="3231"/>
      <c r="V17" s="3240"/>
    </row>
    <row r="18" spans="1:22" s="3244" customFormat="1" ht="13.15" customHeight="1" thickBot="1">
      <c r="A18" s="3267" t="s">
        <v>2816</v>
      </c>
      <c r="B18" s="3268"/>
      <c r="C18" s="3268"/>
      <c r="D18" s="3305">
        <f>ROUND(D6*E18,0)</f>
        <v>0</v>
      </c>
      <c r="E18" s="3306"/>
      <c r="F18" s="3307" t="s">
        <v>2817</v>
      </c>
      <c r="G18" s="3264"/>
      <c r="H18" s="3239"/>
      <c r="I18" s="3240"/>
      <c r="J18" s="3788"/>
      <c r="K18" s="3790"/>
      <c r="L18" s="3274" t="s">
        <v>2818</v>
      </c>
      <c r="M18" s="3275"/>
      <c r="N18" s="3275"/>
      <c r="O18" s="3276"/>
      <c r="P18" s="3277">
        <v>365</v>
      </c>
      <c r="Q18" s="3251"/>
      <c r="R18" s="3298">
        <f>ROUND(M18*N18*O18*P18/10000,0)</f>
        <v>0</v>
      </c>
      <c r="S18" s="3231"/>
      <c r="T18" s="3231"/>
      <c r="U18" s="3231"/>
      <c r="V18" s="3240"/>
    </row>
    <row r="19" spans="1:22" s="3244" customFormat="1" ht="13.15" customHeight="1" thickBot="1">
      <c r="A19" s="3308" t="s">
        <v>2819</v>
      </c>
      <c r="B19" s="3262"/>
      <c r="C19" s="3262"/>
      <c r="D19" s="3262"/>
      <c r="E19" s="3262"/>
      <c r="F19" s="3263"/>
      <c r="G19" s="3283"/>
      <c r="H19" s="3239"/>
      <c r="I19" s="3240"/>
      <c r="J19" s="3788"/>
      <c r="K19" s="3791"/>
      <c r="L19" s="3294" t="s">
        <v>2797</v>
      </c>
      <c r="M19" s="3295"/>
      <c r="N19" s="3295">
        <f>SUM(N16:N18)</f>
        <v>0</v>
      </c>
      <c r="O19" s="3296"/>
      <c r="P19" s="3309" t="s">
        <v>2885</v>
      </c>
      <c r="Q19" s="3276"/>
      <c r="R19" s="3310">
        <f>ROUND(IF(P19="按比例",R14*Q19,SUM(R16:R18)),0)</f>
        <v>0</v>
      </c>
      <c r="S19" s="3231"/>
      <c r="T19" s="3231"/>
      <c r="U19" s="3231"/>
      <c r="V19" s="3240"/>
    </row>
    <row r="20" spans="1:22" s="3244" customFormat="1" ht="13.15" customHeight="1">
      <c r="A20" s="3267"/>
      <c r="B20" s="3268"/>
      <c r="C20" s="3268"/>
      <c r="D20" s="3268"/>
      <c r="E20" s="3268"/>
      <c r="F20" s="3311"/>
      <c r="G20" s="3283"/>
      <c r="H20" s="3239"/>
      <c r="I20" s="3240"/>
      <c r="J20" s="3788">
        <v>3</v>
      </c>
      <c r="K20" s="3789" t="s">
        <v>2820</v>
      </c>
      <c r="L20" s="3274" t="s">
        <v>2821</v>
      </c>
      <c r="M20" s="3275" t="s">
        <v>2822</v>
      </c>
      <c r="N20" s="3312" t="s">
        <v>2823</v>
      </c>
      <c r="O20" s="3276" t="s">
        <v>2824</v>
      </c>
      <c r="P20" s="3277" t="s">
        <v>2825</v>
      </c>
      <c r="Q20" s="3251" t="s">
        <v>2826</v>
      </c>
      <c r="R20" s="3298" t="s">
        <v>2768</v>
      </c>
      <c r="S20" s="3313"/>
      <c r="T20" s="3313"/>
      <c r="U20" s="3313"/>
      <c r="V20" s="3240"/>
    </row>
    <row r="21" spans="1:22" s="3244" customFormat="1" ht="13.15" customHeight="1">
      <c r="A21" s="3267"/>
      <c r="B21" s="3268"/>
      <c r="C21" s="3314" t="s">
        <v>2827</v>
      </c>
      <c r="D21" s="3315" t="s">
        <v>2828</v>
      </c>
      <c r="E21" s="3316" t="s">
        <v>2829</v>
      </c>
      <c r="F21" s="3311"/>
      <c r="G21" s="3283"/>
      <c r="H21" s="3239"/>
      <c r="I21" s="3240"/>
      <c r="J21" s="3788"/>
      <c r="K21" s="3790"/>
      <c r="L21" s="3274" t="s">
        <v>2830</v>
      </c>
      <c r="M21" s="3275"/>
      <c r="N21" s="3275"/>
      <c r="O21" s="3276"/>
      <c r="P21" s="3277">
        <v>365</v>
      </c>
      <c r="Q21" s="3251"/>
      <c r="R21" s="3317">
        <f>ROUND(M21*N21*O21*P21/10000,0)</f>
        <v>0</v>
      </c>
      <c r="S21" s="3313"/>
      <c r="T21" s="3313"/>
      <c r="U21" s="3313"/>
      <c r="V21" s="3240"/>
    </row>
    <row r="22" spans="1:22" s="3244" customFormat="1" ht="13.15" customHeight="1">
      <c r="A22" s="3267"/>
      <c r="B22" s="3268"/>
      <c r="C22" s="3318" t="s">
        <v>2831</v>
      </c>
      <c r="D22" s="3319" t="s">
        <v>2832</v>
      </c>
      <c r="E22" s="3320" t="s">
        <v>2833</v>
      </c>
      <c r="F22" s="3311"/>
      <c r="G22" s="3321"/>
      <c r="H22" s="3239"/>
      <c r="I22" s="3240"/>
      <c r="J22" s="3788"/>
      <c r="K22" s="3790"/>
      <c r="L22" s="3274" t="s">
        <v>2834</v>
      </c>
      <c r="M22" s="3275"/>
      <c r="N22" s="3275"/>
      <c r="O22" s="3276"/>
      <c r="P22" s="3277">
        <v>365</v>
      </c>
      <c r="Q22" s="3251"/>
      <c r="R22" s="3317">
        <f>ROUND(M22*N22*O22*P22/10000,0)</f>
        <v>0</v>
      </c>
      <c r="S22" s="3313"/>
      <c r="T22" s="3313"/>
      <c r="U22" s="3313"/>
      <c r="V22" s="3240"/>
    </row>
    <row r="23" spans="1:22" s="3244" customFormat="1" ht="13.15" customHeight="1">
      <c r="A23" s="3322">
        <v>1</v>
      </c>
      <c r="B23" s="3323" t="s">
        <v>2835</v>
      </c>
      <c r="C23" s="3324">
        <f>D6</f>
        <v>0</v>
      </c>
      <c r="D23" s="3325">
        <f>C23*(1+D24)</f>
        <v>0</v>
      </c>
      <c r="E23" s="3326">
        <f>D23*(1+E24)</f>
        <v>0</v>
      </c>
      <c r="F23" s="3327"/>
      <c r="G23" s="3328"/>
      <c r="H23" s="3239"/>
      <c r="I23" s="3240"/>
      <c r="J23" s="3788"/>
      <c r="K23" s="3790"/>
      <c r="L23" s="3274" t="s">
        <v>2836</v>
      </c>
      <c r="M23" s="3275"/>
      <c r="N23" s="3275"/>
      <c r="O23" s="3276"/>
      <c r="P23" s="3277">
        <v>365</v>
      </c>
      <c r="Q23" s="3251"/>
      <c r="R23" s="3317">
        <f>ROUND(M23*N23*O23*P23/10000,0)</f>
        <v>0</v>
      </c>
      <c r="S23" s="3231"/>
      <c r="T23" s="3231"/>
      <c r="U23" s="3231"/>
      <c r="V23" s="3240"/>
    </row>
    <row r="24" spans="1:22" s="3244" customFormat="1" ht="13.15" customHeight="1">
      <c r="A24" s="3329"/>
      <c r="B24" s="3330" t="s">
        <v>2837</v>
      </c>
      <c r="C24" s="3331"/>
      <c r="D24" s="3332"/>
      <c r="E24" s="3333"/>
      <c r="F24" s="3334"/>
      <c r="G24" s="3328"/>
      <c r="H24" s="3239"/>
      <c r="I24" s="3240"/>
      <c r="J24" s="3788"/>
      <c r="K24" s="3791"/>
      <c r="L24" s="3294" t="s">
        <v>2797</v>
      </c>
      <c r="M24" s="3295">
        <f>SUM(M21:M23)</f>
        <v>0</v>
      </c>
      <c r="N24" s="3295"/>
      <c r="O24" s="3296"/>
      <c r="P24" s="3309" t="s">
        <v>2885</v>
      </c>
      <c r="Q24" s="3276"/>
      <c r="R24" s="3310">
        <f>ROUND(IF(P24="按比例",R14*Q24,SUM(R21:R23)),0)</f>
        <v>0</v>
      </c>
      <c r="S24" s="3231"/>
      <c r="T24" s="3231"/>
      <c r="U24" s="3231"/>
      <c r="V24" s="3240"/>
    </row>
    <row r="25" spans="1:22" s="3341" customFormat="1" ht="13.15" customHeight="1">
      <c r="A25" s="3329"/>
      <c r="B25" s="3330"/>
      <c r="C25" s="3331"/>
      <c r="D25" s="3332"/>
      <c r="E25" s="3333"/>
      <c r="F25" s="3334"/>
      <c r="G25" s="3321"/>
      <c r="H25" s="3239"/>
      <c r="I25" s="3240"/>
      <c r="J25" s="3335">
        <v>4</v>
      </c>
      <c r="K25" s="3336" t="s">
        <v>2838</v>
      </c>
      <c r="L25" s="3337"/>
      <c r="M25" s="3337"/>
      <c r="N25" s="3337"/>
      <c r="O25" s="3337"/>
      <c r="P25" s="3338"/>
      <c r="Q25" s="3339"/>
      <c r="R25" s="3310">
        <f>ROUND(R14*Q25,0)</f>
        <v>0</v>
      </c>
      <c r="S25" s="3231"/>
      <c r="T25" s="3231"/>
      <c r="U25" s="3231"/>
      <c r="V25" s="3340"/>
    </row>
    <row r="26" spans="1:22" s="3341" customFormat="1" ht="13.15" customHeight="1">
      <c r="A26" s="3322">
        <v>2</v>
      </c>
      <c r="B26" s="3323" t="s">
        <v>2839</v>
      </c>
      <c r="C26" s="3324">
        <f>D7</f>
        <v>0</v>
      </c>
      <c r="D26" s="3325">
        <f>D23*D27</f>
        <v>0</v>
      </c>
      <c r="E26" s="3326">
        <f>E23*E27</f>
        <v>0</v>
      </c>
      <c r="F26" s="3327"/>
      <c r="G26" s="3328"/>
      <c r="H26" s="3239"/>
      <c r="I26" s="3240"/>
      <c r="J26" s="3798">
        <v>5</v>
      </c>
      <c r="K26" s="3342" t="s">
        <v>2840</v>
      </c>
      <c r="L26" s="3343"/>
      <c r="M26" s="3344"/>
      <c r="N26" s="3345" t="s">
        <v>2841</v>
      </c>
      <c r="O26" s="3345" t="s">
        <v>2842</v>
      </c>
      <c r="P26" s="3346" t="s">
        <v>2843</v>
      </c>
      <c r="Q26" s="3346" t="s">
        <v>2844</v>
      </c>
      <c r="R26" s="3249" t="s">
        <v>2845</v>
      </c>
      <c r="S26" s="3347"/>
      <c r="T26" s="3347"/>
      <c r="U26" s="3347"/>
      <c r="V26" s="3340"/>
    </row>
    <row r="27" spans="1:22" s="3244" customFormat="1" ht="13.15" customHeight="1">
      <c r="A27" s="3329"/>
      <c r="B27" s="3330" t="s">
        <v>2846</v>
      </c>
      <c r="C27" s="3348" t="e">
        <f>E7</f>
        <v>#DIV/0!</v>
      </c>
      <c r="D27" s="3332"/>
      <c r="E27" s="3333"/>
      <c r="F27" s="3334"/>
      <c r="G27" s="3328"/>
      <c r="H27" s="3349"/>
      <c r="I27" s="3340"/>
      <c r="J27" s="3799"/>
      <c r="K27" s="3350"/>
      <c r="L27" s="3351"/>
      <c r="M27" s="3352"/>
      <c r="N27" s="3353"/>
      <c r="O27" s="3353"/>
      <c r="P27" s="3353"/>
      <c r="Q27" s="3354"/>
      <c r="R27" s="3310">
        <f>ROUND(O27*N27*P27*(1-Q27)/10000,0)</f>
        <v>0</v>
      </c>
      <c r="S27" s="3231"/>
      <c r="T27" s="3231"/>
      <c r="U27" s="3231"/>
      <c r="V27" s="3240"/>
    </row>
    <row r="28" spans="1:22" s="3341" customFormat="1" ht="13.15" customHeight="1" thickBot="1">
      <c r="A28" s="3329"/>
      <c r="B28" s="3330"/>
      <c r="C28" s="3348"/>
      <c r="D28" s="3332"/>
      <c r="E28" s="3333" t="s">
        <v>2847</v>
      </c>
      <c r="F28" s="3334"/>
      <c r="G28" s="3321"/>
      <c r="H28" s="3349"/>
      <c r="I28" s="3340"/>
      <c r="J28" s="3355">
        <v>6</v>
      </c>
      <c r="K28" s="3356" t="s">
        <v>2848</v>
      </c>
      <c r="L28" s="3357" t="s">
        <v>2849</v>
      </c>
      <c r="M28" s="3358"/>
      <c r="N28" s="3357" t="s">
        <v>2850</v>
      </c>
      <c r="O28" s="3359"/>
      <c r="P28" s="3357" t="s">
        <v>2851</v>
      </c>
      <c r="Q28" s="3360">
        <v>1.4999999999999999E-2</v>
      </c>
      <c r="R28" s="3361"/>
      <c r="S28" s="3313"/>
      <c r="T28" s="3313"/>
      <c r="U28" s="3313"/>
      <c r="V28" s="3340"/>
    </row>
    <row r="29" spans="1:22" s="3341" customFormat="1" ht="13.15" customHeight="1">
      <c r="A29" s="3322">
        <v>3</v>
      </c>
      <c r="B29" s="3323" t="s">
        <v>2852</v>
      </c>
      <c r="C29" s="3324">
        <f>C23*C30</f>
        <v>0</v>
      </c>
      <c r="D29" s="3325">
        <f>D23*C30</f>
        <v>0</v>
      </c>
      <c r="E29" s="3326">
        <f>E23*C30</f>
        <v>0</v>
      </c>
      <c r="F29" s="3327"/>
      <c r="G29" s="3328"/>
      <c r="H29" s="3239"/>
      <c r="I29" s="3240"/>
      <c r="J29" s="3313"/>
      <c r="K29" s="3313"/>
      <c r="L29" s="3313"/>
      <c r="M29" s="3313"/>
      <c r="N29" s="3313"/>
      <c r="O29" s="3313"/>
      <c r="P29" s="3313"/>
      <c r="Q29" s="3313"/>
      <c r="R29" s="3313"/>
      <c r="S29" s="3313"/>
      <c r="T29" s="3313"/>
      <c r="U29" s="3313"/>
      <c r="V29" s="3340"/>
    </row>
    <row r="30" spans="1:22" s="3244" customFormat="1" ht="13.15" customHeight="1" thickBot="1">
      <c r="A30" s="3329"/>
      <c r="B30" s="3330" t="s">
        <v>2853</v>
      </c>
      <c r="C30" s="3348">
        <f>E18</f>
        <v>0</v>
      </c>
      <c r="D30" s="3362"/>
      <c r="E30" s="3293"/>
      <c r="F30" s="3334"/>
      <c r="G30" s="3328"/>
      <c r="H30" s="3349"/>
      <c r="I30" s="3340"/>
      <c r="J30" s="3313"/>
      <c r="K30" s="3313"/>
      <c r="L30" s="3313"/>
      <c r="M30" s="3313"/>
      <c r="N30" s="3313"/>
      <c r="O30" s="3313"/>
      <c r="P30" s="3313"/>
      <c r="Q30" s="3313"/>
      <c r="R30" s="3313"/>
      <c r="S30" s="3313"/>
      <c r="T30" s="3313"/>
      <c r="U30" s="3231"/>
      <c r="V30" s="3240"/>
    </row>
    <row r="31" spans="1:22" s="3341" customFormat="1" ht="13.15" customHeight="1">
      <c r="A31" s="3329"/>
      <c r="B31" s="3330"/>
      <c r="C31" s="3363"/>
      <c r="D31" s="3362"/>
      <c r="E31" s="3293"/>
      <c r="F31" s="3334"/>
      <c r="G31" s="3321"/>
      <c r="H31" s="3349"/>
      <c r="I31" s="3340"/>
      <c r="J31" s="3228" t="s">
        <v>2854</v>
      </c>
      <c r="K31" s="3229"/>
      <c r="L31" s="3229"/>
      <c r="M31" s="3229"/>
      <c r="N31" s="3229"/>
      <c r="O31" s="3229"/>
      <c r="P31" s="3229"/>
      <c r="Q31" s="3229"/>
      <c r="R31" s="3230"/>
      <c r="S31" s="3313"/>
      <c r="T31" s="3231"/>
      <c r="U31" s="3231"/>
      <c r="V31" s="3340"/>
    </row>
    <row r="32" spans="1:22" s="3341" customFormat="1" ht="13.15" customHeight="1">
      <c r="A32" s="3322">
        <v>4</v>
      </c>
      <c r="B32" s="3323" t="s">
        <v>2855</v>
      </c>
      <c r="C32" s="3324">
        <f>C23-C26-C29</f>
        <v>0</v>
      </c>
      <c r="D32" s="3325">
        <f>D23-D26-D29</f>
        <v>0</v>
      </c>
      <c r="E32" s="3326">
        <f>E23-E26-E29</f>
        <v>0</v>
      </c>
      <c r="F32" s="3327"/>
      <c r="G32" s="3321"/>
      <c r="H32" s="3239"/>
      <c r="I32" s="3240"/>
      <c r="J32" s="3781" t="s">
        <v>2856</v>
      </c>
      <c r="K32" s="3782"/>
      <c r="L32" s="3241" t="s">
        <v>2857</v>
      </c>
      <c r="M32" s="3241" t="s">
        <v>2746</v>
      </c>
      <c r="N32" s="3241" t="s">
        <v>2747</v>
      </c>
      <c r="O32" s="3241" t="s">
        <v>2748</v>
      </c>
      <c r="P32" s="3241" t="s">
        <v>2749</v>
      </c>
      <c r="Q32" s="3242" t="s">
        <v>2858</v>
      </c>
      <c r="R32" s="3364" t="s">
        <v>2859</v>
      </c>
      <c r="S32" s="3313"/>
      <c r="T32" s="3231"/>
      <c r="U32" s="3231"/>
      <c r="V32" s="3340"/>
    </row>
    <row r="33" spans="1:23" s="3244" customFormat="1" ht="13.15" customHeight="1">
      <c r="A33" s="3322"/>
      <c r="B33" s="3323"/>
      <c r="C33" s="3324"/>
      <c r="D33" s="3365"/>
      <c r="E33" s="3366"/>
      <c r="F33" s="3327"/>
      <c r="G33" s="3321"/>
      <c r="H33" s="3349"/>
      <c r="I33" s="3340"/>
      <c r="J33" s="3783" t="s">
        <v>2860</v>
      </c>
      <c r="K33" s="3784"/>
      <c r="L33" s="3247"/>
      <c r="M33" s="3247"/>
      <c r="N33" s="3247"/>
      <c r="O33" s="3247"/>
      <c r="P33" s="3247"/>
      <c r="Q33" s="3248"/>
      <c r="R33" s="3367">
        <f>SUM(L33:Q33)</f>
        <v>0</v>
      </c>
      <c r="S33" s="3313"/>
      <c r="T33" s="3231"/>
      <c r="U33" s="3231"/>
      <c r="V33" s="3240"/>
    </row>
    <row r="34" spans="1:23" s="3244" customFormat="1" ht="13.15" customHeight="1">
      <c r="A34" s="3322">
        <v>5</v>
      </c>
      <c r="B34" s="3323" t="s">
        <v>2861</v>
      </c>
      <c r="C34" s="3368"/>
      <c r="D34" s="3369"/>
      <c r="E34" s="3370"/>
      <c r="F34" s="3327"/>
      <c r="G34" s="3321"/>
      <c r="H34" s="3349"/>
      <c r="I34" s="3340"/>
      <c r="J34" s="3783" t="s">
        <v>2862</v>
      </c>
      <c r="K34" s="3784"/>
      <c r="L34" s="3252"/>
      <c r="M34" s="3252"/>
      <c r="N34" s="3252"/>
      <c r="O34" s="3252"/>
      <c r="P34" s="3252"/>
      <c r="Q34" s="3253"/>
      <c r="R34" s="3371">
        <f>SUM(L34:Q34)</f>
        <v>0</v>
      </c>
      <c r="S34" s="3313"/>
      <c r="T34" s="3231"/>
      <c r="U34" s="3231" t="e">
        <f>ROUND(R35*10000/365/R33,1)</f>
        <v>#DIV/0!</v>
      </c>
      <c r="V34" s="3240"/>
    </row>
    <row r="35" spans="1:23" s="3244" customFormat="1" ht="13.15" customHeight="1">
      <c r="A35" s="3322">
        <v>6</v>
      </c>
      <c r="B35" s="3323" t="s">
        <v>2863</v>
      </c>
      <c r="C35" s="3372"/>
      <c r="D35" s="3373"/>
      <c r="E35" s="3374"/>
      <c r="F35" s="3327"/>
      <c r="G35" s="3375"/>
      <c r="H35" s="3239"/>
      <c r="I35" s="3340"/>
      <c r="J35" s="3258" t="s">
        <v>2864</v>
      </c>
      <c r="K35" s="3259"/>
      <c r="L35" s="3259"/>
      <c r="M35" s="3260"/>
      <c r="N35" s="3260"/>
      <c r="O35" s="3260"/>
      <c r="P35" s="3260"/>
      <c r="Q35" s="3260"/>
      <c r="R35" s="3376">
        <f>R40+R41+R43</f>
        <v>0</v>
      </c>
      <c r="S35" s="3313"/>
      <c r="T35" s="3231" t="s">
        <v>2865</v>
      </c>
      <c r="U35" s="3231"/>
      <c r="V35" s="3240"/>
    </row>
    <row r="36" spans="1:23" s="3244" customFormat="1" ht="13.15" customHeight="1" thickBot="1">
      <c r="A36" s="3322">
        <v>7</v>
      </c>
      <c r="B36" s="3377" t="s">
        <v>2866</v>
      </c>
      <c r="C36" s="3378"/>
      <c r="D36" s="3379"/>
      <c r="E36" s="3380"/>
      <c r="F36" s="3381">
        <f>C36+D36+E36</f>
        <v>0</v>
      </c>
      <c r="G36" s="3321"/>
      <c r="H36" s="3239"/>
      <c r="I36" s="3240"/>
      <c r="J36" s="3788">
        <v>1</v>
      </c>
      <c r="K36" s="3789" t="s">
        <v>2867</v>
      </c>
      <c r="L36" s="3265"/>
      <c r="M36" s="3266"/>
      <c r="N36" s="3266"/>
      <c r="O36" s="3266"/>
      <c r="P36" s="3266"/>
      <c r="Q36" s="3266"/>
      <c r="R36" s="3249" t="s">
        <v>2768</v>
      </c>
      <c r="S36" s="3313"/>
      <c r="T36" s="3231" t="s">
        <v>2769</v>
      </c>
      <c r="U36" s="3231"/>
      <c r="V36" s="3240"/>
    </row>
    <row r="37" spans="1:23" s="3244" customFormat="1" ht="13.15" customHeight="1">
      <c r="A37" s="3322"/>
      <c r="B37" s="3323"/>
      <c r="C37" s="3323"/>
      <c r="D37" s="3323"/>
      <c r="E37" s="3323"/>
      <c r="F37" s="3327"/>
      <c r="G37" s="3321"/>
      <c r="H37" s="3239"/>
      <c r="I37" s="3240"/>
      <c r="J37" s="3788"/>
      <c r="K37" s="3790"/>
      <c r="L37" s="3274"/>
      <c r="M37" s="3275"/>
      <c r="N37" s="3251"/>
      <c r="O37" s="3276"/>
      <c r="P37" s="3276"/>
      <c r="Q37" s="3277"/>
      <c r="R37" s="3278"/>
      <c r="S37" s="3313"/>
      <c r="T37" s="3231" t="s">
        <v>2772</v>
      </c>
      <c r="U37" s="3231"/>
      <c r="V37" s="3240"/>
    </row>
    <row r="38" spans="1:23" s="3244" customFormat="1" ht="13.15" customHeight="1">
      <c r="A38" s="3322">
        <v>8</v>
      </c>
      <c r="B38" s="3323"/>
      <c r="C38" s="3280" t="e">
        <f>ROUND(C32*(1-((1+C35)/(1+C34))^C36)/(C34-C35),0)</f>
        <v>#DIV/0!</v>
      </c>
      <c r="D38" s="3280">
        <f>IF(D23=0,0,ROUND(D32*(1-((1+D35)/(1+D34))^D36)/(D34-D35),0))</f>
        <v>0</v>
      </c>
      <c r="E38" s="3280">
        <f>IF(E23=0,0,ROUND(E32*(1-((1+E35)/(1+E34))^E36)/(E34-E35),0))</f>
        <v>0</v>
      </c>
      <c r="F38" s="3327"/>
      <c r="G38" s="3321"/>
      <c r="H38" s="3239"/>
      <c r="I38" s="3240"/>
      <c r="J38" s="3788"/>
      <c r="K38" s="3790"/>
      <c r="L38" s="3274"/>
      <c r="M38" s="3275"/>
      <c r="N38" s="3251"/>
      <c r="O38" s="3276"/>
      <c r="P38" s="3276"/>
      <c r="Q38" s="3277"/>
      <c r="R38" s="3278"/>
      <c r="S38" s="3313"/>
      <c r="T38" s="3231" t="s">
        <v>2779</v>
      </c>
      <c r="U38" s="3231"/>
      <c r="V38" s="3240"/>
    </row>
    <row r="39" spans="1:23" s="3244" customFormat="1" ht="13.15" customHeight="1">
      <c r="A39" s="3322">
        <v>9</v>
      </c>
      <c r="B39" s="3323" t="s">
        <v>2868</v>
      </c>
      <c r="C39" s="3288" t="e">
        <f>C38</f>
        <v>#DIV/0!</v>
      </c>
      <c r="D39" s="3323">
        <f>D38/(1+D34)^C36</f>
        <v>0</v>
      </c>
      <c r="E39" s="3323">
        <f>E38/(1+E34)^(C36+D36)</f>
        <v>0</v>
      </c>
      <c r="F39" s="3327"/>
      <c r="G39" s="3382"/>
      <c r="H39" s="3239"/>
      <c r="I39" s="3240"/>
      <c r="J39" s="3788"/>
      <c r="K39" s="3790"/>
      <c r="L39" s="3274"/>
      <c r="M39" s="3275"/>
      <c r="N39" s="3251"/>
      <c r="O39" s="3276"/>
      <c r="P39" s="3276"/>
      <c r="Q39" s="3277"/>
      <c r="R39" s="3278"/>
      <c r="S39" s="3313"/>
      <c r="T39" s="3231"/>
      <c r="U39" s="3231"/>
      <c r="V39" s="3240"/>
    </row>
    <row r="40" spans="1:23" s="3244" customFormat="1" ht="13.15" customHeight="1">
      <c r="A40" s="3383">
        <v>10</v>
      </c>
      <c r="B40" s="3323" t="s">
        <v>2869</v>
      </c>
      <c r="C40" s="3384" t="e">
        <f>C39+D39+E39</f>
        <v>#DIV/0!</v>
      </c>
      <c r="D40" s="3385"/>
      <c r="E40" s="3385"/>
      <c r="F40" s="3386"/>
      <c r="G40" s="3321"/>
      <c r="H40" s="3239"/>
      <c r="I40" s="3240"/>
      <c r="J40" s="3788"/>
      <c r="K40" s="3791"/>
      <c r="L40" s="3294" t="s">
        <v>2870</v>
      </c>
      <c r="M40" s="3295"/>
      <c r="N40" s="3295"/>
      <c r="O40" s="3296"/>
      <c r="P40" s="3296"/>
      <c r="Q40" s="3297"/>
      <c r="R40" s="3243">
        <f>SUM(R37:R39)</f>
        <v>0</v>
      </c>
      <c r="S40" s="3313"/>
      <c r="T40" s="3231"/>
      <c r="U40" s="3231"/>
      <c r="V40" s="3240"/>
    </row>
    <row r="41" spans="1:23" s="3244" customFormat="1" ht="13.15" customHeight="1" thickBot="1">
      <c r="A41" s="3387">
        <v>11</v>
      </c>
      <c r="B41" s="3388" t="s">
        <v>2871</v>
      </c>
      <c r="C41" s="3388" t="e">
        <f>ROUND(C40*10000/B4,0)</f>
        <v>#DIV/0!</v>
      </c>
      <c r="D41" s="3389"/>
      <c r="E41" s="3389"/>
      <c r="F41" s="3390"/>
      <c r="G41" s="3391"/>
      <c r="H41" s="3239"/>
      <c r="I41" s="3240"/>
      <c r="J41" s="3335">
        <v>2</v>
      </c>
      <c r="K41" s="3336" t="s">
        <v>2872</v>
      </c>
      <c r="L41" s="3337"/>
      <c r="M41" s="3337"/>
      <c r="N41" s="3337"/>
      <c r="O41" s="3337"/>
      <c r="P41" s="3338"/>
      <c r="Q41" s="3339"/>
      <c r="R41" s="3310">
        <f>ROUND(R40*Q41,0)</f>
        <v>0</v>
      </c>
      <c r="S41" s="3313"/>
      <c r="T41" s="3231"/>
      <c r="U41" s="3347"/>
      <c r="V41" s="3240"/>
    </row>
    <row r="42" spans="1:23" s="3244" customFormat="1" ht="13.15" customHeight="1">
      <c r="G42" s="3391"/>
      <c r="H42" s="3239"/>
      <c r="I42" s="3240"/>
      <c r="J42" s="3798">
        <v>3</v>
      </c>
      <c r="K42" s="3342" t="s">
        <v>2873</v>
      </c>
      <c r="L42" s="3343"/>
      <c r="M42" s="3344"/>
      <c r="N42" s="3345" t="s">
        <v>2874</v>
      </c>
      <c r="O42" s="3345" t="s">
        <v>2875</v>
      </c>
      <c r="P42" s="3346" t="s">
        <v>2876</v>
      </c>
      <c r="Q42" s="3346" t="s">
        <v>2877</v>
      </c>
      <c r="R42" s="3249" t="s">
        <v>2878</v>
      </c>
      <c r="S42" s="3347"/>
      <c r="T42" s="3347"/>
      <c r="U42" s="3231"/>
      <c r="V42" s="3240"/>
    </row>
    <row r="43" spans="1:23" ht="13.15" customHeight="1">
      <c r="A43" s="3244"/>
      <c r="B43" s="3244"/>
      <c r="C43" s="3244"/>
      <c r="D43" s="3244"/>
      <c r="E43" s="3244"/>
      <c r="F43" s="3244"/>
      <c r="I43" s="3226"/>
      <c r="J43" s="3799"/>
      <c r="K43" s="3350"/>
      <c r="L43" s="3351"/>
      <c r="M43" s="3352"/>
      <c r="N43" s="3275"/>
      <c r="O43" s="3275"/>
      <c r="P43" s="3275"/>
      <c r="Q43" s="3339"/>
      <c r="R43" s="3310">
        <f>ROUND(O43*N43*P43*(1-Q43)/10000,0)</f>
        <v>0</v>
      </c>
      <c r="S43" s="3313"/>
      <c r="T43" s="3231"/>
      <c r="V43" s="3393"/>
      <c r="W43" s="3394"/>
    </row>
    <row r="44" spans="1:23" ht="13.15" customHeight="1" thickBot="1">
      <c r="J44" s="3355">
        <v>6</v>
      </c>
      <c r="K44" s="3356" t="s">
        <v>2879</v>
      </c>
      <c r="L44" s="3395" t="s">
        <v>2880</v>
      </c>
      <c r="M44" s="3358"/>
      <c r="N44" s="3395" t="s">
        <v>2881</v>
      </c>
      <c r="O44" s="3358"/>
      <c r="P44" s="3395" t="s">
        <v>2882</v>
      </c>
      <c r="Q44" s="3360">
        <v>1.4999999999999999E-2</v>
      </c>
      <c r="R44" s="3361"/>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8" customWidth="1"/>
    <col min="2" max="2" width="26.625" style="2019" customWidth="1"/>
    <col min="3" max="3" width="11.125" style="2019" customWidth="1"/>
    <col min="4" max="5" width="11.125" style="2020" customWidth="1"/>
    <col min="6" max="6" width="9.5" style="2019" customWidth="1"/>
    <col min="7" max="7" width="31.875" style="2019" customWidth="1"/>
    <col min="8" max="25" width="9" style="2021" customWidth="1"/>
    <col min="26" max="254" width="9" style="2019" customWidth="1"/>
    <col min="255" max="16384" width="8.375" style="2019"/>
  </cols>
  <sheetData>
    <row r="1" spans="1:25" s="1894" customFormat="1" ht="20.25">
      <c r="A1" s="415" t="s">
        <v>585</v>
      </c>
      <c r="B1" s="717"/>
      <c r="C1" s="2015"/>
      <c r="D1" s="2015"/>
      <c r="E1" s="2015"/>
      <c r="F1" s="2015"/>
      <c r="G1" s="1942"/>
    </row>
    <row r="2" spans="1:25" s="1894" customFormat="1" ht="18" customHeight="1">
      <c r="A2" s="417" t="s">
        <v>461</v>
      </c>
      <c r="B2" s="419">
        <f ca="1">C23</f>
        <v>0</v>
      </c>
      <c r="C2" s="3173"/>
      <c r="D2" s="3173"/>
      <c r="E2" s="3173"/>
      <c r="F2" s="3173"/>
      <c r="G2" s="3173"/>
    </row>
    <row r="3" spans="1:25" s="1894" customFormat="1" ht="18" customHeight="1">
      <c r="A3" s="1284" t="s">
        <v>1484</v>
      </c>
      <c r="B3" s="419">
        <f ca="1">ROUND(B2*10000/'数据-汇总表'!E3,0)</f>
        <v>0</v>
      </c>
      <c r="C3" s="3173"/>
      <c r="D3" s="3173"/>
      <c r="E3" s="3173"/>
      <c r="F3" s="3173"/>
      <c r="G3" s="3173"/>
    </row>
    <row r="4" spans="1:25" s="1894" customFormat="1" ht="18" customHeight="1">
      <c r="A4" s="420" t="s">
        <v>462</v>
      </c>
      <c r="B4" s="421">
        <f ca="1">ROUND(B2*10000/'数据-汇总表'!D3,0)</f>
        <v>0</v>
      </c>
      <c r="C4" s="3126"/>
      <c r="D4" s="3173"/>
      <c r="E4" s="3173"/>
      <c r="F4" s="3173"/>
      <c r="G4" s="3173"/>
    </row>
    <row r="5" spans="1:25" s="1894" customFormat="1" ht="18" customHeight="1" thickBot="1">
      <c r="A5" s="423"/>
      <c r="B5" s="424">
        <f ca="1">ROUND(B2/('数据-汇总表'!D3/666.67),0)</f>
        <v>0</v>
      </c>
      <c r="C5" s="425" t="s">
        <v>463</v>
      </c>
      <c r="D5" s="3173"/>
      <c r="E5" s="3173"/>
      <c r="F5" s="3173"/>
      <c r="G5" s="3173"/>
    </row>
    <row r="6" spans="1:25" s="2016" customFormat="1" ht="13.5" customHeight="1">
      <c r="A6" s="718"/>
      <c r="B6" s="719" t="s">
        <v>586</v>
      </c>
      <c r="C6" s="720" t="s">
        <v>587</v>
      </c>
      <c r="D6" s="720" t="s">
        <v>588</v>
      </c>
      <c r="E6" s="721" t="s">
        <v>589</v>
      </c>
      <c r="F6" s="721" t="s">
        <v>590</v>
      </c>
      <c r="G6" s="3172" t="s">
        <v>2726</v>
      </c>
    </row>
    <row r="7" spans="1:25" s="2016" customFormat="1" ht="13.5" customHeight="1">
      <c r="A7" s="2275">
        <v>1</v>
      </c>
      <c r="B7" s="722" t="s">
        <v>591</v>
      </c>
      <c r="C7" s="723">
        <f>C8+C9</f>
        <v>0</v>
      </c>
      <c r="D7" s="723"/>
      <c r="E7" s="724"/>
      <c r="F7" s="724"/>
      <c r="G7" s="2284"/>
    </row>
    <row r="8" spans="1:25" s="2016" customFormat="1" ht="13.5" customHeight="1">
      <c r="A8" s="2275" t="s">
        <v>2220</v>
      </c>
      <c r="B8" s="2278" t="s">
        <v>2222</v>
      </c>
      <c r="C8" s="3176">
        <f t="shared" ref="C8:C9" si="0">ROUND(D8*E8/10000,0)</f>
        <v>0</v>
      </c>
      <c r="D8" s="3176">
        <v>0</v>
      </c>
      <c r="E8" s="3177">
        <v>0</v>
      </c>
      <c r="F8" s="724"/>
      <c r="G8" s="725"/>
    </row>
    <row r="9" spans="1:25" s="2016" customFormat="1" ht="13.5" customHeight="1">
      <c r="A9" s="2275" t="s">
        <v>2221</v>
      </c>
      <c r="B9" s="2278" t="s">
        <v>2223</v>
      </c>
      <c r="C9" s="3176">
        <f t="shared" si="0"/>
        <v>0</v>
      </c>
      <c r="D9" s="3176">
        <v>0</v>
      </c>
      <c r="E9" s="3177">
        <v>0</v>
      </c>
      <c r="F9" s="724"/>
      <c r="G9" s="725"/>
    </row>
    <row r="10" spans="1:25" s="2016" customFormat="1" ht="36">
      <c r="A10" s="2275">
        <v>2</v>
      </c>
      <c r="B10" s="722" t="s">
        <v>595</v>
      </c>
      <c r="C10" s="723">
        <f>C11+C14+C15</f>
        <v>0</v>
      </c>
      <c r="D10" s="733"/>
      <c r="E10" s="723"/>
      <c r="F10" s="734"/>
      <c r="G10" s="732" t="s">
        <v>596</v>
      </c>
    </row>
    <row r="11" spans="1:25" s="2016" customFormat="1" ht="13.5" customHeight="1">
      <c r="A11" s="2275" t="s">
        <v>2220</v>
      </c>
      <c r="B11" s="726" t="s">
        <v>592</v>
      </c>
      <c r="C11" s="727">
        <f>'数据-取费表'!B29</f>
        <v>0</v>
      </c>
      <c r="D11" s="728"/>
      <c r="E11" s="727"/>
      <c r="F11" s="729"/>
      <c r="G11" s="2283" t="s">
        <v>2231</v>
      </c>
    </row>
    <row r="12" spans="1:25" s="2016" customFormat="1" ht="13.5" customHeight="1">
      <c r="A12" s="2281" t="s">
        <v>2228</v>
      </c>
      <c r="B12" s="730" t="s">
        <v>593</v>
      </c>
      <c r="C12" s="731">
        <f>ROUND(D12*E12/10000,0)</f>
        <v>1701</v>
      </c>
      <c r="D12" s="3176">
        <f>'数据-汇总表'!E5</f>
        <v>100035.04</v>
      </c>
      <c r="E12" s="3176">
        <f>'数据-取费表'!B27</f>
        <v>170</v>
      </c>
      <c r="F12" s="729"/>
      <c r="G12" s="732"/>
    </row>
    <row r="13" spans="1:25" s="2016" customFormat="1" ht="13.5" customHeight="1">
      <c r="A13" s="2281" t="s">
        <v>2227</v>
      </c>
      <c r="B13" s="730" t="s">
        <v>594</v>
      </c>
      <c r="C13" s="731">
        <f>ROUND(D13*E13/10000,0)</f>
        <v>1440</v>
      </c>
      <c r="D13" s="3176">
        <f>'数据-汇总表'!E6</f>
        <v>84680.42</v>
      </c>
      <c r="E13" s="3176">
        <f>'数据-取费表'!B28</f>
        <v>170</v>
      </c>
      <c r="F13" s="729"/>
      <c r="G13" s="732"/>
    </row>
    <row r="14" spans="1:25" s="2016" customFormat="1" ht="13.5" customHeight="1">
      <c r="A14" s="2275" t="s">
        <v>2221</v>
      </c>
      <c r="B14" s="2280" t="s">
        <v>2224</v>
      </c>
      <c r="C14" s="3178">
        <f t="shared" ref="C14:C15" si="1">ROUND(D14*E14/10000,0)</f>
        <v>0</v>
      </c>
      <c r="D14" s="3176">
        <v>0</v>
      </c>
      <c r="E14" s="3177">
        <v>0</v>
      </c>
      <c r="F14" s="2279"/>
      <c r="G14" s="2282" t="s">
        <v>2229</v>
      </c>
    </row>
    <row r="15" spans="1:25" s="2016" customFormat="1" ht="13.5" customHeight="1">
      <c r="A15" s="2275" t="s">
        <v>2226</v>
      </c>
      <c r="B15" s="2280" t="s">
        <v>2225</v>
      </c>
      <c r="C15" s="3178">
        <f t="shared" si="1"/>
        <v>0</v>
      </c>
      <c r="D15" s="3176">
        <v>0</v>
      </c>
      <c r="E15" s="3177">
        <v>0</v>
      </c>
      <c r="F15" s="2279"/>
      <c r="G15" s="2282" t="s">
        <v>2230</v>
      </c>
    </row>
    <row r="16" spans="1:25" s="2017" customFormat="1" ht="48">
      <c r="A16" s="2275">
        <v>3</v>
      </c>
      <c r="B16" s="722" t="s">
        <v>597</v>
      </c>
      <c r="C16" s="3178">
        <f t="shared" ref="C16" si="2">ROUND(D16*E16/10000,0)</f>
        <v>0</v>
      </c>
      <c r="D16" s="3176">
        <v>0</v>
      </c>
      <c r="E16" s="3177">
        <v>0</v>
      </c>
      <c r="F16" s="734"/>
      <c r="G16" s="732" t="s">
        <v>2232</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5.5">
      <c r="A17" s="2276">
        <v>4</v>
      </c>
      <c r="B17" s="722" t="s">
        <v>598</v>
      </c>
      <c r="C17" s="2345">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2" t="s">
        <v>599</v>
      </c>
      <c r="C18" s="723">
        <f>ROUND((C7+C10+C16)*F18,0)</f>
        <v>0</v>
      </c>
      <c r="D18" s="735"/>
      <c r="E18" s="736"/>
      <c r="F18" s="1256">
        <v>0.05</v>
      </c>
      <c r="G18" s="738" t="s">
        <v>600</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2" t="s">
        <v>601</v>
      </c>
      <c r="C19" s="723">
        <f ca="1">C7+C10+C16+C17+C18</f>
        <v>0</v>
      </c>
      <c r="D19" s="733"/>
      <c r="E19" s="723"/>
      <c r="F19" s="734"/>
      <c r="G19" s="738" t="s">
        <v>602</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4.75">
      <c r="A20" s="2275">
        <v>7</v>
      </c>
      <c r="B20" s="722" t="s">
        <v>603</v>
      </c>
      <c r="C20" s="723">
        <f ca="1">ROUND(C19*F20,0)</f>
        <v>0</v>
      </c>
      <c r="D20" s="733"/>
      <c r="E20" s="723"/>
      <c r="F20" s="1256">
        <v>0.1</v>
      </c>
      <c r="G20" s="738" t="s">
        <v>604</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2" t="s">
        <v>605</v>
      </c>
      <c r="C21" s="723">
        <f ca="1">C19+C20</f>
        <v>0</v>
      </c>
      <c r="D21" s="733"/>
      <c r="E21" s="723"/>
      <c r="F21" s="734"/>
      <c r="G21" s="738" t="s">
        <v>606</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2" t="s">
        <v>607</v>
      </c>
      <c r="C22" s="723">
        <f ca="1">ROUND(C21*F22,0)</f>
        <v>0</v>
      </c>
      <c r="D22" s="733"/>
      <c r="E22" s="723"/>
      <c r="F22" s="739">
        <f>'数据-取费表'!AP16</f>
        <v>0.91900000000000004</v>
      </c>
      <c r="G22" s="738" t="s">
        <v>608</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15" customHeight="1" thickBot="1">
      <c r="A23" s="2277">
        <v>10</v>
      </c>
      <c r="B23" s="740" t="s">
        <v>609</v>
      </c>
      <c r="C23" s="741">
        <f ca="1">C22</f>
        <v>0</v>
      </c>
      <c r="D23" s="742"/>
      <c r="E23" s="741"/>
      <c r="F23" s="743"/>
      <c r="G23" s="744"/>
      <c r="H23" s="2016"/>
      <c r="I23" s="2016"/>
      <c r="J23" s="2016"/>
      <c r="K23" s="2016"/>
      <c r="L23" s="2016"/>
      <c r="M23" s="2016"/>
      <c r="N23" s="2016"/>
      <c r="O23" s="2016"/>
      <c r="P23" s="2016"/>
      <c r="Q23" s="2016"/>
      <c r="R23" s="2016"/>
      <c r="S23" s="2016"/>
      <c r="T23" s="2016"/>
      <c r="U23" s="2016"/>
      <c r="V23" s="2016"/>
      <c r="W23" s="2016"/>
      <c r="X23" s="2016"/>
      <c r="Y23" s="2016"/>
    </row>
    <row r="24" spans="1:25" s="3175" customFormat="1">
      <c r="A24" s="3174"/>
      <c r="D24" s="1836"/>
      <c r="E24" s="1836"/>
    </row>
    <row r="25" spans="1:25" s="3175" customFormat="1">
      <c r="A25" s="3174"/>
      <c r="D25" s="1836"/>
      <c r="E25" s="1836"/>
    </row>
    <row r="26" spans="1:25" s="3175" customFormat="1">
      <c r="A26" s="3174"/>
      <c r="D26" s="1836"/>
      <c r="E26" s="1836"/>
    </row>
    <row r="27" spans="1:25" s="3175" customFormat="1">
      <c r="A27" s="3174"/>
      <c r="D27" s="1836"/>
      <c r="E27" s="1836"/>
    </row>
    <row r="28" spans="1:25" s="3175" customFormat="1">
      <c r="A28" s="3174"/>
      <c r="D28" s="1836"/>
      <c r="E28" s="1836"/>
    </row>
    <row r="29" spans="1:25" s="3175" customFormat="1">
      <c r="A29" s="3174"/>
      <c r="D29" s="1836"/>
      <c r="E29" s="1836"/>
    </row>
    <row r="30" spans="1:25" s="3175" customFormat="1">
      <c r="A30" s="3174"/>
      <c r="D30" s="1836"/>
      <c r="E30" s="1836"/>
    </row>
    <row r="31" spans="1:25" s="3175" customFormat="1">
      <c r="A31" s="3174"/>
      <c r="D31" s="1836"/>
      <c r="E31" s="1836"/>
    </row>
    <row r="32" spans="1:25" s="3175" customFormat="1">
      <c r="A32" s="3174"/>
      <c r="D32" s="1836"/>
      <c r="E32" s="1836"/>
    </row>
    <row r="33" spans="1:5" s="3175" customFormat="1">
      <c r="A33" s="3174"/>
      <c r="D33" s="1836"/>
      <c r="E33" s="1836"/>
    </row>
    <row r="34" spans="1:5" s="3175" customFormat="1">
      <c r="A34" s="3174"/>
      <c r="D34" s="1836"/>
      <c r="E34" s="1836"/>
    </row>
    <row r="35" spans="1:5" s="3175" customFormat="1">
      <c r="A35" s="3174"/>
      <c r="D35" s="1836"/>
      <c r="E35" s="1836"/>
    </row>
    <row r="36" spans="1:5" s="3175" customFormat="1">
      <c r="A36" s="3174"/>
      <c r="D36" s="1836"/>
      <c r="E36" s="1836"/>
    </row>
    <row r="37" spans="1:5" s="3175" customFormat="1">
      <c r="A37" s="3174"/>
      <c r="D37" s="1836"/>
      <c r="E37" s="1836"/>
    </row>
    <row r="38" spans="1:5" s="3175" customFormat="1">
      <c r="A38" s="3174"/>
      <c r="D38" s="1836"/>
      <c r="E38" s="1836"/>
    </row>
    <row r="39" spans="1:5" s="3175" customFormat="1">
      <c r="A39" s="3174"/>
      <c r="D39" s="1836"/>
      <c r="E39" s="1836"/>
    </row>
    <row r="40" spans="1:5" s="3175" customFormat="1">
      <c r="A40" s="3174"/>
      <c r="D40" s="1836"/>
      <c r="E40" s="1836"/>
    </row>
    <row r="41" spans="1:5" s="3175" customFormat="1">
      <c r="A41" s="3174"/>
      <c r="D41" s="1836"/>
      <c r="E41" s="1836"/>
    </row>
    <row r="42" spans="1:5" s="3175" customFormat="1">
      <c r="A42" s="3174"/>
      <c r="D42" s="1836"/>
      <c r="E42" s="1836"/>
    </row>
    <row r="43" spans="1:5" s="3175" customFormat="1">
      <c r="A43" s="3174"/>
      <c r="D43" s="1836"/>
      <c r="E43" s="1836"/>
    </row>
    <row r="44" spans="1:5" s="3175" customFormat="1">
      <c r="A44" s="3174"/>
      <c r="D44" s="1836"/>
      <c r="E44" s="1836"/>
    </row>
    <row r="45" spans="1:5" s="3175" customFormat="1">
      <c r="A45" s="3174"/>
      <c r="D45" s="1836"/>
      <c r="E45" s="1836"/>
    </row>
    <row r="46" spans="1:5" s="3175" customFormat="1">
      <c r="A46" s="3174"/>
      <c r="D46" s="1836"/>
      <c r="E46" s="1836"/>
    </row>
    <row r="47" spans="1:5" s="3175" customFormat="1">
      <c r="A47" s="3174"/>
      <c r="D47" s="1836"/>
      <c r="E47" s="1836"/>
    </row>
    <row r="48" spans="1:5" s="3175" customFormat="1">
      <c r="A48" s="3174"/>
      <c r="D48" s="1836"/>
      <c r="E48" s="1836"/>
    </row>
    <row r="49" spans="1:5" s="3175" customFormat="1">
      <c r="A49" s="3174"/>
      <c r="D49" s="1836"/>
      <c r="E49" s="1836"/>
    </row>
    <row r="50" spans="1:5" s="3175" customFormat="1">
      <c r="A50" s="3174"/>
      <c r="D50" s="1836"/>
      <c r="E50" s="1836"/>
    </row>
    <row r="51" spans="1:5" s="3175" customFormat="1">
      <c r="A51" s="3174"/>
      <c r="D51" s="1836"/>
      <c r="E51" s="1836"/>
    </row>
    <row r="52" spans="1:5" s="3175" customFormat="1">
      <c r="A52" s="3174"/>
      <c r="D52" s="1836"/>
      <c r="E52" s="1836"/>
    </row>
    <row r="53" spans="1:5" s="3175" customFormat="1">
      <c r="A53" s="3174"/>
      <c r="D53" s="1836"/>
      <c r="E53" s="1836"/>
    </row>
    <row r="54" spans="1:5" s="3175" customFormat="1">
      <c r="A54" s="3174"/>
      <c r="D54" s="1836"/>
      <c r="E54" s="1836"/>
    </row>
    <row r="55" spans="1:5" s="3175" customFormat="1">
      <c r="A55" s="3174"/>
      <c r="D55" s="1836"/>
      <c r="E55" s="1836"/>
    </row>
    <row r="56" spans="1:5" s="3175" customFormat="1">
      <c r="A56" s="3174"/>
      <c r="D56" s="1836"/>
      <c r="E56" s="1836"/>
    </row>
    <row r="57" spans="1:5" s="3175" customFormat="1">
      <c r="A57" s="3174"/>
      <c r="D57" s="1836"/>
      <c r="E57" s="1836"/>
    </row>
    <row r="58" spans="1:5" s="3175" customFormat="1">
      <c r="A58" s="3174"/>
      <c r="D58" s="1836"/>
      <c r="E58" s="1836"/>
    </row>
    <row r="59" spans="1:5" s="3175" customFormat="1">
      <c r="A59" s="3174"/>
      <c r="D59" s="1836"/>
      <c r="E59" s="1836"/>
    </row>
    <row r="60" spans="1:5" s="3175" customFormat="1">
      <c r="A60" s="3174"/>
      <c r="D60" s="1836"/>
      <c r="E60" s="1836"/>
    </row>
    <row r="61" spans="1:5" s="3175" customFormat="1">
      <c r="A61" s="3174"/>
      <c r="D61" s="1836"/>
      <c r="E61" s="1836"/>
    </row>
    <row r="62" spans="1:5" s="3175" customFormat="1">
      <c r="A62" s="3174"/>
      <c r="D62" s="1836"/>
      <c r="E62" s="1836"/>
    </row>
    <row r="63" spans="1:5" s="3175" customFormat="1">
      <c r="A63" s="3174"/>
      <c r="D63" s="1836"/>
      <c r="E63" s="183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90" zoomScaleNormal="90" zoomScaleSheetLayoutView="80" workbookViewId="0">
      <selection activeCell="K15" sqref="K15"/>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2387" t="s">
        <v>701</v>
      </c>
      <c r="C1" s="2388" t="s">
        <v>702</v>
      </c>
      <c r="D1" s="2389" t="s">
        <v>901</v>
      </c>
      <c r="E1" s="1961"/>
      <c r="F1" s="2444" t="s">
        <v>3410</v>
      </c>
      <c r="G1" s="1485" t="s">
        <v>703</v>
      </c>
      <c r="H1" s="483"/>
      <c r="I1" s="483"/>
      <c r="J1" s="483"/>
      <c r="K1" s="484"/>
      <c r="L1" s="3115"/>
      <c r="M1" s="3116"/>
      <c r="N1" s="3116"/>
      <c r="O1" s="3116"/>
      <c r="P1" s="1453"/>
      <c r="Q1" s="1453"/>
      <c r="R1" s="1453"/>
      <c r="S1" s="1453"/>
      <c r="T1" s="1453"/>
      <c r="U1" s="1453"/>
      <c r="V1" s="1453"/>
      <c r="W1" s="1453"/>
      <c r="X1" s="1453"/>
      <c r="Y1" s="1453"/>
      <c r="Z1" s="1453"/>
      <c r="AA1" s="1453"/>
      <c r="AB1" s="1453"/>
      <c r="AC1" s="1454"/>
    </row>
    <row r="2" spans="1:29" s="1269" customFormat="1" ht="28.5" customHeight="1">
      <c r="A2" s="417" t="s">
        <v>461</v>
      </c>
      <c r="B2" s="2386">
        <f>ROUND(B3*D3/10000,0)</f>
        <v>116351</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9" customFormat="1" ht="28.5" customHeight="1" thickBot="1">
      <c r="A3" s="486" t="s">
        <v>502</v>
      </c>
      <c r="B3" s="823">
        <f>C49</f>
        <v>11631</v>
      </c>
      <c r="C3" s="824" t="s">
        <v>704</v>
      </c>
      <c r="D3" s="823">
        <f>SUMIF('数据-汇总表'!$C19:$C33,D1,'数据-汇总表'!$E19:$E33)</f>
        <v>100035.04</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5">
      <c r="A4" s="489" t="s">
        <v>504</v>
      </c>
      <c r="B4" s="490"/>
      <c r="C4" s="3677" t="s">
        <v>505</v>
      </c>
      <c r="D4" s="3678"/>
      <c r="E4" s="3716" t="s">
        <v>506</v>
      </c>
      <c r="F4" s="3717"/>
      <c r="G4" s="3677" t="s">
        <v>507</v>
      </c>
      <c r="H4" s="3678"/>
      <c r="I4" s="3677" t="s">
        <v>508</v>
      </c>
      <c r="J4" s="3678"/>
      <c r="K4" s="825" t="s">
        <v>509</v>
      </c>
      <c r="L4" s="1967"/>
      <c r="M4" s="1968"/>
      <c r="N4" s="1968"/>
      <c r="O4" s="1968"/>
      <c r="P4" s="3679" t="s">
        <v>510</v>
      </c>
      <c r="Q4" s="3680"/>
      <c r="R4" s="3685" t="s">
        <v>506</v>
      </c>
      <c r="S4" s="3686"/>
      <c r="T4" s="3685" t="s">
        <v>507</v>
      </c>
      <c r="U4" s="3686"/>
      <c r="V4" s="3672" t="s">
        <v>508</v>
      </c>
      <c r="W4" s="3672"/>
      <c r="X4" s="1455"/>
      <c r="Y4" s="3685" t="s">
        <v>510</v>
      </c>
      <c r="Z4" s="3686"/>
      <c r="AA4" s="3674" t="s">
        <v>506</v>
      </c>
      <c r="AB4" s="3674" t="s">
        <v>507</v>
      </c>
      <c r="AC4" s="3674" t="s">
        <v>508</v>
      </c>
    </row>
    <row r="5" spans="1:29" ht="15">
      <c r="A5" s="492"/>
      <c r="B5" s="493"/>
      <c r="C5" s="3693" t="s">
        <v>2630</v>
      </c>
      <c r="D5" s="3694"/>
      <c r="E5" s="3718" t="s">
        <v>2631</v>
      </c>
      <c r="F5" s="3719"/>
      <c r="G5" s="3693" t="s">
        <v>2632</v>
      </c>
      <c r="H5" s="3694"/>
      <c r="I5" s="3693" t="s">
        <v>2633</v>
      </c>
      <c r="J5" s="3694"/>
      <c r="K5" s="826"/>
      <c r="L5" s="1967"/>
      <c r="M5" s="1968"/>
      <c r="N5" s="1968"/>
      <c r="O5" s="1968"/>
      <c r="P5" s="3681"/>
      <c r="Q5" s="3682"/>
      <c r="R5" s="3687"/>
      <c r="S5" s="3688"/>
      <c r="T5" s="3687"/>
      <c r="U5" s="3688"/>
      <c r="V5" s="3672"/>
      <c r="W5" s="3672"/>
      <c r="X5" s="1455"/>
      <c r="Y5" s="3687"/>
      <c r="Z5" s="3688"/>
      <c r="AA5" s="3675"/>
      <c r="AB5" s="3675"/>
      <c r="AC5" s="3675"/>
    </row>
    <row r="6" spans="1:29" ht="15.75" thickBot="1">
      <c r="A6" s="494"/>
      <c r="B6" s="495"/>
      <c r="C6" s="3691" t="s">
        <v>2634</v>
      </c>
      <c r="D6" s="3692"/>
      <c r="E6" s="3714" t="s">
        <v>2634</v>
      </c>
      <c r="F6" s="3715"/>
      <c r="G6" s="3691" t="s">
        <v>2634</v>
      </c>
      <c r="H6" s="3692"/>
      <c r="I6" s="3691" t="s">
        <v>2634</v>
      </c>
      <c r="J6" s="3692"/>
      <c r="K6" s="826" t="s">
        <v>511</v>
      </c>
      <c r="L6" s="1967"/>
      <c r="M6" s="1968"/>
      <c r="N6" s="1968"/>
      <c r="O6" s="1968"/>
      <c r="P6" s="3683"/>
      <c r="Q6" s="3684"/>
      <c r="R6" s="3687"/>
      <c r="S6" s="3688"/>
      <c r="T6" s="3689"/>
      <c r="U6" s="3690"/>
      <c r="V6" s="3672"/>
      <c r="W6" s="3672"/>
      <c r="X6" s="1455"/>
      <c r="Y6" s="3689"/>
      <c r="Z6" s="3690"/>
      <c r="AA6" s="3676"/>
      <c r="AB6" s="3676"/>
      <c r="AC6" s="3676"/>
    </row>
    <row r="7" spans="1:29" s="1165" customFormat="1" ht="15.75" thickBot="1">
      <c r="A7" s="2548"/>
      <c r="B7" s="2555" t="s">
        <v>512</v>
      </c>
      <c r="C7" s="496">
        <f>'数据-取费表'!B2</f>
        <v>44895</v>
      </c>
      <c r="D7" s="497">
        <v>100</v>
      </c>
      <c r="E7" s="498">
        <v>44866</v>
      </c>
      <c r="F7" s="499">
        <f>SUMIF(58:58,YEAR(E7)&amp;"-"&amp;MONTH(E7),59:59)</f>
        <v>100</v>
      </c>
      <c r="G7" s="500">
        <f>E7</f>
        <v>44866</v>
      </c>
      <c r="H7" s="497">
        <f>SUMIF(58:58,YEAR(G7)&amp;"-"&amp;MONTH(G7),59:59)</f>
        <v>100</v>
      </c>
      <c r="I7" s="500">
        <f>E7</f>
        <v>44866</v>
      </c>
      <c r="J7" s="497">
        <f>SUMIF(58:58,YEAR(I7)&amp;"-"&amp;MONTH(I7),59:59)</f>
        <v>100</v>
      </c>
      <c r="K7" s="827"/>
      <c r="L7" s="1969"/>
      <c r="M7" s="1970"/>
      <c r="N7" s="1970"/>
      <c r="O7" s="1970"/>
      <c r="P7" s="3701" t="s">
        <v>513</v>
      </c>
      <c r="Q7" s="3703"/>
      <c r="R7" s="1456" t="s">
        <v>13</v>
      </c>
      <c r="S7" s="1457">
        <f t="shared" ref="S7:S15" si="0">F7</f>
        <v>100</v>
      </c>
      <c r="T7" s="1456" t="s">
        <v>13</v>
      </c>
      <c r="U7" s="1457">
        <f t="shared" ref="U7:U15" si="1">H7</f>
        <v>100</v>
      </c>
      <c r="V7" s="1456" t="s">
        <v>13</v>
      </c>
      <c r="W7" s="1457">
        <f t="shared" ref="W7:W15" si="2">J7</f>
        <v>100</v>
      </c>
      <c r="X7" s="1458"/>
      <c r="Y7" s="3701" t="s">
        <v>513</v>
      </c>
      <c r="Z7" s="3702"/>
      <c r="AA7" s="1459">
        <f>D7/F7</f>
        <v>1</v>
      </c>
      <c r="AB7" s="1459">
        <f>D7/H7</f>
        <v>1</v>
      </c>
      <c r="AC7" s="1459">
        <f>D7/J7</f>
        <v>1</v>
      </c>
    </row>
    <row r="8" spans="1:29" s="1165" customFormat="1" ht="15.75" thickBot="1">
      <c r="A8" s="2549"/>
      <c r="B8" s="2556" t="s">
        <v>514</v>
      </c>
      <c r="C8" s="502" t="s">
        <v>558</v>
      </c>
      <c r="D8" s="497">
        <v>100</v>
      </c>
      <c r="E8" s="3481" t="s">
        <v>3422</v>
      </c>
      <c r="F8" s="499">
        <f>SUMIF(61:61,E8,62:62)-SUMIF(61:61,C8,62:62)+100</f>
        <v>100</v>
      </c>
      <c r="G8" s="3473" t="s">
        <v>3422</v>
      </c>
      <c r="H8" s="497">
        <f>SUMIF(61:61,G8,62:62)-SUMIF(61:61,C8,62:62)+100</f>
        <v>100</v>
      </c>
      <c r="I8" s="3481" t="s">
        <v>3423</v>
      </c>
      <c r="J8" s="497">
        <f>SUMIF(61:61,I8,62:62)-SUMIF(61:61,C8,62:62)+100</f>
        <v>100</v>
      </c>
      <c r="K8" s="827"/>
      <c r="L8" s="1969"/>
      <c r="M8" s="1970"/>
      <c r="N8" s="1970"/>
      <c r="O8" s="1970"/>
      <c r="P8" s="3701" t="s">
        <v>516</v>
      </c>
      <c r="Q8" s="3702"/>
      <c r="R8" s="1456" t="s">
        <v>13</v>
      </c>
      <c r="S8" s="1457">
        <f t="shared" si="0"/>
        <v>100</v>
      </c>
      <c r="T8" s="1456" t="s">
        <v>13</v>
      </c>
      <c r="U8" s="1457">
        <f t="shared" si="1"/>
        <v>100</v>
      </c>
      <c r="V8" s="1456" t="s">
        <v>13</v>
      </c>
      <c r="W8" s="1457">
        <f t="shared" si="2"/>
        <v>100</v>
      </c>
      <c r="X8" s="1458"/>
      <c r="Y8" s="3701" t="s">
        <v>516</v>
      </c>
      <c r="Z8" s="3702"/>
      <c r="AA8" s="1459">
        <f t="shared" ref="AA8:AA46" si="3">D8/F8</f>
        <v>1</v>
      </c>
      <c r="AB8" s="1459">
        <f t="shared" ref="AB8:AB46" si="4">D8/H8</f>
        <v>1</v>
      </c>
      <c r="AC8" s="1459">
        <f t="shared" ref="AC8:AC46" si="5">D8/J8</f>
        <v>1</v>
      </c>
    </row>
    <row r="9" spans="1:29" s="1165" customFormat="1" ht="15">
      <c r="A9" s="2550"/>
      <c r="B9" s="2557" t="s">
        <v>2472</v>
      </c>
      <c r="C9" s="829"/>
      <c r="D9" s="252">
        <v>100</v>
      </c>
      <c r="E9" s="830"/>
      <c r="F9" s="831">
        <f>SUMIF(63:63,E9,64:64)-SUMIF(63:63,C9,64:64)+100</f>
        <v>100</v>
      </c>
      <c r="G9" s="832"/>
      <c r="H9" s="252">
        <f>SUMIF(63:63,G9,64:64)-SUMIF(63:63,C9,64:64)+100</f>
        <v>100</v>
      </c>
      <c r="I9" s="832"/>
      <c r="J9" s="252">
        <f>SUMIF(63:63,I9,64:64)-SUMIF(63:63,C9,64:64)+100</f>
        <v>100</v>
      </c>
      <c r="K9" s="827"/>
      <c r="L9" s="1969"/>
      <c r="M9" s="1970"/>
      <c r="N9" s="1970"/>
      <c r="O9" s="1971"/>
      <c r="P9" s="3671" t="s">
        <v>518</v>
      </c>
      <c r="Q9" s="1096" t="str">
        <f t="shared" ref="Q9:Q15" si="6">B9</f>
        <v>用途</v>
      </c>
      <c r="R9" s="1456" t="s">
        <v>8</v>
      </c>
      <c r="S9" s="1457">
        <f t="shared" si="0"/>
        <v>100</v>
      </c>
      <c r="T9" s="1456" t="s">
        <v>8</v>
      </c>
      <c r="U9" s="1457">
        <f t="shared" si="1"/>
        <v>100</v>
      </c>
      <c r="V9" s="1456" t="s">
        <v>8</v>
      </c>
      <c r="W9" s="1457">
        <f t="shared" si="2"/>
        <v>100</v>
      </c>
      <c r="X9" s="1458"/>
      <c r="Y9" s="3619"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4"/>
      <c r="F10" s="835">
        <f>SUMIF(65:65,E10,66:66)-SUMIF(65:65,C10,66:66)+100</f>
        <v>100</v>
      </c>
      <c r="G10" s="833"/>
      <c r="H10" s="253">
        <f>SUMIF(65:65,G10,66:66)-SUMIF(65:65,C10,66:66)+100</f>
        <v>100</v>
      </c>
      <c r="I10" s="833"/>
      <c r="J10" s="253">
        <f>SUMIF(65:65,I10,66:66)-SUMIF(65:65,C10,66:66)+100</f>
        <v>100</v>
      </c>
      <c r="K10" s="836"/>
      <c r="L10" s="1972"/>
      <c r="M10" s="2011"/>
      <c r="N10" s="2011"/>
      <c r="O10" s="1973"/>
      <c r="P10" s="3671"/>
      <c r="Q10" s="1096" t="str">
        <f t="shared" si="6"/>
        <v>土地使用年限（年）</v>
      </c>
      <c r="R10" s="1456" t="s">
        <v>8</v>
      </c>
      <c r="S10" s="1457">
        <f t="shared" si="0"/>
        <v>100</v>
      </c>
      <c r="T10" s="1456" t="s">
        <v>8</v>
      </c>
      <c r="U10" s="1457">
        <f t="shared" si="1"/>
        <v>100</v>
      </c>
      <c r="V10" s="1456" t="s">
        <v>8</v>
      </c>
      <c r="W10" s="1457">
        <f t="shared" si="2"/>
        <v>100</v>
      </c>
      <c r="X10" s="1458"/>
      <c r="Y10" s="3619"/>
      <c r="Z10" s="1095" t="str">
        <f t="shared" si="7"/>
        <v>土地使用年限（年）</v>
      </c>
      <c r="AA10" s="1459">
        <f t="shared" si="3"/>
        <v>1</v>
      </c>
      <c r="AB10" s="1459">
        <f t="shared" si="4"/>
        <v>1</v>
      </c>
      <c r="AC10" s="1459">
        <f t="shared" si="5"/>
        <v>1</v>
      </c>
    </row>
    <row r="11" spans="1:29" ht="15">
      <c r="A11" s="2552"/>
      <c r="B11" s="2556" t="s">
        <v>2474</v>
      </c>
      <c r="C11" s="510">
        <f>'数据-汇总表'!I6</f>
        <v>5.65</v>
      </c>
      <c r="D11" s="253">
        <v>100</v>
      </c>
      <c r="E11" s="511">
        <f>住宅案例!E137</f>
        <v>6.49</v>
      </c>
      <c r="F11" s="835">
        <f>LOOKUP(E11,68:68,69:69)-LOOKUP(C11,68:68,69:69)+100</f>
        <v>98</v>
      </c>
      <c r="G11" s="510">
        <f>住宅案例!E138</f>
        <v>4.1900000000000004</v>
      </c>
      <c r="H11" s="253">
        <f>LOOKUP(G11,68:68,69:69)-LOOKUP(C11,68:68,69:69)+100</f>
        <v>102</v>
      </c>
      <c r="I11" s="510">
        <f>住宅案例!E139</f>
        <v>6.38</v>
      </c>
      <c r="J11" s="253">
        <f>LOOKUP(I11,68:68,69:69)-LOOKUP(C11,68:68,69:69)+100</f>
        <v>98</v>
      </c>
      <c r="K11" s="836">
        <v>2</v>
      </c>
      <c r="L11" s="1974"/>
      <c r="M11" s="1968"/>
      <c r="N11" s="1968"/>
      <c r="O11" s="1975"/>
      <c r="P11" s="3671"/>
      <c r="Q11" s="1096" t="str">
        <f t="shared" si="6"/>
        <v>容积率</v>
      </c>
      <c r="R11" s="1456" t="s">
        <v>11</v>
      </c>
      <c r="S11" s="1457">
        <f t="shared" si="0"/>
        <v>98</v>
      </c>
      <c r="T11" s="1456" t="s">
        <v>11</v>
      </c>
      <c r="U11" s="1457">
        <f t="shared" si="1"/>
        <v>102</v>
      </c>
      <c r="V11" s="1456" t="s">
        <v>11</v>
      </c>
      <c r="W11" s="1457">
        <f t="shared" si="2"/>
        <v>98</v>
      </c>
      <c r="X11" s="1458"/>
      <c r="Y11" s="3619"/>
      <c r="Z11" s="1095" t="str">
        <f t="shared" si="7"/>
        <v>容积率</v>
      </c>
      <c r="AA11" s="1459">
        <f t="shared" si="3"/>
        <v>1.0204081632653061</v>
      </c>
      <c r="AB11" s="1459">
        <f t="shared" si="4"/>
        <v>0.98039215686274506</v>
      </c>
      <c r="AC11" s="1459">
        <f t="shared" si="5"/>
        <v>1.0204081632653061</v>
      </c>
    </row>
    <row r="12" spans="1:29" s="1165" customFormat="1" ht="15">
      <c r="A12" s="2553"/>
      <c r="B12" s="2559">
        <v>111</v>
      </c>
      <c r="C12" s="505"/>
      <c r="D12" s="515">
        <v>100</v>
      </c>
      <c r="E12" s="505"/>
      <c r="F12" s="835">
        <f>SUMIF(70:70,E12,71:71)-SUMIF(70:70,C12,71:71)+100</f>
        <v>100</v>
      </c>
      <c r="G12" s="505"/>
      <c r="H12" s="253">
        <f>SUMIF(70:70,G12,71:71)-SUMIF(70:70,C12,71:71)+100</f>
        <v>100</v>
      </c>
      <c r="I12" s="505"/>
      <c r="J12" s="253">
        <f>SUMIF(70:70,I12,71:71)-SUMIF(70:70,C12,71:71)+100</f>
        <v>100</v>
      </c>
      <c r="K12" s="837"/>
      <c r="L12" s="1969"/>
      <c r="M12" s="1970"/>
      <c r="N12" s="1970"/>
      <c r="O12" s="1971"/>
      <c r="P12" s="3671"/>
      <c r="Q12" s="1096">
        <f t="shared" si="6"/>
        <v>111</v>
      </c>
      <c r="R12" s="1456" t="s">
        <v>11</v>
      </c>
      <c r="S12" s="1457">
        <f t="shared" si="0"/>
        <v>100</v>
      </c>
      <c r="T12" s="1456" t="s">
        <v>11</v>
      </c>
      <c r="U12" s="1457">
        <f t="shared" si="1"/>
        <v>100</v>
      </c>
      <c r="V12" s="1456" t="s">
        <v>11</v>
      </c>
      <c r="W12" s="1457">
        <f t="shared" si="2"/>
        <v>100</v>
      </c>
      <c r="X12" s="1458"/>
      <c r="Y12" s="3619"/>
      <c r="Z12" s="1095">
        <f t="shared" si="7"/>
        <v>111</v>
      </c>
      <c r="AA12" s="1459">
        <f>D12/F12</f>
        <v>1</v>
      </c>
      <c r="AB12" s="1459">
        <f>D12/H12</f>
        <v>1</v>
      </c>
      <c r="AC12" s="1459">
        <f>D12/J12</f>
        <v>1</v>
      </c>
    </row>
    <row r="13" spans="1:29" ht="15">
      <c r="A13" s="2553"/>
      <c r="B13" s="2559">
        <v>111</v>
      </c>
      <c r="C13" s="516"/>
      <c r="D13" s="517">
        <v>100</v>
      </c>
      <c r="E13" s="516"/>
      <c r="F13" s="835">
        <f>SUMIF(72:72,E13,73:73)-SUMIF(72:72,C13,73:73)+100</f>
        <v>100</v>
      </c>
      <c r="G13" s="516"/>
      <c r="H13" s="517">
        <f>SUMIF(72:72,G13,73:73)-SUMIF(72:72,C13,73:73)+100</f>
        <v>100</v>
      </c>
      <c r="I13" s="516"/>
      <c r="J13" s="517">
        <f>SUMIF(72:72,I13,73:73)-SUMIF(72:72,C13,73:73)+100</f>
        <v>100</v>
      </c>
      <c r="K13" s="837"/>
      <c r="L13" s="1976"/>
      <c r="M13" s="1968"/>
      <c r="N13" s="1968"/>
      <c r="O13" s="1975"/>
      <c r="P13" s="3671"/>
      <c r="Q13" s="1096">
        <f t="shared" si="6"/>
        <v>111</v>
      </c>
      <c r="R13" s="1456" t="s">
        <v>11</v>
      </c>
      <c r="S13" s="1457">
        <f t="shared" si="0"/>
        <v>100</v>
      </c>
      <c r="T13" s="1456" t="s">
        <v>11</v>
      </c>
      <c r="U13" s="1457">
        <f t="shared" si="1"/>
        <v>100</v>
      </c>
      <c r="V13" s="1456" t="s">
        <v>11</v>
      </c>
      <c r="W13" s="1457">
        <f t="shared" si="2"/>
        <v>100</v>
      </c>
      <c r="X13" s="1458"/>
      <c r="Y13" s="3619"/>
      <c r="Z13" s="1095">
        <f t="shared" si="7"/>
        <v>111</v>
      </c>
      <c r="AA13" s="1459">
        <f t="shared" si="3"/>
        <v>1</v>
      </c>
      <c r="AB13" s="1459">
        <f t="shared" si="4"/>
        <v>1</v>
      </c>
      <c r="AC13" s="1459">
        <f t="shared" si="5"/>
        <v>1</v>
      </c>
    </row>
    <row r="14" spans="1:29" ht="15.75" thickBot="1">
      <c r="A14" s="2554"/>
      <c r="B14" s="2560">
        <v>111</v>
      </c>
      <c r="C14" s="522"/>
      <c r="D14" s="523">
        <v>100</v>
      </c>
      <c r="E14" s="522"/>
      <c r="F14" s="838">
        <f>SUMIF(74:74,E14,75:75)-SUMIF(74:74,C14,75:75)+100</f>
        <v>100</v>
      </c>
      <c r="G14" s="522"/>
      <c r="H14" s="523">
        <f>SUMIF(74:74,G14,75:75)-SUMIF(74:74,C14,75:75)+100</f>
        <v>100</v>
      </c>
      <c r="I14" s="522"/>
      <c r="J14" s="523">
        <f>SUMIF(74:74,I14,75:75)-SUMIF(74:74,C14,75:75)+100</f>
        <v>100</v>
      </c>
      <c r="K14" s="837"/>
      <c r="L14" s="1976"/>
      <c r="M14" s="1968"/>
      <c r="N14" s="1968"/>
      <c r="O14" s="1975"/>
      <c r="P14" s="3671"/>
      <c r="Q14" s="1096">
        <f t="shared" si="6"/>
        <v>111</v>
      </c>
      <c r="R14" s="1456" t="s">
        <v>11</v>
      </c>
      <c r="S14" s="1457">
        <f t="shared" si="0"/>
        <v>100</v>
      </c>
      <c r="T14" s="1456" t="s">
        <v>11</v>
      </c>
      <c r="U14" s="1457">
        <f t="shared" si="1"/>
        <v>100</v>
      </c>
      <c r="V14" s="1456" t="s">
        <v>11</v>
      </c>
      <c r="W14" s="1457">
        <f t="shared" si="2"/>
        <v>100</v>
      </c>
      <c r="X14" s="1458"/>
      <c r="Y14" s="3619"/>
      <c r="Z14" s="1095">
        <f t="shared" si="7"/>
        <v>111</v>
      </c>
      <c r="AA14" s="1459">
        <f t="shared" si="3"/>
        <v>1</v>
      </c>
      <c r="AB14" s="1459">
        <f t="shared" si="4"/>
        <v>1</v>
      </c>
      <c r="AC14" s="1459">
        <f t="shared" si="5"/>
        <v>1</v>
      </c>
    </row>
    <row r="15" spans="1:29" ht="99.75">
      <c r="A15" s="2546"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6"/>
      <c r="M15" s="1968"/>
      <c r="N15" s="1968"/>
      <c r="O15" s="1975"/>
      <c r="P15" s="3704" t="s">
        <v>523</v>
      </c>
      <c r="Q15" s="1460" t="str">
        <f t="shared" si="6"/>
        <v>居住社区成熟度</v>
      </c>
      <c r="R15" s="1461" t="s">
        <v>11</v>
      </c>
      <c r="S15" s="1462">
        <f t="shared" si="0"/>
        <v>100</v>
      </c>
      <c r="T15" s="1461" t="s">
        <v>11</v>
      </c>
      <c r="U15" s="1462">
        <f t="shared" si="1"/>
        <v>100</v>
      </c>
      <c r="V15" s="1461" t="s">
        <v>11</v>
      </c>
      <c r="W15" s="1462">
        <f t="shared" si="2"/>
        <v>100</v>
      </c>
      <c r="X15" s="1455"/>
      <c r="Y15" s="3704" t="s">
        <v>523</v>
      </c>
      <c r="Z15" s="1463" t="str">
        <f t="shared" si="7"/>
        <v>居住社区成熟度</v>
      </c>
      <c r="AA15" s="1464">
        <f t="shared" si="3"/>
        <v>1</v>
      </c>
      <c r="AB15" s="1464">
        <f t="shared" si="4"/>
        <v>1</v>
      </c>
      <c r="AC15" s="1464">
        <f t="shared" si="5"/>
        <v>1</v>
      </c>
    </row>
    <row r="16" spans="1:29" ht="15">
      <c r="A16" s="509"/>
      <c r="B16" s="841"/>
      <c r="C16" s="3466" t="s">
        <v>3420</v>
      </c>
      <c r="D16" s="532"/>
      <c r="E16" s="3474" t="s">
        <v>3421</v>
      </c>
      <c r="F16" s="534"/>
      <c r="G16" s="3464" t="s">
        <v>3420</v>
      </c>
      <c r="H16" s="536"/>
      <c r="I16" s="3474" t="s">
        <v>3420</v>
      </c>
      <c r="J16" s="532"/>
      <c r="K16" s="842"/>
      <c r="L16" s="1976"/>
      <c r="M16" s="1968"/>
      <c r="N16" s="1968"/>
      <c r="O16" s="1975"/>
      <c r="P16" s="3705"/>
      <c r="Q16" s="1460"/>
      <c r="R16" s="1461"/>
      <c r="S16" s="1462"/>
      <c r="T16" s="1461"/>
      <c r="U16" s="1462"/>
      <c r="V16" s="1461"/>
      <c r="W16" s="1462"/>
      <c r="X16" s="1455"/>
      <c r="Y16" s="3705"/>
      <c r="Z16" s="1463"/>
      <c r="AA16" s="1464">
        <v>1</v>
      </c>
      <c r="AB16" s="1464">
        <v>1</v>
      </c>
      <c r="AC16" s="1464">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6"/>
      <c r="M17" s="1968"/>
      <c r="N17" s="1968"/>
      <c r="O17" s="1975"/>
      <c r="P17" s="3705"/>
      <c r="Q17" s="1460" t="str">
        <f>B17</f>
        <v>交通便捷度</v>
      </c>
      <c r="R17" s="1461" t="s">
        <v>11</v>
      </c>
      <c r="S17" s="1462">
        <f>F17</f>
        <v>100</v>
      </c>
      <c r="T17" s="1461" t="s">
        <v>11</v>
      </c>
      <c r="U17" s="1462">
        <f>H17</f>
        <v>100</v>
      </c>
      <c r="V17" s="1461" t="s">
        <v>11</v>
      </c>
      <c r="W17" s="1462">
        <f>J17</f>
        <v>100</v>
      </c>
      <c r="X17" s="1455"/>
      <c r="Y17" s="3705"/>
      <c r="Z17" s="1463" t="str">
        <f>Q17</f>
        <v>交通便捷度</v>
      </c>
      <c r="AA17" s="1464">
        <f t="shared" si="3"/>
        <v>1</v>
      </c>
      <c r="AB17" s="1464">
        <f t="shared" si="4"/>
        <v>1</v>
      </c>
      <c r="AC17" s="1464">
        <f t="shared" si="5"/>
        <v>1</v>
      </c>
    </row>
    <row r="18" spans="1:29" ht="15">
      <c r="A18" s="509"/>
      <c r="B18" s="572"/>
      <c r="C18" s="3482" t="s">
        <v>3420</v>
      </c>
      <c r="D18" s="536"/>
      <c r="E18" s="3475" t="s">
        <v>3420</v>
      </c>
      <c r="F18" s="540"/>
      <c r="G18" s="3465" t="s">
        <v>3421</v>
      </c>
      <c r="H18" s="532"/>
      <c r="I18" s="3475" t="s">
        <v>3420</v>
      </c>
      <c r="J18" s="532"/>
      <c r="K18" s="842"/>
      <c r="L18" s="1976"/>
      <c r="M18" s="1968"/>
      <c r="N18" s="1968"/>
      <c r="O18" s="1975"/>
      <c r="P18" s="3705"/>
      <c r="Q18" s="1460"/>
      <c r="R18" s="1461"/>
      <c r="S18" s="1462"/>
      <c r="T18" s="1461"/>
      <c r="U18" s="1462"/>
      <c r="V18" s="1461"/>
      <c r="W18" s="1462"/>
      <c r="X18" s="1455"/>
      <c r="Y18" s="3705"/>
      <c r="Z18" s="1463"/>
      <c r="AA18" s="1464">
        <v>1</v>
      </c>
      <c r="AB18" s="1464">
        <v>1</v>
      </c>
      <c r="AC18" s="1464">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6"/>
      <c r="M19" s="1968"/>
      <c r="N19" s="1968"/>
      <c r="O19" s="1975"/>
      <c r="P19" s="3705"/>
      <c r="Q19" s="1460" t="str">
        <f>B19</f>
        <v>公共配套设施</v>
      </c>
      <c r="R19" s="1461" t="s">
        <v>11</v>
      </c>
      <c r="S19" s="1462">
        <f>F19</f>
        <v>100</v>
      </c>
      <c r="T19" s="1461" t="s">
        <v>11</v>
      </c>
      <c r="U19" s="1462">
        <f>H19</f>
        <v>100</v>
      </c>
      <c r="V19" s="1461" t="s">
        <v>11</v>
      </c>
      <c r="W19" s="1462">
        <f>J19</f>
        <v>100</v>
      </c>
      <c r="X19" s="1455"/>
      <c r="Y19" s="3705"/>
      <c r="Z19" s="1463" t="str">
        <f>Q19</f>
        <v>公共配套设施</v>
      </c>
      <c r="AA19" s="1464">
        <f t="shared" si="3"/>
        <v>1</v>
      </c>
      <c r="AB19" s="1464">
        <f t="shared" si="4"/>
        <v>1</v>
      </c>
      <c r="AC19" s="1464">
        <f t="shared" si="5"/>
        <v>1</v>
      </c>
    </row>
    <row r="20" spans="1:29" ht="15">
      <c r="A20" s="509"/>
      <c r="B20" s="572"/>
      <c r="C20" s="3466" t="s">
        <v>3420</v>
      </c>
      <c r="D20" s="532"/>
      <c r="E20" s="3474" t="s">
        <v>3421</v>
      </c>
      <c r="F20" s="534"/>
      <c r="G20" s="3464" t="s">
        <v>3421</v>
      </c>
      <c r="H20" s="532"/>
      <c r="I20" s="3474" t="s">
        <v>3420</v>
      </c>
      <c r="J20" s="532"/>
      <c r="K20" s="842"/>
      <c r="L20" s="1976"/>
      <c r="M20" s="1968"/>
      <c r="N20" s="1968"/>
      <c r="O20" s="1975"/>
      <c r="P20" s="3705"/>
      <c r="Q20" s="1460"/>
      <c r="R20" s="1461"/>
      <c r="S20" s="1462"/>
      <c r="T20" s="1461"/>
      <c r="U20" s="1462"/>
      <c r="V20" s="1461"/>
      <c r="W20" s="1462"/>
      <c r="X20" s="1455"/>
      <c r="Y20" s="3705"/>
      <c r="Z20" s="1463"/>
      <c r="AA20" s="1464">
        <v>1</v>
      </c>
      <c r="AB20" s="1464">
        <v>1</v>
      </c>
      <c r="AC20" s="1464">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6"/>
      <c r="M21" s="1968"/>
      <c r="N21" s="1968"/>
      <c r="O21" s="1975"/>
      <c r="P21" s="3705"/>
      <c r="Q21" s="2349" t="str">
        <f>B21</f>
        <v>基础设施水平</v>
      </c>
      <c r="R21" s="1461" t="s">
        <v>11</v>
      </c>
      <c r="S21" s="1462">
        <f>F21</f>
        <v>100</v>
      </c>
      <c r="T21" s="1461" t="s">
        <v>11</v>
      </c>
      <c r="U21" s="1462">
        <f>H21</f>
        <v>100</v>
      </c>
      <c r="V21" s="1461" t="s">
        <v>11</v>
      </c>
      <c r="W21" s="1462">
        <f>J21</f>
        <v>100</v>
      </c>
      <c r="X21" s="2351"/>
      <c r="Y21" s="3705"/>
      <c r="Z21" s="2350" t="str">
        <f>Q21</f>
        <v>基础设施水平</v>
      </c>
      <c r="AA21" s="1464">
        <f t="shared" ref="AA21" si="8">D21/F21</f>
        <v>1</v>
      </c>
      <c r="AB21" s="1464">
        <f t="shared" ref="AB21" si="9">D21/H21</f>
        <v>1</v>
      </c>
      <c r="AC21" s="1464">
        <f t="shared" ref="AC21" si="10">D21/J21</f>
        <v>1</v>
      </c>
    </row>
    <row r="22" spans="1:29" ht="15">
      <c r="A22" s="509"/>
      <c r="B22" s="892"/>
      <c r="C22" s="3482" t="s">
        <v>3424</v>
      </c>
      <c r="D22" s="532"/>
      <c r="E22" s="3466" t="s">
        <v>3425</v>
      </c>
      <c r="F22" s="534"/>
      <c r="G22" s="3466" t="s">
        <v>3424</v>
      </c>
      <c r="H22" s="532"/>
      <c r="I22" s="3466" t="s">
        <v>3426</v>
      </c>
      <c r="J22" s="532"/>
      <c r="K22" s="2363"/>
      <c r="L22" s="1976"/>
      <c r="M22" s="1968"/>
      <c r="N22" s="1968"/>
      <c r="O22" s="1975"/>
      <c r="P22" s="3705"/>
      <c r="Q22" s="2349"/>
      <c r="R22" s="1461"/>
      <c r="S22" s="1462"/>
      <c r="T22" s="1461"/>
      <c r="U22" s="1462"/>
      <c r="V22" s="1461"/>
      <c r="W22" s="1462"/>
      <c r="X22" s="2351"/>
      <c r="Y22" s="3705"/>
      <c r="Z22" s="2350"/>
      <c r="AA22" s="1464">
        <v>1</v>
      </c>
      <c r="AB22" s="1464">
        <v>1</v>
      </c>
      <c r="AC22" s="1464">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6"/>
      <c r="M23" s="1968"/>
      <c r="N23" s="1968"/>
      <c r="O23" s="1975"/>
      <c r="P23" s="3705"/>
      <c r="Q23" s="1460" t="str">
        <f>B23</f>
        <v>自然及人文环境</v>
      </c>
      <c r="R23" s="1461" t="s">
        <v>11</v>
      </c>
      <c r="S23" s="1462">
        <f>F23</f>
        <v>100</v>
      </c>
      <c r="T23" s="1461" t="s">
        <v>11</v>
      </c>
      <c r="U23" s="1462">
        <f>H23</f>
        <v>100</v>
      </c>
      <c r="V23" s="1461" t="s">
        <v>11</v>
      </c>
      <c r="W23" s="1462">
        <f>J23</f>
        <v>100</v>
      </c>
      <c r="X23" s="1455"/>
      <c r="Y23" s="3705"/>
      <c r="Z23" s="1463" t="str">
        <f>Q23</f>
        <v>自然及人文环境</v>
      </c>
      <c r="AA23" s="1464">
        <f t="shared" si="3"/>
        <v>1</v>
      </c>
      <c r="AB23" s="1464">
        <f t="shared" si="4"/>
        <v>1</v>
      </c>
      <c r="AC23" s="1464">
        <f t="shared" si="5"/>
        <v>1</v>
      </c>
    </row>
    <row r="24" spans="1:29" ht="15">
      <c r="A24" s="509"/>
      <c r="B24" s="572"/>
      <c r="C24" s="3466" t="s">
        <v>3420</v>
      </c>
      <c r="D24" s="532"/>
      <c r="E24" s="3474" t="s">
        <v>3420</v>
      </c>
      <c r="F24" s="534"/>
      <c r="G24" s="3464" t="s">
        <v>3420</v>
      </c>
      <c r="H24" s="532"/>
      <c r="I24" s="3474" t="s">
        <v>3421</v>
      </c>
      <c r="J24" s="532"/>
      <c r="K24" s="842"/>
      <c r="L24" s="1976"/>
      <c r="M24" s="1968"/>
      <c r="N24" s="1968"/>
      <c r="O24" s="1975"/>
      <c r="P24" s="3705"/>
      <c r="Q24" s="1460"/>
      <c r="R24" s="1461"/>
      <c r="S24" s="1462"/>
      <c r="T24" s="1461"/>
      <c r="U24" s="1462"/>
      <c r="V24" s="1461"/>
      <c r="W24" s="1462"/>
      <c r="X24" s="1455"/>
      <c r="Y24" s="3705"/>
      <c r="Z24" s="1463"/>
      <c r="AA24" s="1464">
        <v>1</v>
      </c>
      <c r="AB24" s="1464">
        <v>1</v>
      </c>
      <c r="AC24" s="1464">
        <v>1</v>
      </c>
    </row>
    <row r="25" spans="1:29" ht="15">
      <c r="A25" s="509"/>
      <c r="B25" s="1762" t="s">
        <v>2047</v>
      </c>
      <c r="C25" s="551"/>
      <c r="D25" s="517">
        <v>100</v>
      </c>
      <c r="E25" s="846"/>
      <c r="F25" s="552">
        <f>SUMIF(86:86,E25,87:87)-SUMIF(86:86,C25,87:87)+100</f>
        <v>100</v>
      </c>
      <c r="G25" s="576"/>
      <c r="H25" s="517">
        <f>SUMIF(86:86,G25,87:87)-SUMIF(86:86,C25,87:87)+100</f>
        <v>100</v>
      </c>
      <c r="I25" s="846"/>
      <c r="J25" s="517">
        <f>SUMIF(86:86,I25,87:87)-SUMIF(86:86,C25,87:87)+100</f>
        <v>100</v>
      </c>
      <c r="K25" s="836"/>
      <c r="L25" s="1976"/>
      <c r="M25" s="1968"/>
      <c r="N25" s="1968"/>
      <c r="O25" s="1975"/>
      <c r="P25" s="3705"/>
      <c r="Q25" s="1460" t="str">
        <f t="shared" ref="Q25:Q46" si="11">B25</f>
        <v>楼层-1</v>
      </c>
      <c r="R25" s="1461" t="s">
        <v>11</v>
      </c>
      <c r="S25" s="1462">
        <f>F25</f>
        <v>100</v>
      </c>
      <c r="T25" s="1461" t="s">
        <v>11</v>
      </c>
      <c r="U25" s="1462">
        <f>H25</f>
        <v>100</v>
      </c>
      <c r="V25" s="1461" t="s">
        <v>11</v>
      </c>
      <c r="W25" s="1462">
        <f>J25</f>
        <v>100</v>
      </c>
      <c r="X25" s="1455"/>
      <c r="Y25" s="3705"/>
      <c r="Z25" s="1463" t="str">
        <f>Q25</f>
        <v>楼层-1</v>
      </c>
      <c r="AA25" s="1464">
        <f t="shared" si="3"/>
        <v>1</v>
      </c>
      <c r="AB25" s="1464">
        <f t="shared" si="4"/>
        <v>1</v>
      </c>
      <c r="AC25" s="1464">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6"/>
      <c r="M26" s="1968"/>
      <c r="N26" s="1968"/>
      <c r="O26" s="1975"/>
      <c r="P26" s="3705"/>
      <c r="Q26" s="1460" t="str">
        <f t="shared" si="11"/>
        <v>朝向</v>
      </c>
      <c r="R26" s="1461" t="s">
        <v>11</v>
      </c>
      <c r="S26" s="1462">
        <f>F26</f>
        <v>100</v>
      </c>
      <c r="T26" s="1461" t="s">
        <v>11</v>
      </c>
      <c r="U26" s="1462">
        <f>H26</f>
        <v>100</v>
      </c>
      <c r="V26" s="1461" t="s">
        <v>11</v>
      </c>
      <c r="W26" s="1462">
        <f>J26</f>
        <v>100</v>
      </c>
      <c r="X26" s="1455"/>
      <c r="Y26" s="3705"/>
      <c r="Z26" s="1463" t="str">
        <f>Q26</f>
        <v>朝向</v>
      </c>
      <c r="AA26" s="1464">
        <f t="shared" si="3"/>
        <v>1</v>
      </c>
      <c r="AB26" s="1464">
        <f t="shared" si="4"/>
        <v>1</v>
      </c>
      <c r="AC26" s="1464">
        <f t="shared" si="5"/>
        <v>1</v>
      </c>
    </row>
    <row r="27" spans="1:29" s="1165"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69"/>
      <c r="M27" s="1970"/>
      <c r="N27" s="1970"/>
      <c r="O27" s="1971"/>
      <c r="P27" s="3705"/>
      <c r="Q27" s="1096" t="str">
        <f t="shared" si="11"/>
        <v>道路级别</v>
      </c>
      <c r="R27" s="1456" t="s">
        <v>11</v>
      </c>
      <c r="S27" s="1457">
        <f>F27</f>
        <v>100</v>
      </c>
      <c r="T27" s="1456" t="s">
        <v>11</v>
      </c>
      <c r="U27" s="1457">
        <f>H27</f>
        <v>100</v>
      </c>
      <c r="V27" s="1456" t="s">
        <v>11</v>
      </c>
      <c r="W27" s="1457">
        <f>J27</f>
        <v>100</v>
      </c>
      <c r="X27" s="1458"/>
      <c r="Y27" s="3705"/>
      <c r="Z27" s="1095" t="str">
        <f>Q27</f>
        <v>道路级别</v>
      </c>
      <c r="AA27" s="1464">
        <f>D27/F27</f>
        <v>1</v>
      </c>
      <c r="AB27" s="1464">
        <f>D27/H27</f>
        <v>1</v>
      </c>
      <c r="AC27" s="1464">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6"/>
      <c r="M28" s="1968"/>
      <c r="N28" s="1968"/>
      <c r="O28" s="1975"/>
      <c r="P28" s="3705"/>
      <c r="Q28" s="1460">
        <f t="shared" si="11"/>
        <v>111</v>
      </c>
      <c r="R28" s="1461" t="s">
        <v>11</v>
      </c>
      <c r="S28" s="1462">
        <f t="shared" ref="S28:S46" si="12">F28</f>
        <v>100</v>
      </c>
      <c r="T28" s="1461" t="s">
        <v>11</v>
      </c>
      <c r="U28" s="1462">
        <f t="shared" ref="U28:U46" si="13">H28</f>
        <v>100</v>
      </c>
      <c r="V28" s="1461" t="s">
        <v>11</v>
      </c>
      <c r="W28" s="1462">
        <f t="shared" ref="W28:W46" si="14">J28</f>
        <v>100</v>
      </c>
      <c r="X28" s="1455"/>
      <c r="Y28" s="3705"/>
      <c r="Z28" s="1463">
        <f t="shared" ref="Z28:Z46" si="15">Q28</f>
        <v>111</v>
      </c>
      <c r="AA28" s="1464">
        <f t="shared" si="3"/>
        <v>1</v>
      </c>
      <c r="AB28" s="1464">
        <f t="shared" si="4"/>
        <v>1</v>
      </c>
      <c r="AC28" s="1464">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6"/>
      <c r="M29" s="1968"/>
      <c r="N29" s="1968"/>
      <c r="O29" s="1975"/>
      <c r="P29" s="3705"/>
      <c r="Q29" s="1460">
        <f t="shared" si="11"/>
        <v>111</v>
      </c>
      <c r="R29" s="1461" t="s">
        <v>11</v>
      </c>
      <c r="S29" s="1462">
        <f t="shared" si="12"/>
        <v>100</v>
      </c>
      <c r="T29" s="1461" t="s">
        <v>11</v>
      </c>
      <c r="U29" s="1462">
        <f t="shared" si="13"/>
        <v>100</v>
      </c>
      <c r="V29" s="1461" t="s">
        <v>11</v>
      </c>
      <c r="W29" s="1462">
        <f t="shared" si="14"/>
        <v>100</v>
      </c>
      <c r="X29" s="1455"/>
      <c r="Y29" s="3705"/>
      <c r="Z29" s="1463">
        <f t="shared" si="15"/>
        <v>111</v>
      </c>
      <c r="AA29" s="1464">
        <f t="shared" si="3"/>
        <v>1</v>
      </c>
      <c r="AB29" s="1464">
        <f t="shared" si="4"/>
        <v>1</v>
      </c>
      <c r="AC29" s="1464">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6"/>
      <c r="M30" s="1968"/>
      <c r="N30" s="1968"/>
      <c r="O30" s="1975"/>
      <c r="P30" s="3705"/>
      <c r="Q30" s="1460">
        <f t="shared" si="11"/>
        <v>111</v>
      </c>
      <c r="R30" s="1461" t="s">
        <v>11</v>
      </c>
      <c r="S30" s="1462">
        <f t="shared" si="12"/>
        <v>100</v>
      </c>
      <c r="T30" s="1461" t="s">
        <v>11</v>
      </c>
      <c r="U30" s="1462">
        <f t="shared" si="13"/>
        <v>100</v>
      </c>
      <c r="V30" s="1461" t="s">
        <v>11</v>
      </c>
      <c r="W30" s="1462">
        <f t="shared" si="14"/>
        <v>100</v>
      </c>
      <c r="X30" s="1455"/>
      <c r="Y30" s="3705"/>
      <c r="Z30" s="1463">
        <f t="shared" si="15"/>
        <v>111</v>
      </c>
      <c r="AA30" s="1464">
        <f t="shared" si="3"/>
        <v>1</v>
      </c>
      <c r="AB30" s="1464">
        <f t="shared" si="4"/>
        <v>1</v>
      </c>
      <c r="AC30" s="1464">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6"/>
      <c r="M31" s="1968"/>
      <c r="N31" s="1968"/>
      <c r="O31" s="1975"/>
      <c r="P31" s="3705"/>
      <c r="Q31" s="1460">
        <f t="shared" si="11"/>
        <v>111</v>
      </c>
      <c r="R31" s="1461" t="s">
        <v>11</v>
      </c>
      <c r="S31" s="1462">
        <f t="shared" si="12"/>
        <v>100</v>
      </c>
      <c r="T31" s="1461" t="s">
        <v>11</v>
      </c>
      <c r="U31" s="1462">
        <f t="shared" si="13"/>
        <v>100</v>
      </c>
      <c r="V31" s="1461" t="s">
        <v>11</v>
      </c>
      <c r="W31" s="1462">
        <f t="shared" si="14"/>
        <v>100</v>
      </c>
      <c r="X31" s="1455"/>
      <c r="Y31" s="3705"/>
      <c r="Z31" s="1463">
        <f t="shared" si="15"/>
        <v>111</v>
      </c>
      <c r="AA31" s="1464">
        <f t="shared" si="3"/>
        <v>1</v>
      </c>
      <c r="AB31" s="1464">
        <f t="shared" si="4"/>
        <v>1</v>
      </c>
      <c r="AC31" s="1464">
        <f t="shared" si="5"/>
        <v>1</v>
      </c>
    </row>
    <row r="32" spans="1:29" ht="15">
      <c r="A32" s="2544" t="s">
        <v>2471</v>
      </c>
      <c r="B32" s="170" t="s">
        <v>707</v>
      </c>
      <c r="C32" s="3483" t="s">
        <v>3427</v>
      </c>
      <c r="D32" s="574">
        <v>100</v>
      </c>
      <c r="E32" s="3484" t="s">
        <v>3427</v>
      </c>
      <c r="F32" s="552">
        <f>SUMIF(100:100,E32,101:101)-SUMIF(100:100,C32,101:101)+100</f>
        <v>100</v>
      </c>
      <c r="G32" s="3483" t="s">
        <v>3427</v>
      </c>
      <c r="H32" s="574">
        <f>SUMIF(100:100,G32,101:101)-SUMIF(100:100,C32,101:101)+100</f>
        <v>100</v>
      </c>
      <c r="I32" s="3484" t="s">
        <v>3427</v>
      </c>
      <c r="J32" s="517">
        <f>SUMIF(100:100,I32,101:101)-SUMIF(100:100,C32,101:101)+100</f>
        <v>100</v>
      </c>
      <c r="K32" s="836"/>
      <c r="L32" s="1976"/>
      <c r="M32" s="1968"/>
      <c r="N32" s="1968"/>
      <c r="O32" s="1975"/>
      <c r="P32" s="3706" t="s">
        <v>533</v>
      </c>
      <c r="Q32" s="1460" t="str">
        <f t="shared" si="11"/>
        <v>建筑类型</v>
      </c>
      <c r="R32" s="1461" t="s">
        <v>11</v>
      </c>
      <c r="S32" s="1462">
        <f t="shared" si="12"/>
        <v>100</v>
      </c>
      <c r="T32" s="1461" t="s">
        <v>11</v>
      </c>
      <c r="U32" s="1462">
        <f t="shared" si="13"/>
        <v>100</v>
      </c>
      <c r="V32" s="1461" t="s">
        <v>11</v>
      </c>
      <c r="W32" s="1462">
        <f t="shared" si="14"/>
        <v>100</v>
      </c>
      <c r="X32" s="1455"/>
      <c r="Y32" s="3707" t="s">
        <v>533</v>
      </c>
      <c r="Z32" s="1463" t="str">
        <f t="shared" si="15"/>
        <v>建筑类型</v>
      </c>
      <c r="AA32" s="1464">
        <f t="shared" si="3"/>
        <v>1</v>
      </c>
      <c r="AB32" s="1464">
        <f t="shared" si="4"/>
        <v>1</v>
      </c>
      <c r="AC32" s="1464">
        <f t="shared" si="5"/>
        <v>1</v>
      </c>
    </row>
    <row r="33" spans="1:29" s="1247" customFormat="1" ht="15">
      <c r="A33" s="580"/>
      <c r="B33" s="504" t="s">
        <v>708</v>
      </c>
      <c r="C33" s="850">
        <f>'数据-汇总表'!E3</f>
        <v>184715.46</v>
      </c>
      <c r="D33" s="253">
        <v>100</v>
      </c>
      <c r="E33" s="511">
        <f>住宅案例!F137</f>
        <v>361115</v>
      </c>
      <c r="F33" s="835">
        <f>LOOKUP(E33,103:103,104:104)-LOOKUP(C33,103:103,104:104)+100</f>
        <v>104</v>
      </c>
      <c r="G33" s="510">
        <f>住宅案例!F138</f>
        <v>2700000</v>
      </c>
      <c r="H33" s="253">
        <f>LOOKUP(G33,103:103,104:104)-LOOKUP(C33,103:103,104:104)+100</f>
        <v>106</v>
      </c>
      <c r="I33" s="511">
        <f>住宅案例!F139</f>
        <v>44200</v>
      </c>
      <c r="J33" s="253">
        <f>LOOKUP(I33,103:103,104:104)-LOOKUP(C33,103:103,104:104)+100</f>
        <v>98</v>
      </c>
      <c r="K33" s="837"/>
      <c r="L33" s="1974"/>
      <c r="M33" s="2004"/>
      <c r="N33" s="2004"/>
      <c r="O33" s="1977"/>
      <c r="P33" s="3707"/>
      <c r="Q33" s="1489" t="str">
        <f t="shared" si="11"/>
        <v>项目建筑规模</v>
      </c>
      <c r="R33" s="1465" t="s">
        <v>11</v>
      </c>
      <c r="S33" s="1466">
        <f t="shared" si="12"/>
        <v>104</v>
      </c>
      <c r="T33" s="1465" t="s">
        <v>11</v>
      </c>
      <c r="U33" s="1466">
        <f t="shared" si="13"/>
        <v>106</v>
      </c>
      <c r="V33" s="1465" t="s">
        <v>11</v>
      </c>
      <c r="W33" s="1466">
        <f t="shared" si="14"/>
        <v>98</v>
      </c>
      <c r="X33" s="1467"/>
      <c r="Y33" s="3707"/>
      <c r="Z33" s="1468" t="str">
        <f t="shared" si="15"/>
        <v>项目建筑规模</v>
      </c>
      <c r="AA33" s="1464">
        <f t="shared" si="3"/>
        <v>0.96153846153846156</v>
      </c>
      <c r="AB33" s="1464">
        <f t="shared" si="4"/>
        <v>0.94339622641509435</v>
      </c>
      <c r="AC33" s="1464">
        <f t="shared" si="5"/>
        <v>1.0204081632653061</v>
      </c>
    </row>
    <row r="34" spans="1:29" ht="15">
      <c r="A34" s="571"/>
      <c r="B34" s="504" t="s">
        <v>709</v>
      </c>
      <c r="C34" s="3485" t="s">
        <v>3429</v>
      </c>
      <c r="D34" s="517">
        <v>100</v>
      </c>
      <c r="E34" s="3486" t="s">
        <v>3429</v>
      </c>
      <c r="F34" s="552">
        <f>SUMIF(105:105,E34,106:106)-SUMIF(105:105,C34,106:106)+100</f>
        <v>100</v>
      </c>
      <c r="G34" s="3485" t="s">
        <v>3429</v>
      </c>
      <c r="H34" s="517">
        <f>SUMIF(105:105,G34,106:106)-SUMIF(105:105,C34,106:106)+100</f>
        <v>100</v>
      </c>
      <c r="I34" s="3486" t="s">
        <v>3429</v>
      </c>
      <c r="J34" s="517">
        <f>SUMIF(105:105,I34,106:106)-SUMIF(105:105,C34,106:106)+100</f>
        <v>100</v>
      </c>
      <c r="K34" s="836"/>
      <c r="L34" s="1976"/>
      <c r="M34" s="1968"/>
      <c r="N34" s="1968"/>
      <c r="O34" s="1975"/>
      <c r="P34" s="3707"/>
      <c r="Q34" s="1460" t="str">
        <f t="shared" si="11"/>
        <v>建筑结构</v>
      </c>
      <c r="R34" s="1461" t="s">
        <v>11</v>
      </c>
      <c r="S34" s="1462">
        <f t="shared" si="12"/>
        <v>100</v>
      </c>
      <c r="T34" s="1461" t="s">
        <v>11</v>
      </c>
      <c r="U34" s="1462">
        <f t="shared" si="13"/>
        <v>100</v>
      </c>
      <c r="V34" s="1461" t="s">
        <v>11</v>
      </c>
      <c r="W34" s="1462">
        <f t="shared" si="14"/>
        <v>100</v>
      </c>
      <c r="X34" s="1455"/>
      <c r="Y34" s="3707"/>
      <c r="Z34" s="1463" t="str">
        <f t="shared" si="15"/>
        <v>建筑结构</v>
      </c>
      <c r="AA34" s="1464">
        <f t="shared" si="3"/>
        <v>1</v>
      </c>
      <c r="AB34" s="1464">
        <f t="shared" si="4"/>
        <v>1</v>
      </c>
      <c r="AC34" s="1464">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6"/>
      <c r="M35" s="1968"/>
      <c r="N35" s="1968"/>
      <c r="O35" s="1975"/>
      <c r="P35" s="3707"/>
      <c r="Q35" s="1460" t="str">
        <f t="shared" si="11"/>
        <v>建筑品质</v>
      </c>
      <c r="R35" s="1461" t="s">
        <v>11</v>
      </c>
      <c r="S35" s="1462">
        <f t="shared" si="12"/>
        <v>100</v>
      </c>
      <c r="T35" s="1461" t="s">
        <v>11</v>
      </c>
      <c r="U35" s="1462">
        <f t="shared" si="13"/>
        <v>100</v>
      </c>
      <c r="V35" s="1461" t="s">
        <v>11</v>
      </c>
      <c r="W35" s="1462">
        <f t="shared" si="14"/>
        <v>100</v>
      </c>
      <c r="X35" s="1455"/>
      <c r="Y35" s="3707"/>
      <c r="Z35" s="1463" t="str">
        <f t="shared" si="15"/>
        <v>建筑品质</v>
      </c>
      <c r="AA35" s="1464">
        <f t="shared" si="3"/>
        <v>1</v>
      </c>
      <c r="AB35" s="1464">
        <f t="shared" si="4"/>
        <v>1</v>
      </c>
      <c r="AC35" s="1464">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6"/>
      <c r="M36" s="1968"/>
      <c r="N36" s="1968"/>
      <c r="O36" s="1975"/>
      <c r="P36" s="3707"/>
      <c r="Q36" s="1460" t="str">
        <f t="shared" si="11"/>
        <v>公共部分装修</v>
      </c>
      <c r="R36" s="1461" t="s">
        <v>11</v>
      </c>
      <c r="S36" s="1462">
        <f t="shared" si="12"/>
        <v>100</v>
      </c>
      <c r="T36" s="1461" t="s">
        <v>11</v>
      </c>
      <c r="U36" s="1462">
        <f t="shared" si="13"/>
        <v>100</v>
      </c>
      <c r="V36" s="1461" t="s">
        <v>11</v>
      </c>
      <c r="W36" s="1462">
        <f t="shared" si="14"/>
        <v>100</v>
      </c>
      <c r="X36" s="1455"/>
      <c r="Y36" s="3707"/>
      <c r="Z36" s="1463" t="str">
        <f t="shared" si="15"/>
        <v>公共部分装修</v>
      </c>
      <c r="AA36" s="1464">
        <f t="shared" si="3"/>
        <v>1</v>
      </c>
      <c r="AB36" s="1464">
        <f t="shared" si="4"/>
        <v>1</v>
      </c>
      <c r="AC36" s="1464">
        <f t="shared" si="5"/>
        <v>1</v>
      </c>
    </row>
    <row r="37" spans="1:29" s="1165" customFormat="1" ht="15">
      <c r="A37" s="577"/>
      <c r="B37" s="504" t="s">
        <v>712</v>
      </c>
      <c r="C37" s="853">
        <v>1</v>
      </c>
      <c r="D37" s="253">
        <v>100</v>
      </c>
      <c r="E37" s="854">
        <v>1</v>
      </c>
      <c r="F37" s="835">
        <f>LOOKUP(E37,112:112,113:113)-LOOKUP(C37,112:112,113:113)+100</f>
        <v>100</v>
      </c>
      <c r="G37" s="855">
        <v>1</v>
      </c>
      <c r="H37" s="253">
        <f>LOOKUP(G37,112:112,113:113)-LOOKUP(C37,112:112,113:113)+100</f>
        <v>100</v>
      </c>
      <c r="I37" s="854">
        <v>1</v>
      </c>
      <c r="J37" s="253">
        <f>LOOKUP(I37,112:112,113:113)-LOOKUP(C37,112:112,113:113)+100</f>
        <v>100</v>
      </c>
      <c r="K37" s="836"/>
      <c r="L37" s="1969"/>
      <c r="M37" s="1970"/>
      <c r="N37" s="1970"/>
      <c r="O37" s="1971"/>
      <c r="P37" s="3707"/>
      <c r="Q37" s="1096" t="str">
        <f t="shared" si="11"/>
        <v>成新度</v>
      </c>
      <c r="R37" s="1456" t="s">
        <v>11</v>
      </c>
      <c r="S37" s="1457">
        <f t="shared" si="12"/>
        <v>100</v>
      </c>
      <c r="T37" s="1456" t="s">
        <v>11</v>
      </c>
      <c r="U37" s="1457">
        <f t="shared" si="13"/>
        <v>100</v>
      </c>
      <c r="V37" s="1456" t="s">
        <v>11</v>
      </c>
      <c r="W37" s="1457">
        <f t="shared" si="14"/>
        <v>100</v>
      </c>
      <c r="X37" s="1458"/>
      <c r="Y37" s="3707"/>
      <c r="Z37" s="1095" t="str">
        <f t="shared" si="15"/>
        <v>成新度</v>
      </c>
      <c r="AA37" s="1459">
        <f t="shared" si="3"/>
        <v>1</v>
      </c>
      <c r="AB37" s="1459">
        <f t="shared" si="4"/>
        <v>1</v>
      </c>
      <c r="AC37" s="1459">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6"/>
      <c r="M38" s="1968"/>
      <c r="N38" s="1968"/>
      <c r="O38" s="1975"/>
      <c r="P38" s="3707" t="s">
        <v>533</v>
      </c>
      <c r="Q38" s="1460" t="str">
        <f t="shared" si="11"/>
        <v>物业管理</v>
      </c>
      <c r="R38" s="1461" t="s">
        <v>11</v>
      </c>
      <c r="S38" s="1462">
        <f t="shared" si="12"/>
        <v>100</v>
      </c>
      <c r="T38" s="1461" t="s">
        <v>11</v>
      </c>
      <c r="U38" s="1462">
        <f t="shared" si="13"/>
        <v>100</v>
      </c>
      <c r="V38" s="1461" t="s">
        <v>11</v>
      </c>
      <c r="W38" s="1462">
        <f t="shared" si="14"/>
        <v>100</v>
      </c>
      <c r="X38" s="1455"/>
      <c r="Y38" s="3707" t="s">
        <v>533</v>
      </c>
      <c r="Z38" s="1463" t="str">
        <f t="shared" si="15"/>
        <v>物业管理</v>
      </c>
      <c r="AA38" s="1464">
        <f t="shared" si="3"/>
        <v>1</v>
      </c>
      <c r="AB38" s="1464">
        <f t="shared" si="4"/>
        <v>1</v>
      </c>
      <c r="AC38" s="1464">
        <f t="shared" si="5"/>
        <v>1</v>
      </c>
    </row>
    <row r="39" spans="1:29" ht="15">
      <c r="A39" s="571"/>
      <c r="B39" s="1762" t="s">
        <v>2281</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6"/>
      <c r="M39" s="1968"/>
      <c r="N39" s="1968"/>
      <c r="O39" s="1975"/>
      <c r="P39" s="3707"/>
      <c r="Q39" s="1460" t="str">
        <f t="shared" si="11"/>
        <v>市政基础设施</v>
      </c>
      <c r="R39" s="1461" t="s">
        <v>11</v>
      </c>
      <c r="S39" s="1462">
        <f t="shared" si="12"/>
        <v>100</v>
      </c>
      <c r="T39" s="1461" t="s">
        <v>11</v>
      </c>
      <c r="U39" s="1462">
        <f t="shared" si="13"/>
        <v>100</v>
      </c>
      <c r="V39" s="1461" t="s">
        <v>11</v>
      </c>
      <c r="W39" s="1462">
        <f t="shared" si="14"/>
        <v>100</v>
      </c>
      <c r="X39" s="1455"/>
      <c r="Y39" s="3707"/>
      <c r="Z39" s="1463" t="str">
        <f t="shared" si="15"/>
        <v>市政基础设施</v>
      </c>
      <c r="AA39" s="1464">
        <f t="shared" si="3"/>
        <v>1</v>
      </c>
      <c r="AB39" s="1464">
        <f t="shared" si="4"/>
        <v>1</v>
      </c>
      <c r="AC39" s="1464">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6"/>
      <c r="M40" s="1968"/>
      <c r="N40" s="1968"/>
      <c r="O40" s="1975"/>
      <c r="P40" s="3707"/>
      <c r="Q40" s="1460" t="str">
        <f t="shared" si="11"/>
        <v>房型</v>
      </c>
      <c r="R40" s="1461" t="s">
        <v>11</v>
      </c>
      <c r="S40" s="1462">
        <f t="shared" si="12"/>
        <v>100</v>
      </c>
      <c r="T40" s="1461" t="s">
        <v>11</v>
      </c>
      <c r="U40" s="1462">
        <f t="shared" si="13"/>
        <v>100</v>
      </c>
      <c r="V40" s="1461" t="s">
        <v>11</v>
      </c>
      <c r="W40" s="1462">
        <f t="shared" si="14"/>
        <v>100</v>
      </c>
      <c r="X40" s="1455"/>
      <c r="Y40" s="3707"/>
      <c r="Z40" s="1463" t="str">
        <f t="shared" si="15"/>
        <v>房型</v>
      </c>
      <c r="AA40" s="1464">
        <f t="shared" si="3"/>
        <v>1</v>
      </c>
      <c r="AB40" s="1464">
        <f t="shared" si="4"/>
        <v>1</v>
      </c>
      <c r="AC40" s="1464">
        <f t="shared" si="5"/>
        <v>1</v>
      </c>
    </row>
    <row r="41" spans="1:29" s="1247" customFormat="1" ht="28.5">
      <c r="A41" s="580"/>
      <c r="B41" s="504" t="s">
        <v>715</v>
      </c>
      <c r="C41" s="850"/>
      <c r="D41" s="253">
        <v>100</v>
      </c>
      <c r="E41" s="511"/>
      <c r="F41" s="835">
        <f>SUMIF(120:120,E41,121:121)-SUMIF(120:120,C41,121:121)+100</f>
        <v>100</v>
      </c>
      <c r="G41" s="510"/>
      <c r="H41" s="253">
        <f>SUMIF(120:120,G41,121:121)-SUMIF(120:120,C41,121:121)+100</f>
        <v>100</v>
      </c>
      <c r="I41" s="563"/>
      <c r="J41" s="517">
        <f>SUMIF(120:120,I41,121:121)-SUMIF(120:120,C41,121:121)+100</f>
        <v>100</v>
      </c>
      <c r="K41" s="837"/>
      <c r="L41" s="1974"/>
      <c r="M41" s="2004"/>
      <c r="N41" s="2004"/>
      <c r="O41" s="1977"/>
      <c r="P41" s="3707"/>
      <c r="Q41" s="1489" t="str">
        <f t="shared" si="11"/>
        <v>单套/主力户型建筑面积</v>
      </c>
      <c r="R41" s="1465" t="s">
        <v>11</v>
      </c>
      <c r="S41" s="1466">
        <f t="shared" si="12"/>
        <v>100</v>
      </c>
      <c r="T41" s="1465" t="s">
        <v>11</v>
      </c>
      <c r="U41" s="1466">
        <f t="shared" si="13"/>
        <v>100</v>
      </c>
      <c r="V41" s="1465" t="s">
        <v>11</v>
      </c>
      <c r="W41" s="1466">
        <f t="shared" si="14"/>
        <v>100</v>
      </c>
      <c r="X41" s="1467"/>
      <c r="Y41" s="3707"/>
      <c r="Z41" s="1468" t="str">
        <f t="shared" si="15"/>
        <v>单套/主力户型建筑面积</v>
      </c>
      <c r="AA41" s="1464">
        <f t="shared" si="3"/>
        <v>1</v>
      </c>
      <c r="AB41" s="1464">
        <f t="shared" si="4"/>
        <v>1</v>
      </c>
      <c r="AC41" s="1464">
        <f t="shared" si="5"/>
        <v>1</v>
      </c>
    </row>
    <row r="42" spans="1:29" ht="15">
      <c r="A42" s="571"/>
      <c r="B42" s="504" t="s">
        <v>716</v>
      </c>
      <c r="C42" s="3487" t="s">
        <v>3430</v>
      </c>
      <c r="D42" s="517">
        <v>100</v>
      </c>
      <c r="E42" s="3488" t="s">
        <v>3430</v>
      </c>
      <c r="F42" s="552">
        <f>SUMIF(122:122,E42,123:123)-SUMIF(122:122,C42,123:123)+100</f>
        <v>100</v>
      </c>
      <c r="G42" s="3487" t="s">
        <v>3431</v>
      </c>
      <c r="H42" s="517">
        <f>SUMIF(122:122,G42,123:123)-SUMIF(122:122,C42,123:123)+100</f>
        <v>106</v>
      </c>
      <c r="I42" s="3488" t="s">
        <v>3430</v>
      </c>
      <c r="J42" s="517">
        <f>SUMIF(122:122,I42,123:123)-SUMIF(122:122,C42,123:123)+100</f>
        <v>100</v>
      </c>
      <c r="K42" s="836">
        <v>2</v>
      </c>
      <c r="L42" s="1976"/>
      <c r="M42" s="1968"/>
      <c r="N42" s="1968"/>
      <c r="O42" s="1975"/>
      <c r="P42" s="3707"/>
      <c r="Q42" s="1460" t="str">
        <f t="shared" si="11"/>
        <v>内部装修</v>
      </c>
      <c r="R42" s="1461" t="s">
        <v>11</v>
      </c>
      <c r="S42" s="1462">
        <f t="shared" si="12"/>
        <v>100</v>
      </c>
      <c r="T42" s="1461" t="s">
        <v>11</v>
      </c>
      <c r="U42" s="1462">
        <f t="shared" si="13"/>
        <v>106</v>
      </c>
      <c r="V42" s="1461" t="s">
        <v>11</v>
      </c>
      <c r="W42" s="1462">
        <f t="shared" si="14"/>
        <v>100</v>
      </c>
      <c r="X42" s="1455"/>
      <c r="Y42" s="3707"/>
      <c r="Z42" s="1463" t="str">
        <f t="shared" si="15"/>
        <v>内部装修</v>
      </c>
      <c r="AA42" s="1464">
        <f t="shared" si="3"/>
        <v>1</v>
      </c>
      <c r="AB42" s="1464">
        <f t="shared" si="4"/>
        <v>0.94339622641509435</v>
      </c>
      <c r="AC42" s="1464">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6"/>
      <c r="M43" s="1968"/>
      <c r="N43" s="1968"/>
      <c r="O43" s="1975"/>
      <c r="P43" s="3707"/>
      <c r="Q43" s="1460" t="str">
        <f t="shared" si="11"/>
        <v>内部装修维护情况</v>
      </c>
      <c r="R43" s="1461" t="s">
        <v>11</v>
      </c>
      <c r="S43" s="1462">
        <f t="shared" si="12"/>
        <v>100</v>
      </c>
      <c r="T43" s="1461" t="s">
        <v>11</v>
      </c>
      <c r="U43" s="1462">
        <f t="shared" si="13"/>
        <v>100</v>
      </c>
      <c r="V43" s="1461" t="s">
        <v>11</v>
      </c>
      <c r="W43" s="1462">
        <f t="shared" si="14"/>
        <v>100</v>
      </c>
      <c r="X43" s="1455"/>
      <c r="Y43" s="3707"/>
      <c r="Z43" s="1463" t="str">
        <f t="shared" si="15"/>
        <v>内部装修维护情况</v>
      </c>
      <c r="AA43" s="1464">
        <f t="shared" si="3"/>
        <v>1</v>
      </c>
      <c r="AB43" s="1464">
        <f t="shared" si="4"/>
        <v>1</v>
      </c>
      <c r="AC43" s="1464">
        <f t="shared" si="5"/>
        <v>1</v>
      </c>
    </row>
    <row r="44" spans="1:29" s="1165" customFormat="1" ht="15">
      <c r="A44" s="577"/>
      <c r="B44" s="849">
        <v>111</v>
      </c>
      <c r="C44" s="850"/>
      <c r="D44" s="253">
        <v>100</v>
      </c>
      <c r="E44" s="850"/>
      <c r="F44" s="835">
        <f>SUMIF(126:126,E44,127:127)-SUMIF(126:126,C44,127:127)+100</f>
        <v>100</v>
      </c>
      <c r="G44" s="850"/>
      <c r="H44" s="253">
        <f>SUMIF(126:126,G44,127:127)-SUMIF(126:126,C44,127:127)+100</f>
        <v>100</v>
      </c>
      <c r="I44" s="850"/>
      <c r="J44" s="253">
        <f>SUMIF(126:126,I44,127:127)-SUMIF(126:126,C44,127:127)+100</f>
        <v>100</v>
      </c>
      <c r="K44" s="837"/>
      <c r="L44" s="1969"/>
      <c r="M44" s="1970"/>
      <c r="N44" s="1970"/>
      <c r="O44" s="1971"/>
      <c r="P44" s="3707"/>
      <c r="Q44" s="1096">
        <f t="shared" si="11"/>
        <v>111</v>
      </c>
      <c r="R44" s="1456" t="s">
        <v>11</v>
      </c>
      <c r="S44" s="1457">
        <f t="shared" si="12"/>
        <v>100</v>
      </c>
      <c r="T44" s="1456" t="s">
        <v>11</v>
      </c>
      <c r="U44" s="1457">
        <f t="shared" si="13"/>
        <v>100</v>
      </c>
      <c r="V44" s="1456" t="s">
        <v>11</v>
      </c>
      <c r="W44" s="1457">
        <f t="shared" si="14"/>
        <v>100</v>
      </c>
      <c r="X44" s="1458"/>
      <c r="Y44" s="3707"/>
      <c r="Z44" s="1095">
        <f t="shared" si="15"/>
        <v>111</v>
      </c>
      <c r="AA44" s="1459">
        <f t="shared" si="3"/>
        <v>1</v>
      </c>
      <c r="AB44" s="1459">
        <f t="shared" si="4"/>
        <v>1</v>
      </c>
      <c r="AC44" s="1459">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6"/>
      <c r="M45" s="1968"/>
      <c r="N45" s="1968"/>
      <c r="O45" s="1975"/>
      <c r="P45" s="3707"/>
      <c r="Q45" s="1460">
        <f t="shared" si="11"/>
        <v>111</v>
      </c>
      <c r="R45" s="1461" t="s">
        <v>11</v>
      </c>
      <c r="S45" s="1462">
        <f t="shared" si="12"/>
        <v>100</v>
      </c>
      <c r="T45" s="1461" t="s">
        <v>11</v>
      </c>
      <c r="U45" s="1462">
        <f t="shared" si="13"/>
        <v>100</v>
      </c>
      <c r="V45" s="1461" t="s">
        <v>11</v>
      </c>
      <c r="W45" s="1462">
        <f t="shared" si="14"/>
        <v>100</v>
      </c>
      <c r="X45" s="1455"/>
      <c r="Y45" s="3707"/>
      <c r="Z45" s="1463">
        <f t="shared" si="15"/>
        <v>111</v>
      </c>
      <c r="AA45" s="1464">
        <f t="shared" si="3"/>
        <v>1</v>
      </c>
      <c r="AB45" s="1464">
        <f t="shared" si="4"/>
        <v>1</v>
      </c>
      <c r="AC45" s="1464">
        <f t="shared" si="5"/>
        <v>1</v>
      </c>
    </row>
    <row r="46" spans="1:29" ht="15.75" thickBot="1">
      <c r="A46" s="856"/>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6"/>
      <c r="M46" s="1968"/>
      <c r="N46" s="1968"/>
      <c r="O46" s="1975"/>
      <c r="P46" s="3802"/>
      <c r="Q46" s="1460">
        <f t="shared" si="11"/>
        <v>111</v>
      </c>
      <c r="R46" s="1461" t="s">
        <v>10</v>
      </c>
      <c r="S46" s="1462">
        <f t="shared" si="12"/>
        <v>100</v>
      </c>
      <c r="T46" s="1461" t="s">
        <v>10</v>
      </c>
      <c r="U46" s="1462">
        <f t="shared" si="13"/>
        <v>100</v>
      </c>
      <c r="V46" s="1461" t="s">
        <v>10</v>
      </c>
      <c r="W46" s="1462">
        <f t="shared" si="14"/>
        <v>100</v>
      </c>
      <c r="X46" s="1455"/>
      <c r="Y46" s="3802"/>
      <c r="Z46" s="1463">
        <f t="shared" si="15"/>
        <v>111</v>
      </c>
      <c r="AA46" s="1464">
        <f t="shared" si="3"/>
        <v>1</v>
      </c>
      <c r="AB46" s="1464">
        <f t="shared" si="4"/>
        <v>1</v>
      </c>
      <c r="AC46" s="1464">
        <f t="shared" si="5"/>
        <v>1</v>
      </c>
    </row>
    <row r="47" spans="1:29" ht="15">
      <c r="A47" s="584" t="s">
        <v>718</v>
      </c>
      <c r="B47" s="857"/>
      <c r="C47" s="2390" t="s">
        <v>9</v>
      </c>
      <c r="D47" s="2391"/>
      <c r="E47" s="2392">
        <f>住宅案例!G137</f>
        <v>11825</v>
      </c>
      <c r="F47" s="2393"/>
      <c r="G47" s="2394">
        <f>住宅案例!G138</f>
        <v>12817</v>
      </c>
      <c r="H47" s="2395"/>
      <c r="I47" s="2392">
        <f>住宅案例!G139</f>
        <v>11629</v>
      </c>
      <c r="J47" s="2395"/>
      <c r="K47" s="1490"/>
      <c r="L47" s="1978"/>
      <c r="M47" s="1979"/>
      <c r="N47" s="1968"/>
      <c r="O47" s="1979"/>
      <c r="P47" s="3671" t="str">
        <f>A47</f>
        <v>成交单价（元/平方米）</v>
      </c>
      <c r="Q47" s="3671"/>
      <c r="R47" s="3801">
        <f>E47</f>
        <v>11825</v>
      </c>
      <c r="S47" s="3801"/>
      <c r="T47" s="3801">
        <f>G47</f>
        <v>12817</v>
      </c>
      <c r="U47" s="3801"/>
      <c r="V47" s="3801">
        <f>I47</f>
        <v>11629</v>
      </c>
      <c r="W47" s="3801"/>
      <c r="X47" s="1450"/>
      <c r="Y47" s="1469"/>
      <c r="Z47" s="1450"/>
      <c r="AA47" s="1450"/>
      <c r="AB47" s="1450"/>
      <c r="AC47" s="1450"/>
    </row>
    <row r="48" spans="1:29" ht="15.75" thickBot="1">
      <c r="A48" s="592" t="s">
        <v>2476</v>
      </c>
      <c r="B48" s="858"/>
      <c r="C48" s="2396">
        <f>R49</f>
        <v>11631</v>
      </c>
      <c r="D48" s="2919" t="s">
        <v>2701</v>
      </c>
      <c r="E48" s="2397">
        <f>R48</f>
        <v>11602</v>
      </c>
      <c r="F48" s="2920"/>
      <c r="G48" s="2396">
        <f>T48</f>
        <v>11183</v>
      </c>
      <c r="H48" s="2920"/>
      <c r="I48" s="2397">
        <f>V48</f>
        <v>12108</v>
      </c>
      <c r="J48" s="2920"/>
      <c r="K48" s="2928">
        <f>F48+H48+J48</f>
        <v>0</v>
      </c>
      <c r="L48" s="1978"/>
      <c r="M48" s="1979"/>
      <c r="N48" s="1979"/>
      <c r="O48" s="1979"/>
      <c r="P48" s="3671" t="str">
        <f>A48</f>
        <v>比较价格（元/平方米）</v>
      </c>
      <c r="Q48" s="3671"/>
      <c r="R48" s="3801">
        <f>IF(F1="售价",ROUND(PRODUCT(R47,AA7:AA46),0),ROUND(PRODUCT(R47,AA7:AA46),1))</f>
        <v>11602</v>
      </c>
      <c r="S48" s="3801"/>
      <c r="T48" s="3801">
        <f>IF(F1="售价",ROUND(PRODUCT(T47,AB7:AB46),0),ROUND(PRODUCT(T47,AB7:AB46),1))</f>
        <v>11183</v>
      </c>
      <c r="U48" s="3801"/>
      <c r="V48" s="3801">
        <f>IF(F1="售价",ROUND(PRODUCT(V47,AC7:AC46),0),ROUND(PRODUCT(V47,AC7:AC46),1))</f>
        <v>12108</v>
      </c>
      <c r="W48" s="3801"/>
      <c r="X48" s="1450"/>
      <c r="Y48" s="1450"/>
      <c r="Z48" s="1450"/>
      <c r="AA48" s="1450"/>
      <c r="AB48" s="1450"/>
      <c r="AC48" s="1450"/>
    </row>
    <row r="49" spans="1:29" ht="15.75" thickBot="1">
      <c r="A49" s="596" t="s">
        <v>2636</v>
      </c>
      <c r="B49" s="597"/>
      <c r="C49" s="2398">
        <f>R49</f>
        <v>11631</v>
      </c>
      <c r="D49" s="2398"/>
      <c r="E49" s="2398"/>
      <c r="F49" s="2398"/>
      <c r="G49" s="2398"/>
      <c r="H49" s="2398"/>
      <c r="I49" s="2398"/>
      <c r="J49" s="2398"/>
      <c r="K49" s="1491"/>
      <c r="L49" s="1978"/>
      <c r="M49" s="1979"/>
      <c r="N49" s="1979"/>
      <c r="O49" s="1979"/>
      <c r="P49" s="3708" t="str">
        <f>A49</f>
        <v>估价对象XX用房的比较价格（楼面单价，元/平方米）</v>
      </c>
      <c r="Q49" s="3709"/>
      <c r="R49" s="3800">
        <f>IF(F1="售价",ROUND(IF(D48="简单平均",AVERAGE(R48:V48),R48*F48+T48*H48+V48*J48),0),ROUND(IF(D48="简单平均",AVERAGE(R48:V48),R48*F48+T48*H48+V48*J48),1))</f>
        <v>11631</v>
      </c>
      <c r="S49" s="3800"/>
      <c r="T49" s="3800"/>
      <c r="U49" s="3800"/>
      <c r="V49" s="3800"/>
      <c r="W49" s="3800"/>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1.922082399586289E-2</v>
      </c>
      <c r="F52" s="602" t="str">
        <f>IF(OR(E52&gt;=0.3,E52&lt;=-0.3),"超过30%","")</f>
        <v/>
      </c>
      <c r="G52" s="601">
        <f>IF(G47&lt;G48,G48/G47-1,G47/G48-1)</f>
        <v>0.14611463829026206</v>
      </c>
      <c r="H52" s="602" t="str">
        <f>IF(OR(G52&gt;=0.3,G52&lt;=-0.3),"超过30%","")</f>
        <v/>
      </c>
      <c r="I52" s="601">
        <f>IF(I47&lt;I48,I48/I47-1,I47/I48-1)</f>
        <v>4.1190128127956083E-2</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3.7467584726817549E-2</v>
      </c>
      <c r="F53" s="602" t="str">
        <f>IF(OR(E53&gt;=0.2,E53&lt;=-0.2),"超过20%","")</f>
        <v/>
      </c>
      <c r="G53" s="601">
        <f>IF(G48&lt;I48,I48/G48-1,G48/I48-1)</f>
        <v>8.2714835017437149E-2</v>
      </c>
      <c r="H53" s="602" t="str">
        <f>IF(OR(G53&gt;=0.2,G53&lt;=-0.2),"超过20%","")</f>
        <v/>
      </c>
      <c r="I53" s="601">
        <f>IF(I48&lt;E48,E48/I48-1,I48/E48-1)</f>
        <v>4.3613170143078861E-2</v>
      </c>
      <c r="J53" s="602" t="str">
        <f>IF(OR(I53&gt;=0.2,I53&lt;=-0.2),"超过20%","")</f>
        <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8.3890063424947092E-2</v>
      </c>
      <c r="F54" s="602" t="str">
        <f>IF(OR(E54&gt;=0.3,E54&lt;=-0.3),"超过30%","")</f>
        <v/>
      </c>
      <c r="G54" s="601">
        <f>IF(G47&lt;I47,I47/G47-1,G47/I47-1)</f>
        <v>0.10215839711067165</v>
      </c>
      <c r="H54" s="602" t="str">
        <f>IF(OR(G54&gt;=0.3,G54&lt;=-0.3),"超过30%","")</f>
        <v/>
      </c>
      <c r="I54" s="601">
        <f>IF(I47&lt;E47,E47/I47-1,I47/E47-1)</f>
        <v>1.6854415684925517E-2</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41" t="str">
        <f>YEAR(C7)&amp;"-"&amp;MONTH(C7)</f>
        <v>2022-11</v>
      </c>
      <c r="D58" s="2441">
        <f>EDATE(C58,-1)</f>
        <v>44835</v>
      </c>
      <c r="E58" s="2441">
        <f t="shared" ref="E58:O58" si="16">EDATE(D58,-1)</f>
        <v>44805</v>
      </c>
      <c r="F58" s="2441">
        <f t="shared" si="16"/>
        <v>44774</v>
      </c>
      <c r="G58" s="2441">
        <f t="shared" si="16"/>
        <v>44743</v>
      </c>
      <c r="H58" s="2441">
        <f t="shared" si="16"/>
        <v>44713</v>
      </c>
      <c r="I58" s="2441">
        <f t="shared" si="16"/>
        <v>44682</v>
      </c>
      <c r="J58" s="2441">
        <f t="shared" si="16"/>
        <v>44652</v>
      </c>
      <c r="K58" s="2441">
        <f t="shared" si="16"/>
        <v>44621</v>
      </c>
      <c r="L58" s="2441">
        <f t="shared" si="16"/>
        <v>44593</v>
      </c>
      <c r="M58" s="2441">
        <f t="shared" si="16"/>
        <v>44562</v>
      </c>
      <c r="N58" s="2441">
        <f t="shared" si="16"/>
        <v>44531</v>
      </c>
      <c r="O58" s="2441">
        <f t="shared" si="16"/>
        <v>44501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5"/>
      <c r="N59" s="625"/>
      <c r="O59" s="625"/>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857"/>
    </row>
    <row r="63" spans="1:29">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v>
      </c>
      <c r="J67" s="657" t="str">
        <f t="shared" si="18"/>
        <v>（含）-</v>
      </c>
      <c r="K67" s="657" t="str">
        <f t="shared" si="18"/>
        <v>（含）-</v>
      </c>
      <c r="L67" s="657" t="str">
        <f t="shared" si="18"/>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67"/>
      <c r="E73" s="667"/>
      <c r="F73" s="667"/>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1763" t="s">
        <v>2048</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
        <v>728</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道路级别</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67"/>
      <c r="D91" s="667"/>
      <c r="E91" s="667"/>
      <c r="F91" s="667"/>
      <c r="G91" s="667"/>
      <c r="H91" s="668"/>
      <c r="I91" s="668"/>
      <c r="J91" s="668"/>
      <c r="K91" s="668"/>
      <c r="L91" s="668"/>
      <c r="M91" s="669"/>
      <c r="N91" s="2000"/>
      <c r="O91" s="2000"/>
      <c r="P91" s="2001"/>
      <c r="Q91" s="2002"/>
      <c r="R91" s="2003"/>
      <c r="S91" s="2003"/>
      <c r="T91" s="2003"/>
      <c r="U91" s="2003"/>
      <c r="V91" s="2003"/>
      <c r="W91" s="2003"/>
      <c r="X91" s="2003"/>
      <c r="Y91" s="2003"/>
      <c r="Z91" s="2003"/>
      <c r="AA91" s="2003"/>
      <c r="AB91" s="2003"/>
      <c r="AC91" s="2003"/>
    </row>
    <row r="92" spans="1:29" ht="15.75" thickTop="1">
      <c r="A92" s="644"/>
      <c r="B92" s="648">
        <f>B28</f>
        <v>111</v>
      </c>
      <c r="C92" s="663"/>
      <c r="D92" s="663"/>
      <c r="E92" s="663"/>
      <c r="F92" s="663"/>
      <c r="G92" s="693"/>
      <c r="H92" s="693"/>
      <c r="I92" s="693"/>
      <c r="J92" s="693"/>
      <c r="K92" s="694"/>
      <c r="L92" s="695"/>
      <c r="M92" s="696"/>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67"/>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67"/>
      <c r="E95" s="667"/>
      <c r="F95" s="667"/>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75"/>
      <c r="D97" s="675"/>
      <c r="E97" s="675"/>
      <c r="F97" s="675"/>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97"/>
      <c r="D98" s="697"/>
      <c r="E98" s="697"/>
      <c r="F98" s="697"/>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701"/>
      <c r="D99" s="701"/>
      <c r="E99" s="701"/>
      <c r="F99" s="701"/>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729</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4"/>
      <c r="B102" s="648" t="s">
        <v>730</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v>
      </c>
      <c r="H102" s="683" t="str">
        <f t="shared" si="23"/>
        <v>(含)-</v>
      </c>
      <c r="I102" s="683" t="str">
        <f t="shared" si="23"/>
        <v>(含)-</v>
      </c>
      <c r="J102" s="683" t="str">
        <f t="shared" si="23"/>
        <v>(含)-</v>
      </c>
      <c r="K102" s="683" t="str">
        <f t="shared" si="23"/>
        <v>(含)-</v>
      </c>
      <c r="L102" s="683" t="str">
        <f t="shared" si="23"/>
        <v>(含)-</v>
      </c>
      <c r="M102" s="683"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100000</v>
      </c>
      <c r="E103" s="705">
        <v>200000</v>
      </c>
      <c r="F103" s="705">
        <v>300000</v>
      </c>
      <c r="G103" s="705">
        <v>400000</v>
      </c>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102</v>
      </c>
      <c r="E104" s="646">
        <v>104</v>
      </c>
      <c r="F104" s="646">
        <v>106</v>
      </c>
      <c r="G104" s="646">
        <v>108</v>
      </c>
      <c r="H104" s="646"/>
      <c r="I104" s="646"/>
      <c r="J104" s="646"/>
      <c r="K104" s="646"/>
      <c r="L104" s="646"/>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732</v>
      </c>
      <c r="C107" s="693"/>
      <c r="D107" s="693"/>
      <c r="E107" s="69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733</v>
      </c>
      <c r="C109" s="663"/>
      <c r="D109" s="663"/>
      <c r="E109" s="66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1999"/>
      <c r="O110" s="1999"/>
      <c r="P110" s="1998"/>
      <c r="Q110" s="1991"/>
      <c r="R110" s="1979"/>
      <c r="S110" s="1979"/>
      <c r="T110" s="1979"/>
      <c r="U110" s="1979"/>
      <c r="V110" s="1979"/>
      <c r="W110" s="1979"/>
      <c r="X110" s="1979"/>
      <c r="Y110" s="1979"/>
      <c r="Z110" s="1979"/>
      <c r="AA110" s="1979"/>
      <c r="AB110" s="1979"/>
      <c r="AC110" s="1979"/>
    </row>
    <row r="111" spans="1:29" s="1247"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0"/>
      <c r="O111" s="2000"/>
      <c r="P111" s="2001"/>
      <c r="Q111" s="2002"/>
      <c r="R111" s="2003"/>
      <c r="S111" s="2003"/>
      <c r="T111" s="2003"/>
      <c r="U111" s="2003"/>
      <c r="V111" s="2003"/>
      <c r="W111" s="2003"/>
      <c r="X111" s="2003"/>
      <c r="Y111" s="2003"/>
      <c r="Z111" s="2003"/>
      <c r="AA111" s="2003"/>
      <c r="AB111" s="2003"/>
      <c r="AC111" s="2003"/>
    </row>
    <row r="112" spans="1:29" s="1247" customFormat="1">
      <c r="A112" s="703"/>
      <c r="B112" s="656"/>
      <c r="C112" s="864">
        <v>0.5</v>
      </c>
      <c r="D112" s="864">
        <v>0.6</v>
      </c>
      <c r="E112" s="864">
        <v>0.7</v>
      </c>
      <c r="F112" s="864">
        <v>0.8</v>
      </c>
      <c r="G112" s="864">
        <v>0.9</v>
      </c>
      <c r="H112" s="864">
        <v>1.0001</v>
      </c>
      <c r="I112" s="864"/>
      <c r="J112" s="865"/>
      <c r="K112" s="865"/>
      <c r="L112" s="866"/>
      <c r="M112" s="867"/>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735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1763" t="s">
        <v>2273</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736</v>
      </c>
      <c r="C118" s="693"/>
      <c r="D118" s="693"/>
      <c r="E118" s="693"/>
      <c r="F118" s="693"/>
      <c r="G118" s="693"/>
      <c r="H118" s="693"/>
      <c r="I118" s="693"/>
      <c r="J118" s="693"/>
      <c r="K118" s="694"/>
      <c r="L118" s="695"/>
      <c r="M118" s="69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1999"/>
      <c r="O119" s="1999"/>
      <c r="P119" s="1998"/>
      <c r="Q119" s="1991"/>
      <c r="R119" s="1979"/>
      <c r="S119" s="1979"/>
      <c r="T119" s="1979"/>
      <c r="U119" s="1979"/>
      <c r="V119" s="1979"/>
      <c r="W119" s="1979"/>
      <c r="X119" s="1979"/>
      <c r="Y119" s="1979"/>
      <c r="Z119" s="1979"/>
      <c r="AA119" s="1979"/>
      <c r="AB119" s="1979"/>
      <c r="AC119" s="1979"/>
    </row>
    <row r="120" spans="1:29" s="1247" customFormat="1" ht="28.5" thickTop="1">
      <c r="A120" s="703"/>
      <c r="B120" s="648" t="s">
        <v>715</v>
      </c>
      <c r="C120" s="663"/>
      <c r="D120" s="663"/>
      <c r="E120" s="663"/>
      <c r="F120" s="663"/>
      <c r="G120" s="663"/>
      <c r="H120" s="663"/>
      <c r="I120" s="663"/>
      <c r="J120" s="663"/>
      <c r="K120" s="663"/>
      <c r="L120" s="860"/>
      <c r="M120" s="861"/>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67"/>
      <c r="D121" s="646"/>
      <c r="E121" s="646"/>
      <c r="F121" s="646"/>
      <c r="G121" s="646"/>
      <c r="H121" s="646"/>
      <c r="I121" s="646"/>
      <c r="J121" s="646"/>
      <c r="K121" s="646"/>
      <c r="L121" s="646"/>
      <c r="M121" s="646"/>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3489" t="s">
        <v>3431</v>
      </c>
      <c r="D122" s="3489" t="s">
        <v>3432</v>
      </c>
      <c r="E122" s="3489" t="s">
        <v>3433</v>
      </c>
      <c r="F122" s="3477" t="s">
        <v>3430</v>
      </c>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98</v>
      </c>
      <c r="E123" s="654">
        <f t="shared" si="29"/>
        <v>96</v>
      </c>
      <c r="F123" s="654">
        <f t="shared" si="29"/>
        <v>94</v>
      </c>
      <c r="G123" s="654">
        <f t="shared" si="29"/>
        <v>92</v>
      </c>
      <c r="H123" s="654">
        <f t="shared" si="29"/>
        <v>90</v>
      </c>
      <c r="I123" s="654">
        <f t="shared" si="29"/>
        <v>88</v>
      </c>
      <c r="J123" s="654">
        <f t="shared" si="29"/>
        <v>86</v>
      </c>
      <c r="K123" s="654">
        <f t="shared" si="29"/>
        <v>84</v>
      </c>
      <c r="L123" s="654">
        <f t="shared" si="29"/>
        <v>82</v>
      </c>
      <c r="M123" s="654">
        <f t="shared" si="29"/>
        <v>80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2049</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2050</v>
      </c>
      <c r="C137" s="1786"/>
      <c r="D137" s="1786"/>
      <c r="E137" s="1786"/>
      <c r="F137" s="1786"/>
      <c r="G137" s="1787"/>
      <c r="H137" s="1788"/>
      <c r="I137" s="1789" t="s">
        <v>2051</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2052</v>
      </c>
      <c r="D138" s="1792" t="s">
        <v>2053</v>
      </c>
      <c r="E138" s="1793" t="s">
        <v>2054</v>
      </c>
      <c r="F138" s="1794" t="s">
        <v>2055</v>
      </c>
      <c r="G138" s="1792" t="s">
        <v>2056</v>
      </c>
      <c r="H138" s="1795" t="s">
        <v>2057</v>
      </c>
      <c r="I138" s="1796"/>
      <c r="J138" s="1792" t="s">
        <v>2058</v>
      </c>
      <c r="K138" s="1795" t="s">
        <v>2059</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2060</v>
      </c>
      <c r="E139" s="1766">
        <v>100</v>
      </c>
      <c r="F139" s="1767">
        <v>102.5</v>
      </c>
      <c r="G139" s="1797" t="s">
        <v>2061</v>
      </c>
      <c r="H139" s="1768">
        <v>105</v>
      </c>
      <c r="I139" s="1798" t="s">
        <v>2062</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2063</v>
      </c>
      <c r="J140" s="818">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2064</v>
      </c>
      <c r="J141" s="818">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2065</v>
      </c>
      <c r="J142" s="818">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2066</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2067</v>
      </c>
      <c r="E144" s="1772">
        <v>102</v>
      </c>
      <c r="F144" s="1778">
        <v>100</v>
      </c>
      <c r="G144" s="1801" t="s">
        <v>2067</v>
      </c>
      <c r="H144" s="1774">
        <v>105</v>
      </c>
      <c r="I144" s="1800" t="s">
        <v>2066</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2068</v>
      </c>
      <c r="C145" s="1779">
        <f>ROUND(MAX(C139:C144)/MIN(C139:C144)-1,3)</f>
        <v>7.2999999999999995E-2</v>
      </c>
      <c r="D145" s="1803"/>
      <c r="E145" s="1803"/>
      <c r="F145" s="1804" t="s">
        <v>2069</v>
      </c>
      <c r="G145" s="1805"/>
      <c r="H145" s="1806"/>
      <c r="I145" s="1807" t="s">
        <v>2066</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2077</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2078</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9" priority="19" stopIfTrue="1" operator="containsText" text="超过">
      <formula>NOT(ISERROR(SEARCH("超过",F52)))</formula>
    </cfRule>
  </conditionalFormatting>
  <conditionalFormatting sqref="J54">
    <cfRule type="containsText" dxfId="138" priority="18" stopIfTrue="1" operator="containsText" text="超过">
      <formula>NOT(ISERROR(SEARCH("超过",J54)))</formula>
    </cfRule>
  </conditionalFormatting>
  <conditionalFormatting sqref="H54">
    <cfRule type="containsText" dxfId="137" priority="17" stopIfTrue="1" operator="containsText" text="超过">
      <formula>NOT(ISERROR(SEARCH("超过",H54)))</formula>
    </cfRule>
  </conditionalFormatting>
  <conditionalFormatting sqref="F54">
    <cfRule type="containsText" dxfId="136" priority="16" stopIfTrue="1" operator="containsText" text="超过">
      <formula>NOT(ISERROR(SEARCH("超过",F54)))</formula>
    </cfRule>
  </conditionalFormatting>
  <conditionalFormatting sqref="F53 H53 J53">
    <cfRule type="containsText" dxfId="135" priority="15" stopIfTrue="1" operator="containsText" text="超过">
      <formula>NOT(ISERROR(SEARCH("超过",F53)))</formula>
    </cfRule>
  </conditionalFormatting>
  <conditionalFormatting sqref="E52">
    <cfRule type="expression" dxfId="134" priority="14" stopIfTrue="1">
      <formula>$F$52="超过30%"</formula>
    </cfRule>
  </conditionalFormatting>
  <conditionalFormatting sqref="G54">
    <cfRule type="expression" dxfId="133" priority="12" stopIfTrue="1">
      <formula>$H$54="超过30%"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31" zoomScale="80" zoomScaleNormal="60" zoomScaleSheetLayoutView="80" workbookViewId="0">
      <selection activeCell="I8" sqref="I8"/>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739</v>
      </c>
      <c r="C1" s="481" t="s">
        <v>702</v>
      </c>
      <c r="D1" s="2177" t="s">
        <v>3123</v>
      </c>
      <c r="E1" s="483"/>
      <c r="F1" s="2444" t="s">
        <v>3410</v>
      </c>
      <c r="G1" s="1485" t="s">
        <v>703</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461</v>
      </c>
      <c r="B2" s="822">
        <f>ROUND(B3*D3/10000,0)</f>
        <v>5885</v>
      </c>
      <c r="C2" s="1961"/>
      <c r="D2" s="1961"/>
      <c r="E2" s="1896"/>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502</v>
      </c>
      <c r="B3" s="487">
        <f>C49</f>
        <v>22260</v>
      </c>
      <c r="C3" s="824" t="s">
        <v>704</v>
      </c>
      <c r="D3" s="823">
        <f>SUMIF('数据-汇总表'!$C19:$C33,D1,'数据-汇总表'!$E19:$E33)</f>
        <v>2643.8</v>
      </c>
      <c r="E3" s="1896"/>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6"/>
    </row>
    <row r="4" spans="1:29" ht="15">
      <c r="A4" s="489" t="s">
        <v>504</v>
      </c>
      <c r="B4" s="490"/>
      <c r="C4" s="3677" t="s">
        <v>505</v>
      </c>
      <c r="D4" s="3678"/>
      <c r="E4" s="3716" t="s">
        <v>506</v>
      </c>
      <c r="F4" s="3717"/>
      <c r="G4" s="3677" t="s">
        <v>507</v>
      </c>
      <c r="H4" s="3678"/>
      <c r="I4" s="3677" t="s">
        <v>508</v>
      </c>
      <c r="J4" s="3678"/>
      <c r="K4" s="491" t="s">
        <v>509</v>
      </c>
      <c r="L4" s="1967"/>
      <c r="M4" s="1968"/>
      <c r="N4" s="1968"/>
      <c r="O4" s="1968"/>
      <c r="P4" s="3679" t="s">
        <v>510</v>
      </c>
      <c r="Q4" s="3680"/>
      <c r="R4" s="3685" t="s">
        <v>506</v>
      </c>
      <c r="S4" s="3686"/>
      <c r="T4" s="3685" t="s">
        <v>507</v>
      </c>
      <c r="U4" s="3686"/>
      <c r="V4" s="3672" t="s">
        <v>508</v>
      </c>
      <c r="W4" s="3672"/>
      <c r="X4" s="1455"/>
      <c r="Y4" s="3685" t="s">
        <v>510</v>
      </c>
      <c r="Z4" s="3686"/>
      <c r="AA4" s="3674" t="s">
        <v>506</v>
      </c>
      <c r="AB4" s="3672" t="s">
        <v>507</v>
      </c>
      <c r="AC4" s="3674" t="s">
        <v>508</v>
      </c>
    </row>
    <row r="5" spans="1:29" ht="15">
      <c r="A5" s="492"/>
      <c r="B5" s="493"/>
      <c r="C5" s="3693" t="s">
        <v>2630</v>
      </c>
      <c r="D5" s="3694"/>
      <c r="E5" s="3718" t="str">
        <f>商业案例!E50</f>
        <v>宏江中央广场</v>
      </c>
      <c r="F5" s="3719"/>
      <c r="G5" s="3693" t="str">
        <f>商业案例!E51</f>
        <v>盛润锦绣城</v>
      </c>
      <c r="H5" s="3694"/>
      <c r="I5" s="3693" t="str">
        <f>商业案例!E52</f>
        <v>方圆经纬花园</v>
      </c>
      <c r="J5" s="3694"/>
      <c r="K5" s="491"/>
      <c r="L5" s="1967"/>
      <c r="M5" s="1968"/>
      <c r="N5" s="1968"/>
      <c r="O5" s="1968"/>
      <c r="P5" s="3681"/>
      <c r="Q5" s="3682"/>
      <c r="R5" s="3687"/>
      <c r="S5" s="3688"/>
      <c r="T5" s="3687"/>
      <c r="U5" s="3688"/>
      <c r="V5" s="3672"/>
      <c r="W5" s="3672"/>
      <c r="X5" s="1455"/>
      <c r="Y5" s="3687"/>
      <c r="Z5" s="3688"/>
      <c r="AA5" s="3675"/>
      <c r="AB5" s="3672"/>
      <c r="AC5" s="3675"/>
    </row>
    <row r="6" spans="1:29" ht="15.75" thickBot="1">
      <c r="A6" s="494"/>
      <c r="B6" s="495"/>
      <c r="C6" s="3691" t="s">
        <v>2634</v>
      </c>
      <c r="D6" s="3692"/>
      <c r="E6" s="3714" t="s">
        <v>2634</v>
      </c>
      <c r="F6" s="3715"/>
      <c r="G6" s="3691" t="s">
        <v>2634</v>
      </c>
      <c r="H6" s="3692"/>
      <c r="I6" s="3691" t="s">
        <v>2634</v>
      </c>
      <c r="J6" s="3692"/>
      <c r="K6" s="491" t="s">
        <v>511</v>
      </c>
      <c r="L6" s="1967"/>
      <c r="M6" s="1968"/>
      <c r="N6" s="1968"/>
      <c r="O6" s="1968"/>
      <c r="P6" s="3683"/>
      <c r="Q6" s="3684"/>
      <c r="R6" s="3687"/>
      <c r="S6" s="3688"/>
      <c r="T6" s="3689"/>
      <c r="U6" s="3690"/>
      <c r="V6" s="3672"/>
      <c r="W6" s="3672"/>
      <c r="X6" s="1455"/>
      <c r="Y6" s="3689"/>
      <c r="Z6" s="3690"/>
      <c r="AA6" s="3676"/>
      <c r="AB6" s="3672"/>
      <c r="AC6" s="3676"/>
    </row>
    <row r="7" spans="1:29" s="1165" customFormat="1" ht="15.75" thickBot="1">
      <c r="A7" s="2548"/>
      <c r="B7" s="2555" t="s">
        <v>512</v>
      </c>
      <c r="C7" s="496">
        <f>'数据-取费表'!B2</f>
        <v>44895</v>
      </c>
      <c r="D7" s="497">
        <v>100</v>
      </c>
      <c r="E7" s="498">
        <v>44866</v>
      </c>
      <c r="F7" s="499">
        <f>SUMIF(58:58,YEAR(E7)&amp;"-"&amp;MONTH(E7),59:59)</f>
        <v>100</v>
      </c>
      <c r="G7" s="498">
        <f>E7</f>
        <v>44866</v>
      </c>
      <c r="H7" s="497">
        <f>SUMIF(58:58,YEAR(G7)&amp;"-"&amp;MONTH(G7),59:59)</f>
        <v>100</v>
      </c>
      <c r="I7" s="498">
        <f>E7</f>
        <v>44866</v>
      </c>
      <c r="J7" s="497">
        <f>SUMIF(58:58,YEAR(I7)&amp;"-"&amp;MONTH(I7),59:59)</f>
        <v>100</v>
      </c>
      <c r="K7" s="501"/>
      <c r="L7" s="1969"/>
      <c r="M7" s="1970"/>
      <c r="N7" s="1970"/>
      <c r="O7" s="1970"/>
      <c r="P7" s="3701" t="s">
        <v>513</v>
      </c>
      <c r="Q7" s="3703"/>
      <c r="R7" s="1456" t="s">
        <v>8</v>
      </c>
      <c r="S7" s="1457">
        <f t="shared" ref="S7:S15" si="0">F7</f>
        <v>100</v>
      </c>
      <c r="T7" s="1456" t="s">
        <v>8</v>
      </c>
      <c r="U7" s="1457">
        <f t="shared" ref="U7:U15" si="1">H7</f>
        <v>100</v>
      </c>
      <c r="V7" s="1456" t="s">
        <v>8</v>
      </c>
      <c r="W7" s="1457">
        <f t="shared" ref="W7:W15" si="2">J7</f>
        <v>100</v>
      </c>
      <c r="X7" s="1458"/>
      <c r="Y7" s="3701" t="s">
        <v>513</v>
      </c>
      <c r="Z7" s="3702"/>
      <c r="AA7" s="1459">
        <f>D7/F7</f>
        <v>1</v>
      </c>
      <c r="AB7" s="1459">
        <f>D7/H7</f>
        <v>1</v>
      </c>
      <c r="AC7" s="1459">
        <f>D7/J7</f>
        <v>1</v>
      </c>
    </row>
    <row r="8" spans="1:29" s="1165" customFormat="1" ht="15.75" thickBot="1">
      <c r="A8" s="2549"/>
      <c r="B8" s="2556" t="s">
        <v>514</v>
      </c>
      <c r="C8" s="502" t="s">
        <v>558</v>
      </c>
      <c r="D8" s="497">
        <v>100</v>
      </c>
      <c r="E8" s="3473" t="s">
        <v>3438</v>
      </c>
      <c r="F8" s="499">
        <f>SUMIF(61:61,E8,62:62)-SUMIF(61:61,C8,62:62)+100</f>
        <v>100</v>
      </c>
      <c r="G8" s="3473" t="s">
        <v>3438</v>
      </c>
      <c r="H8" s="497">
        <f>SUMIF(61:61,G8,62:62)-SUMIF(61:61,C8,62:62)+100</f>
        <v>100</v>
      </c>
      <c r="I8" s="3473" t="s">
        <v>3439</v>
      </c>
      <c r="J8" s="497">
        <f>SUMIF(61:61,I8,62:62)-SUMIF(61:61,C8,62:62)+100</f>
        <v>100</v>
      </c>
      <c r="K8" s="501"/>
      <c r="L8" s="1969"/>
      <c r="M8" s="1970"/>
      <c r="N8" s="1970"/>
      <c r="O8" s="1970"/>
      <c r="P8" s="3701" t="s">
        <v>516</v>
      </c>
      <c r="Q8" s="3702"/>
      <c r="R8" s="1456" t="s">
        <v>8</v>
      </c>
      <c r="S8" s="1457">
        <f t="shared" si="0"/>
        <v>100</v>
      </c>
      <c r="T8" s="1456" t="s">
        <v>8</v>
      </c>
      <c r="U8" s="1457">
        <f t="shared" si="1"/>
        <v>100</v>
      </c>
      <c r="V8" s="1456" t="s">
        <v>8</v>
      </c>
      <c r="W8" s="1457">
        <f t="shared" si="2"/>
        <v>100</v>
      </c>
      <c r="X8" s="1458"/>
      <c r="Y8" s="3701" t="s">
        <v>516</v>
      </c>
      <c r="Z8" s="3702"/>
      <c r="AA8" s="1459">
        <f t="shared" ref="AA8:AA46" si="3">D8/F8</f>
        <v>1</v>
      </c>
      <c r="AB8" s="1459">
        <f t="shared" ref="AB8:AB46" si="4">D8/H8</f>
        <v>1</v>
      </c>
      <c r="AC8" s="1459">
        <f t="shared" ref="AC8:AC46" si="5">D8/J8</f>
        <v>1</v>
      </c>
    </row>
    <row r="9" spans="1:29" s="1165" customFormat="1" ht="15">
      <c r="A9" s="2550"/>
      <c r="B9" s="2557" t="s">
        <v>2472</v>
      </c>
      <c r="C9" s="3490" t="s">
        <v>3440</v>
      </c>
      <c r="D9" s="252">
        <v>100</v>
      </c>
      <c r="E9" s="3491" t="s">
        <v>3440</v>
      </c>
      <c r="F9" s="252">
        <f>SUMIF(63:63,E9,64:64)-SUMIF(63:63,C9,64:64)+100</f>
        <v>100</v>
      </c>
      <c r="G9" s="3492" t="s">
        <v>3440</v>
      </c>
      <c r="H9" s="252">
        <f>SUMIF(63:63,G9,64:64)-SUMIF(63:63,C9,64:64)+100</f>
        <v>100</v>
      </c>
      <c r="I9" s="3492" t="s">
        <v>3440</v>
      </c>
      <c r="J9" s="252">
        <f>SUMIF(63:63,I9,64:64)-SUMIF(63:63,C9,64:64)+100</f>
        <v>100</v>
      </c>
      <c r="K9" s="501"/>
      <c r="L9" s="1969"/>
      <c r="M9" s="1970"/>
      <c r="N9" s="1970"/>
      <c r="O9" s="1971"/>
      <c r="P9" s="3671" t="s">
        <v>518</v>
      </c>
      <c r="Q9" s="1096" t="str">
        <f t="shared" ref="Q9:Q15" si="6">B9</f>
        <v>用途</v>
      </c>
      <c r="R9" s="1456" t="s">
        <v>8</v>
      </c>
      <c r="S9" s="1457">
        <f t="shared" si="0"/>
        <v>100</v>
      </c>
      <c r="T9" s="1456" t="s">
        <v>8</v>
      </c>
      <c r="U9" s="1457">
        <f t="shared" si="1"/>
        <v>100</v>
      </c>
      <c r="V9" s="1456" t="s">
        <v>8</v>
      </c>
      <c r="W9" s="1457">
        <f t="shared" si="2"/>
        <v>100</v>
      </c>
      <c r="X9" s="1458"/>
      <c r="Y9" s="3619"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SUMIF(65:65,E10,66:66)-SUMIF(65:65,C10,66:66)+100</f>
        <v>100</v>
      </c>
      <c r="G10" s="834"/>
      <c r="H10" s="253">
        <f>SUMIF(65:65,G10,66:66)-SUMIF(65:65,C10,66:66)+100</f>
        <v>100</v>
      </c>
      <c r="I10" s="833"/>
      <c r="J10" s="253">
        <f>SUMIF(65:65,I10,66:66)-SUMIF(65:65,C10,66:66)+100</f>
        <v>100</v>
      </c>
      <c r="K10" s="561"/>
      <c r="L10" s="1972"/>
      <c r="M10" s="2011"/>
      <c r="N10" s="2011"/>
      <c r="O10" s="1973"/>
      <c r="P10" s="3671"/>
      <c r="Q10" s="1096" t="str">
        <f t="shared" si="6"/>
        <v>土地使用年限（年）</v>
      </c>
      <c r="R10" s="1456" t="s">
        <v>8</v>
      </c>
      <c r="S10" s="1457">
        <f t="shared" si="0"/>
        <v>100</v>
      </c>
      <c r="T10" s="1456" t="s">
        <v>8</v>
      </c>
      <c r="U10" s="1457">
        <f t="shared" si="1"/>
        <v>100</v>
      </c>
      <c r="V10" s="1456" t="s">
        <v>8</v>
      </c>
      <c r="W10" s="1457">
        <f t="shared" si="2"/>
        <v>100</v>
      </c>
      <c r="X10" s="1458"/>
      <c r="Y10" s="3619"/>
      <c r="Z10" s="1095" t="str">
        <f t="shared" si="7"/>
        <v>土地使用年限（年）</v>
      </c>
      <c r="AA10" s="1459">
        <f t="shared" si="3"/>
        <v>1</v>
      </c>
      <c r="AB10" s="1459">
        <f t="shared" si="4"/>
        <v>1</v>
      </c>
      <c r="AC10" s="1459">
        <f t="shared" si="5"/>
        <v>1</v>
      </c>
    </row>
    <row r="11" spans="1:29" ht="15">
      <c r="A11" s="2552"/>
      <c r="B11" s="2556" t="s">
        <v>2474</v>
      </c>
      <c r="C11" s="510">
        <f>'数据-汇总表'!I6</f>
        <v>5.65</v>
      </c>
      <c r="D11" s="253">
        <v>100</v>
      </c>
      <c r="E11" s="510">
        <v>4.2</v>
      </c>
      <c r="F11" s="253">
        <f>LOOKUP(E11,68:68,69:69)-LOOKUP(C11,68:68,69:69)+100</f>
        <v>102</v>
      </c>
      <c r="G11" s="511">
        <v>3.5</v>
      </c>
      <c r="H11" s="253">
        <f>LOOKUP(G11,68:68,69:69)-LOOKUP(C11,68:68,69:69)+100</f>
        <v>104</v>
      </c>
      <c r="I11" s="510">
        <v>3.4</v>
      </c>
      <c r="J11" s="253">
        <f>LOOKUP(I11,68:68,69:69)-LOOKUP(C11,68:68,69:69)+100</f>
        <v>104</v>
      </c>
      <c r="K11" s="561">
        <v>2</v>
      </c>
      <c r="L11" s="1974"/>
      <c r="M11" s="1968"/>
      <c r="N11" s="1968"/>
      <c r="O11" s="1975"/>
      <c r="P11" s="3671"/>
      <c r="Q11" s="1096" t="str">
        <f t="shared" si="6"/>
        <v>容积率</v>
      </c>
      <c r="R11" s="1456" t="s">
        <v>8</v>
      </c>
      <c r="S11" s="1457">
        <f t="shared" si="0"/>
        <v>102</v>
      </c>
      <c r="T11" s="1456" t="s">
        <v>8</v>
      </c>
      <c r="U11" s="1457">
        <f t="shared" si="1"/>
        <v>104</v>
      </c>
      <c r="V11" s="1456" t="s">
        <v>8</v>
      </c>
      <c r="W11" s="1457">
        <f t="shared" si="2"/>
        <v>104</v>
      </c>
      <c r="X11" s="1458"/>
      <c r="Y11" s="3619"/>
      <c r="Z11" s="1095" t="str">
        <f t="shared" si="7"/>
        <v>容积率</v>
      </c>
      <c r="AA11" s="1459">
        <f t="shared" si="3"/>
        <v>0.98039215686274506</v>
      </c>
      <c r="AB11" s="1459">
        <f t="shared" si="4"/>
        <v>0.96153846153846156</v>
      </c>
      <c r="AC11" s="1459">
        <f t="shared" si="5"/>
        <v>0.96153846153846156</v>
      </c>
    </row>
    <row r="12" spans="1:29" s="1165" customFormat="1" ht="15">
      <c r="A12" s="2553"/>
      <c r="B12" s="2559">
        <v>111</v>
      </c>
      <c r="C12" s="505"/>
      <c r="D12" s="515">
        <v>100</v>
      </c>
      <c r="E12" s="516"/>
      <c r="F12" s="253">
        <f>SUMIF(70:70,E12,71:71)-SUMIF(70:70,C12,71:71)+100</f>
        <v>100</v>
      </c>
      <c r="G12" s="882"/>
      <c r="H12" s="253">
        <f>SUMIF(70:70,G12,71:71)-SUMIF(70:70,C12,71:71)+100</f>
        <v>100</v>
      </c>
      <c r="I12" s="516"/>
      <c r="J12" s="253">
        <f>SUMIF(70:70,I12,71:71)-SUMIF(70:70,C12,71:71)+100</f>
        <v>100</v>
      </c>
      <c r="K12" s="558"/>
      <c r="L12" s="1969"/>
      <c r="M12" s="1970"/>
      <c r="N12" s="1970"/>
      <c r="O12" s="1971"/>
      <c r="P12" s="3671"/>
      <c r="Q12" s="1096">
        <f t="shared" si="6"/>
        <v>111</v>
      </c>
      <c r="R12" s="1456" t="s">
        <v>8</v>
      </c>
      <c r="S12" s="1457">
        <f t="shared" si="0"/>
        <v>100</v>
      </c>
      <c r="T12" s="1456" t="s">
        <v>8</v>
      </c>
      <c r="U12" s="1457">
        <f t="shared" si="1"/>
        <v>100</v>
      </c>
      <c r="V12" s="1456" t="s">
        <v>8</v>
      </c>
      <c r="W12" s="1457">
        <f t="shared" si="2"/>
        <v>100</v>
      </c>
      <c r="X12" s="1458"/>
      <c r="Y12" s="3619"/>
      <c r="Z12" s="1095">
        <f t="shared" si="7"/>
        <v>111</v>
      </c>
      <c r="AA12" s="1459">
        <f>D12/F12</f>
        <v>1</v>
      </c>
      <c r="AB12" s="1459">
        <f>D12/H12</f>
        <v>1</v>
      </c>
      <c r="AC12" s="1459">
        <f>D12/J12</f>
        <v>1</v>
      </c>
    </row>
    <row r="13" spans="1:29" ht="15">
      <c r="A13" s="2553"/>
      <c r="B13" s="2559">
        <v>111</v>
      </c>
      <c r="C13" s="516"/>
      <c r="D13" s="517">
        <v>100</v>
      </c>
      <c r="E13" s="516"/>
      <c r="F13" s="253">
        <f>SUMIF(72:72,E13,73:73)-SUMIF(72:72,C13,73:73)+100</f>
        <v>100</v>
      </c>
      <c r="G13" s="882"/>
      <c r="H13" s="517">
        <f>SUMIF(72:72,G13,73:73)-SUMIF(72:72,C13,73:73)+100</f>
        <v>100</v>
      </c>
      <c r="I13" s="516"/>
      <c r="J13" s="517">
        <f>SUMIF(72:72,I13,73:73)-SUMIF(72:72,C13,73:73)+100</f>
        <v>100</v>
      </c>
      <c r="K13" s="558"/>
      <c r="L13" s="1976"/>
      <c r="M13" s="1968"/>
      <c r="N13" s="1968"/>
      <c r="O13" s="1975"/>
      <c r="P13" s="3671"/>
      <c r="Q13" s="1096">
        <f t="shared" si="6"/>
        <v>111</v>
      </c>
      <c r="R13" s="1456" t="s">
        <v>8</v>
      </c>
      <c r="S13" s="1457">
        <f t="shared" si="0"/>
        <v>100</v>
      </c>
      <c r="T13" s="1456" t="s">
        <v>8</v>
      </c>
      <c r="U13" s="1457">
        <f t="shared" si="1"/>
        <v>100</v>
      </c>
      <c r="V13" s="1456" t="s">
        <v>8</v>
      </c>
      <c r="W13" s="1457">
        <f t="shared" si="2"/>
        <v>100</v>
      </c>
      <c r="X13" s="1458"/>
      <c r="Y13" s="3619"/>
      <c r="Z13" s="1095">
        <f t="shared" si="7"/>
        <v>111</v>
      </c>
      <c r="AA13" s="1459">
        <f t="shared" si="3"/>
        <v>1</v>
      </c>
      <c r="AB13" s="1459">
        <f t="shared" si="4"/>
        <v>1</v>
      </c>
      <c r="AC13" s="1459">
        <f t="shared" si="5"/>
        <v>1</v>
      </c>
    </row>
    <row r="14" spans="1:29" ht="15.75" thickBot="1">
      <c r="A14" s="2554"/>
      <c r="B14" s="2560">
        <v>111</v>
      </c>
      <c r="C14" s="522"/>
      <c r="D14" s="523">
        <v>100</v>
      </c>
      <c r="E14" s="522"/>
      <c r="F14" s="523">
        <f>SUMIF(74:74,E14,75:75)-SUMIF(74:74,C14,75:75)+100</f>
        <v>100</v>
      </c>
      <c r="G14" s="882"/>
      <c r="H14" s="523">
        <f>SUMIF(74:74,G14,75:75)-SUMIF(74:74,C14,75:75)+100</f>
        <v>100</v>
      </c>
      <c r="I14" s="516"/>
      <c r="J14" s="523">
        <f>SUMIF(74:74,I14,75:75)-SUMIF(74:74,C14,75:75)+100</f>
        <v>100</v>
      </c>
      <c r="K14" s="558"/>
      <c r="L14" s="1976"/>
      <c r="M14" s="1968"/>
      <c r="N14" s="1968"/>
      <c r="O14" s="1975"/>
      <c r="P14" s="3671"/>
      <c r="Q14" s="1096">
        <f t="shared" si="6"/>
        <v>111</v>
      </c>
      <c r="R14" s="1456" t="s">
        <v>8</v>
      </c>
      <c r="S14" s="1457">
        <f t="shared" si="0"/>
        <v>100</v>
      </c>
      <c r="T14" s="1456" t="s">
        <v>8</v>
      </c>
      <c r="U14" s="1457">
        <f t="shared" si="1"/>
        <v>100</v>
      </c>
      <c r="V14" s="1456" t="s">
        <v>8</v>
      </c>
      <c r="W14" s="1457">
        <f t="shared" si="2"/>
        <v>100</v>
      </c>
      <c r="X14" s="1458"/>
      <c r="Y14" s="3619"/>
      <c r="Z14" s="1095">
        <f t="shared" si="7"/>
        <v>111</v>
      </c>
      <c r="AA14" s="1459">
        <f t="shared" si="3"/>
        <v>1</v>
      </c>
      <c r="AB14" s="1459">
        <f t="shared" si="4"/>
        <v>1</v>
      </c>
      <c r="AC14" s="1459">
        <f t="shared" si="5"/>
        <v>1</v>
      </c>
    </row>
    <row r="15" spans="1:29" ht="71.25">
      <c r="A15" s="2546" t="s">
        <v>2470</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8"/>
      <c r="L15" s="1976"/>
      <c r="M15" s="1968"/>
      <c r="N15" s="1968"/>
      <c r="O15" s="1975"/>
      <c r="P15" s="3704" t="s">
        <v>523</v>
      </c>
      <c r="Q15" s="1460" t="str">
        <f t="shared" si="6"/>
        <v>商业繁华度</v>
      </c>
      <c r="R15" s="1461" t="s">
        <v>8</v>
      </c>
      <c r="S15" s="1462">
        <f t="shared" si="0"/>
        <v>100</v>
      </c>
      <c r="T15" s="1461" t="s">
        <v>8</v>
      </c>
      <c r="U15" s="1462">
        <f t="shared" si="1"/>
        <v>100</v>
      </c>
      <c r="V15" s="1461" t="s">
        <v>8</v>
      </c>
      <c r="W15" s="1462">
        <f t="shared" si="2"/>
        <v>100</v>
      </c>
      <c r="X15" s="1455"/>
      <c r="Y15" s="3704" t="s">
        <v>523</v>
      </c>
      <c r="Z15" s="1463" t="str">
        <f t="shared" si="7"/>
        <v>商业繁华度</v>
      </c>
      <c r="AA15" s="1464">
        <f t="shared" si="3"/>
        <v>1</v>
      </c>
      <c r="AB15" s="1464">
        <f t="shared" si="4"/>
        <v>1</v>
      </c>
      <c r="AC15" s="1464">
        <f t="shared" si="5"/>
        <v>1</v>
      </c>
    </row>
    <row r="16" spans="1:29" ht="15">
      <c r="A16" s="509"/>
      <c r="B16" s="841"/>
      <c r="C16" s="3466" t="s">
        <v>3441</v>
      </c>
      <c r="D16" s="532"/>
      <c r="E16" s="3466" t="s">
        <v>3442</v>
      </c>
      <c r="F16" s="534"/>
      <c r="G16" s="3466" t="s">
        <v>3441</v>
      </c>
      <c r="H16" s="536"/>
      <c r="I16" s="3466" t="s">
        <v>3442</v>
      </c>
      <c r="J16" s="532"/>
      <c r="K16" s="869"/>
      <c r="L16" s="1976"/>
      <c r="M16" s="1968"/>
      <c r="N16" s="1968"/>
      <c r="O16" s="1975"/>
      <c r="P16" s="3705"/>
      <c r="Q16" s="1460"/>
      <c r="R16" s="1461"/>
      <c r="S16" s="1462"/>
      <c r="T16" s="1461"/>
      <c r="U16" s="1462"/>
      <c r="V16" s="1461"/>
      <c r="W16" s="1462"/>
      <c r="X16" s="1455"/>
      <c r="Y16" s="3705"/>
      <c r="Z16" s="1463"/>
      <c r="AA16" s="1464">
        <v>1</v>
      </c>
      <c r="AB16" s="1464">
        <v>1</v>
      </c>
      <c r="AC16" s="1464">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8"/>
      <c r="L17" s="1976"/>
      <c r="M17" s="1968"/>
      <c r="N17" s="1968"/>
      <c r="O17" s="1975"/>
      <c r="P17" s="3705"/>
      <c r="Q17" s="1460" t="str">
        <f>B17</f>
        <v>交通便捷度</v>
      </c>
      <c r="R17" s="1461" t="s">
        <v>8</v>
      </c>
      <c r="S17" s="1462">
        <f>F17</f>
        <v>100</v>
      </c>
      <c r="T17" s="1461" t="s">
        <v>8</v>
      </c>
      <c r="U17" s="1462">
        <f>H17</f>
        <v>100</v>
      </c>
      <c r="V17" s="1461" t="s">
        <v>8</v>
      </c>
      <c r="W17" s="1462">
        <f>J17</f>
        <v>100</v>
      </c>
      <c r="X17" s="1455"/>
      <c r="Y17" s="3705"/>
      <c r="Z17" s="1463" t="str">
        <f>Q17</f>
        <v>交通便捷度</v>
      </c>
      <c r="AA17" s="1464">
        <f t="shared" si="3"/>
        <v>1</v>
      </c>
      <c r="AB17" s="1464">
        <f t="shared" si="4"/>
        <v>1</v>
      </c>
      <c r="AC17" s="1464">
        <f t="shared" si="5"/>
        <v>1</v>
      </c>
    </row>
    <row r="18" spans="1:29" ht="15">
      <c r="A18" s="509"/>
      <c r="B18" s="572"/>
      <c r="C18" s="3482" t="s">
        <v>3441</v>
      </c>
      <c r="D18" s="536"/>
      <c r="E18" s="3475" t="s">
        <v>3441</v>
      </c>
      <c r="F18" s="540"/>
      <c r="G18" s="3465" t="s">
        <v>3441</v>
      </c>
      <c r="H18" s="532"/>
      <c r="I18" s="3475" t="s">
        <v>3442</v>
      </c>
      <c r="J18" s="532"/>
      <c r="K18" s="869"/>
      <c r="L18" s="1976"/>
      <c r="M18" s="1968"/>
      <c r="N18" s="1968"/>
      <c r="O18" s="1975"/>
      <c r="P18" s="3705"/>
      <c r="Q18" s="1460"/>
      <c r="R18" s="1461"/>
      <c r="S18" s="1462"/>
      <c r="T18" s="1461"/>
      <c r="U18" s="1462"/>
      <c r="V18" s="1461"/>
      <c r="W18" s="1462"/>
      <c r="X18" s="1455"/>
      <c r="Y18" s="3705"/>
      <c r="Z18" s="1463"/>
      <c r="AA18" s="1464">
        <v>1</v>
      </c>
      <c r="AB18" s="1464">
        <v>1</v>
      </c>
      <c r="AC18" s="1464">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8"/>
      <c r="L19" s="1976"/>
      <c r="M19" s="1968"/>
      <c r="N19" s="1968"/>
      <c r="O19" s="1975"/>
      <c r="P19" s="3705"/>
      <c r="Q19" s="1460" t="str">
        <f>B19</f>
        <v>公共配套设施</v>
      </c>
      <c r="R19" s="1461" t="s">
        <v>8</v>
      </c>
      <c r="S19" s="1462">
        <f>F19</f>
        <v>100</v>
      </c>
      <c r="T19" s="1461" t="s">
        <v>8</v>
      </c>
      <c r="U19" s="1462">
        <f>H19</f>
        <v>100</v>
      </c>
      <c r="V19" s="1461" t="s">
        <v>8</v>
      </c>
      <c r="W19" s="1462">
        <f>J19</f>
        <v>100</v>
      </c>
      <c r="X19" s="1455"/>
      <c r="Y19" s="3705"/>
      <c r="Z19" s="1463" t="str">
        <f>Q19</f>
        <v>公共配套设施</v>
      </c>
      <c r="AA19" s="1464">
        <f t="shared" si="3"/>
        <v>1</v>
      </c>
      <c r="AB19" s="1464">
        <f t="shared" si="4"/>
        <v>1</v>
      </c>
      <c r="AC19" s="1464">
        <f t="shared" si="5"/>
        <v>1</v>
      </c>
    </row>
    <row r="20" spans="1:29" ht="15">
      <c r="A20" s="509"/>
      <c r="B20" s="572"/>
      <c r="C20" s="3466" t="s">
        <v>3441</v>
      </c>
      <c r="D20" s="532"/>
      <c r="E20" s="3474" t="s">
        <v>3442</v>
      </c>
      <c r="F20" s="534"/>
      <c r="G20" s="3464" t="s">
        <v>3441</v>
      </c>
      <c r="H20" s="532"/>
      <c r="I20" s="3474" t="s">
        <v>3442</v>
      </c>
      <c r="J20" s="532"/>
      <c r="K20" s="869"/>
      <c r="L20" s="1976"/>
      <c r="M20" s="1968"/>
      <c r="N20" s="1968"/>
      <c r="O20" s="1975"/>
      <c r="P20" s="3705"/>
      <c r="Q20" s="1460"/>
      <c r="R20" s="1461"/>
      <c r="S20" s="1462"/>
      <c r="T20" s="1461"/>
      <c r="U20" s="1462"/>
      <c r="V20" s="1461"/>
      <c r="W20" s="1462"/>
      <c r="X20" s="1455"/>
      <c r="Y20" s="3705"/>
      <c r="Z20" s="1463"/>
      <c r="AA20" s="1464">
        <v>1</v>
      </c>
      <c r="AB20" s="1464">
        <v>1</v>
      </c>
      <c r="AC20" s="1464">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8"/>
      <c r="L21" s="1976"/>
      <c r="M21" s="1968"/>
      <c r="N21" s="1968"/>
      <c r="O21" s="1975"/>
      <c r="P21" s="3705"/>
      <c r="Q21" s="2349" t="str">
        <f>B21</f>
        <v>基础设施水平</v>
      </c>
      <c r="R21" s="1461" t="s">
        <v>8</v>
      </c>
      <c r="S21" s="1462">
        <f>F21</f>
        <v>100</v>
      </c>
      <c r="T21" s="1461" t="s">
        <v>8</v>
      </c>
      <c r="U21" s="1462">
        <f>H21</f>
        <v>100</v>
      </c>
      <c r="V21" s="1461" t="s">
        <v>8</v>
      </c>
      <c r="W21" s="1462">
        <f>J21</f>
        <v>100</v>
      </c>
      <c r="X21" s="2351"/>
      <c r="Y21" s="3705"/>
      <c r="Z21" s="2350" t="str">
        <f>Q21</f>
        <v>基础设施水平</v>
      </c>
      <c r="AA21" s="1464">
        <f t="shared" ref="AA21" si="8">D21/F21</f>
        <v>1</v>
      </c>
      <c r="AB21" s="1464">
        <f t="shared" ref="AB21" si="9">D21/H21</f>
        <v>1</v>
      </c>
      <c r="AC21" s="1464">
        <f t="shared" ref="AC21" si="10">D21/J21</f>
        <v>1</v>
      </c>
    </row>
    <row r="22" spans="1:29" ht="15">
      <c r="A22" s="509"/>
      <c r="B22" s="892"/>
      <c r="C22" s="3482" t="s">
        <v>3443</v>
      </c>
      <c r="D22" s="532"/>
      <c r="E22" s="3466" t="s">
        <v>3444</v>
      </c>
      <c r="F22" s="534"/>
      <c r="G22" s="3466" t="s">
        <v>3443</v>
      </c>
      <c r="H22" s="532"/>
      <c r="I22" s="3466" t="s">
        <v>3443</v>
      </c>
      <c r="J22" s="532"/>
      <c r="K22" s="2366"/>
      <c r="L22" s="1976"/>
      <c r="M22" s="1968"/>
      <c r="N22" s="1968"/>
      <c r="O22" s="1975"/>
      <c r="P22" s="3705"/>
      <c r="Q22" s="2349"/>
      <c r="R22" s="1461"/>
      <c r="S22" s="1462"/>
      <c r="T22" s="1461"/>
      <c r="U22" s="1462"/>
      <c r="V22" s="1461"/>
      <c r="W22" s="1462"/>
      <c r="X22" s="2351"/>
      <c r="Y22" s="3705"/>
      <c r="Z22" s="2350"/>
      <c r="AA22" s="1464">
        <v>1</v>
      </c>
      <c r="AB22" s="1464">
        <v>1</v>
      </c>
      <c r="AC22" s="1464">
        <v>1</v>
      </c>
    </row>
    <row r="23" spans="1:29" ht="57">
      <c r="A23" s="509"/>
      <c r="B23" s="843" t="s">
        <v>297</v>
      </c>
      <c r="C23" s="870"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8"/>
      <c r="L23" s="1976"/>
      <c r="M23" s="1968"/>
      <c r="N23" s="1968"/>
      <c r="O23" s="1975"/>
      <c r="P23" s="3705"/>
      <c r="Q23" s="1460" t="str">
        <f>B23</f>
        <v>自然及人文环境</v>
      </c>
      <c r="R23" s="1461" t="s">
        <v>8</v>
      </c>
      <c r="S23" s="1462">
        <f>F23</f>
        <v>100</v>
      </c>
      <c r="T23" s="1461" t="s">
        <v>8</v>
      </c>
      <c r="U23" s="1462">
        <f>H23</f>
        <v>100</v>
      </c>
      <c r="V23" s="1461" t="s">
        <v>8</v>
      </c>
      <c r="W23" s="1462">
        <f>J23</f>
        <v>100</v>
      </c>
      <c r="X23" s="1455"/>
      <c r="Y23" s="3705"/>
      <c r="Z23" s="1463" t="str">
        <f>Q23</f>
        <v>自然及人文环境</v>
      </c>
      <c r="AA23" s="1464">
        <f t="shared" si="3"/>
        <v>1</v>
      </c>
      <c r="AB23" s="1464">
        <f t="shared" si="4"/>
        <v>1</v>
      </c>
      <c r="AC23" s="1464">
        <f t="shared" si="5"/>
        <v>1</v>
      </c>
    </row>
    <row r="24" spans="1:29" ht="15">
      <c r="A24" s="509"/>
      <c r="B24" s="572"/>
      <c r="C24" s="3466" t="s">
        <v>3441</v>
      </c>
      <c r="D24" s="532"/>
      <c r="E24" s="3474" t="s">
        <v>3442</v>
      </c>
      <c r="F24" s="534"/>
      <c r="G24" s="3464" t="s">
        <v>3441</v>
      </c>
      <c r="H24" s="532"/>
      <c r="I24" s="3474" t="s">
        <v>3441</v>
      </c>
      <c r="J24" s="532"/>
      <c r="K24" s="869"/>
      <c r="L24" s="1976"/>
      <c r="M24" s="1968"/>
      <c r="N24" s="1968"/>
      <c r="O24" s="1975"/>
      <c r="P24" s="3705"/>
      <c r="Q24" s="1460"/>
      <c r="R24" s="1461"/>
      <c r="S24" s="1462"/>
      <c r="T24" s="1461"/>
      <c r="U24" s="1462"/>
      <c r="V24" s="1461"/>
      <c r="W24" s="1462"/>
      <c r="X24" s="1455"/>
      <c r="Y24" s="3705"/>
      <c r="Z24" s="1463"/>
      <c r="AA24" s="1464">
        <v>1</v>
      </c>
      <c r="AB24" s="1464">
        <v>1</v>
      </c>
      <c r="AC24" s="1464">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6"/>
      <c r="M25" s="1968"/>
      <c r="N25" s="1968"/>
      <c r="O25" s="1975"/>
      <c r="P25" s="3705"/>
      <c r="Q25" s="1460" t="str">
        <f t="shared" ref="Q25:Q46" si="11">B25</f>
        <v>临街状况</v>
      </c>
      <c r="R25" s="1461" t="s">
        <v>8</v>
      </c>
      <c r="S25" s="1462">
        <f>F25</f>
        <v>100</v>
      </c>
      <c r="T25" s="1461" t="s">
        <v>8</v>
      </c>
      <c r="U25" s="1462">
        <f>H25</f>
        <v>100</v>
      </c>
      <c r="V25" s="1461" t="s">
        <v>8</v>
      </c>
      <c r="W25" s="1462">
        <f>J25</f>
        <v>100</v>
      </c>
      <c r="X25" s="1455"/>
      <c r="Y25" s="3705"/>
      <c r="Z25" s="1463" t="str">
        <f>Q25</f>
        <v>临街状况</v>
      </c>
      <c r="AA25" s="1464">
        <f t="shared" si="3"/>
        <v>1</v>
      </c>
      <c r="AB25" s="1464">
        <f t="shared" si="4"/>
        <v>1</v>
      </c>
      <c r="AC25" s="1464">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6"/>
      <c r="M26" s="1968"/>
      <c r="N26" s="1968"/>
      <c r="O26" s="1975"/>
      <c r="P26" s="3705"/>
      <c r="Q26" s="1460" t="str">
        <f t="shared" si="11"/>
        <v>平面位置/可视性</v>
      </c>
      <c r="R26" s="1461" t="s">
        <v>8</v>
      </c>
      <c r="S26" s="1462">
        <f>F26</f>
        <v>100</v>
      </c>
      <c r="T26" s="1461" t="s">
        <v>8</v>
      </c>
      <c r="U26" s="1462">
        <f>H26</f>
        <v>100</v>
      </c>
      <c r="V26" s="1461" t="s">
        <v>8</v>
      </c>
      <c r="W26" s="1462">
        <f>J26</f>
        <v>100</v>
      </c>
      <c r="X26" s="1455"/>
      <c r="Y26" s="3705"/>
      <c r="Z26" s="1463" t="str">
        <f>Q26</f>
        <v>平面位置/可视性</v>
      </c>
      <c r="AA26" s="1464">
        <f t="shared" si="3"/>
        <v>1</v>
      </c>
      <c r="AB26" s="1464">
        <f t="shared" si="4"/>
        <v>1</v>
      </c>
      <c r="AC26" s="1464">
        <f t="shared" si="5"/>
        <v>1</v>
      </c>
    </row>
    <row r="27" spans="1:29" s="1165" customFormat="1" ht="15">
      <c r="A27" s="513"/>
      <c r="B27" s="843" t="s">
        <v>741</v>
      </c>
      <c r="C27" s="871"/>
      <c r="D27" s="847">
        <v>100</v>
      </c>
      <c r="E27" s="871"/>
      <c r="F27" s="848">
        <f>SUMIF(90:90,E27,91:91)-SUMIF(90:90,C27,91:91)+100</f>
        <v>100</v>
      </c>
      <c r="G27" s="871"/>
      <c r="H27" s="847">
        <f>SUMIF(90:90,G27,91:91)-SUMIF(90:90,C27,91:91)+100</f>
        <v>100</v>
      </c>
      <c r="I27" s="871"/>
      <c r="J27" s="847">
        <f>SUMIF(90:90,I27,91:91)-SUMIF(90:90,C27,91:91)+100</f>
        <v>100</v>
      </c>
      <c r="K27" s="561"/>
      <c r="L27" s="1969"/>
      <c r="M27" s="1970"/>
      <c r="N27" s="1970"/>
      <c r="O27" s="1971"/>
      <c r="P27" s="3705"/>
      <c r="Q27" s="1096" t="str">
        <f t="shared" si="11"/>
        <v>人流量</v>
      </c>
      <c r="R27" s="1456" t="s">
        <v>8</v>
      </c>
      <c r="S27" s="1457">
        <f>F27</f>
        <v>100</v>
      </c>
      <c r="T27" s="1456" t="s">
        <v>8</v>
      </c>
      <c r="U27" s="1457">
        <f>H27</f>
        <v>100</v>
      </c>
      <c r="V27" s="1456" t="s">
        <v>8</v>
      </c>
      <c r="W27" s="1457">
        <f>J27</f>
        <v>100</v>
      </c>
      <c r="X27" s="1458"/>
      <c r="Y27" s="3705"/>
      <c r="Z27" s="1095" t="str">
        <f>Q27</f>
        <v>人流量</v>
      </c>
      <c r="AA27" s="1464">
        <f>D27/F27</f>
        <v>1</v>
      </c>
      <c r="AB27" s="1464">
        <f>D27/H27</f>
        <v>1</v>
      </c>
      <c r="AC27" s="1464">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6"/>
      <c r="M28" s="1968"/>
      <c r="N28" s="1968"/>
      <c r="O28" s="1975"/>
      <c r="P28" s="3705"/>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705"/>
      <c r="Z28" s="1463" t="str">
        <f t="shared" ref="Z28:Z46" si="15">Q28</f>
        <v>楼层</v>
      </c>
      <c r="AA28" s="1464">
        <f t="shared" si="3"/>
        <v>1</v>
      </c>
      <c r="AB28" s="1464">
        <f t="shared" si="4"/>
        <v>1</v>
      </c>
      <c r="AC28" s="1464">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6"/>
      <c r="M29" s="1968"/>
      <c r="N29" s="1968"/>
      <c r="O29" s="1975"/>
      <c r="P29" s="3705"/>
      <c r="Q29" s="1460">
        <f t="shared" si="11"/>
        <v>111</v>
      </c>
      <c r="R29" s="1461" t="s">
        <v>8</v>
      </c>
      <c r="S29" s="1462">
        <f t="shared" si="12"/>
        <v>100</v>
      </c>
      <c r="T29" s="1461" t="s">
        <v>8</v>
      </c>
      <c r="U29" s="1462">
        <f t="shared" si="13"/>
        <v>100</v>
      </c>
      <c r="V29" s="1461" t="s">
        <v>8</v>
      </c>
      <c r="W29" s="1462">
        <f t="shared" si="14"/>
        <v>100</v>
      </c>
      <c r="X29" s="1455"/>
      <c r="Y29" s="3705"/>
      <c r="Z29" s="1463">
        <f t="shared" si="15"/>
        <v>111</v>
      </c>
      <c r="AA29" s="1464">
        <f t="shared" si="3"/>
        <v>1</v>
      </c>
      <c r="AB29" s="1464">
        <f t="shared" si="4"/>
        <v>1</v>
      </c>
      <c r="AC29" s="1464">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6"/>
      <c r="M30" s="1968"/>
      <c r="N30" s="1968"/>
      <c r="O30" s="1975"/>
      <c r="P30" s="3705"/>
      <c r="Q30" s="1460">
        <f t="shared" si="11"/>
        <v>111</v>
      </c>
      <c r="R30" s="1461" t="s">
        <v>8</v>
      </c>
      <c r="S30" s="1462">
        <f t="shared" si="12"/>
        <v>100</v>
      </c>
      <c r="T30" s="1461" t="s">
        <v>8</v>
      </c>
      <c r="U30" s="1462">
        <f t="shared" si="13"/>
        <v>100</v>
      </c>
      <c r="V30" s="1461" t="s">
        <v>8</v>
      </c>
      <c r="W30" s="1462">
        <f t="shared" si="14"/>
        <v>100</v>
      </c>
      <c r="X30" s="1455"/>
      <c r="Y30" s="3705"/>
      <c r="Z30" s="1463">
        <f t="shared" si="15"/>
        <v>111</v>
      </c>
      <c r="AA30" s="1464">
        <f t="shared" si="3"/>
        <v>1</v>
      </c>
      <c r="AB30" s="1464">
        <f t="shared" si="4"/>
        <v>1</v>
      </c>
      <c r="AC30" s="1464">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6"/>
      <c r="M31" s="1968"/>
      <c r="N31" s="1968"/>
      <c r="O31" s="1975"/>
      <c r="P31" s="3705"/>
      <c r="Q31" s="1460">
        <f t="shared" si="11"/>
        <v>111</v>
      </c>
      <c r="R31" s="1461" t="s">
        <v>8</v>
      </c>
      <c r="S31" s="1462">
        <f t="shared" si="12"/>
        <v>100</v>
      </c>
      <c r="T31" s="1461" t="s">
        <v>8</v>
      </c>
      <c r="U31" s="1462">
        <f t="shared" si="13"/>
        <v>100</v>
      </c>
      <c r="V31" s="1461" t="s">
        <v>8</v>
      </c>
      <c r="W31" s="1462">
        <f t="shared" si="14"/>
        <v>100</v>
      </c>
      <c r="X31" s="1455"/>
      <c r="Y31" s="3705"/>
      <c r="Z31" s="1463">
        <f t="shared" si="15"/>
        <v>111</v>
      </c>
      <c r="AA31" s="1464">
        <f t="shared" si="3"/>
        <v>1</v>
      </c>
      <c r="AB31" s="1464">
        <f t="shared" si="4"/>
        <v>1</v>
      </c>
      <c r="AC31" s="1464">
        <f t="shared" si="5"/>
        <v>1</v>
      </c>
    </row>
    <row r="32" spans="1:29" ht="15">
      <c r="A32" s="2544" t="s">
        <v>2471</v>
      </c>
      <c r="B32" s="170" t="s">
        <v>744</v>
      </c>
      <c r="C32" s="3483" t="s">
        <v>3445</v>
      </c>
      <c r="D32" s="574">
        <v>100</v>
      </c>
      <c r="E32" s="3483" t="s">
        <v>3446</v>
      </c>
      <c r="F32" s="552">
        <f>SUMIF(100:100,E32,101:101)-SUMIF(100:100,C32,101:101)+100</f>
        <v>100</v>
      </c>
      <c r="G32" s="3483" t="s">
        <v>3445</v>
      </c>
      <c r="H32" s="517">
        <f>SUMIF(100:100,G32,101:101)-SUMIF(100:100,C32,101:101)+100</f>
        <v>100</v>
      </c>
      <c r="I32" s="3483" t="s">
        <v>3445</v>
      </c>
      <c r="J32" s="574">
        <f>SUMIF(100:100,I32,101:101)-SUMIF(100:100,C32,101:101)+100</f>
        <v>100</v>
      </c>
      <c r="K32" s="561"/>
      <c r="L32" s="1976"/>
      <c r="M32" s="1968"/>
      <c r="N32" s="1968"/>
      <c r="O32" s="1975"/>
      <c r="P32" s="3706" t="s">
        <v>533</v>
      </c>
      <c r="Q32" s="1460" t="str">
        <f t="shared" si="11"/>
        <v>商业类型</v>
      </c>
      <c r="R32" s="1461" t="s">
        <v>8</v>
      </c>
      <c r="S32" s="1462">
        <f t="shared" si="12"/>
        <v>100</v>
      </c>
      <c r="T32" s="1461" t="s">
        <v>8</v>
      </c>
      <c r="U32" s="1462">
        <f t="shared" si="13"/>
        <v>100</v>
      </c>
      <c r="V32" s="1461" t="s">
        <v>8</v>
      </c>
      <c r="W32" s="1462">
        <f t="shared" si="14"/>
        <v>100</v>
      </c>
      <c r="X32" s="1455"/>
      <c r="Y32" s="3707" t="s">
        <v>533</v>
      </c>
      <c r="Z32" s="1463" t="str">
        <f t="shared" si="15"/>
        <v>商业类型</v>
      </c>
      <c r="AA32" s="1464">
        <f t="shared" si="3"/>
        <v>1</v>
      </c>
      <c r="AB32" s="1464">
        <f t="shared" si="4"/>
        <v>1</v>
      </c>
      <c r="AC32" s="1464">
        <f t="shared" si="5"/>
        <v>1</v>
      </c>
    </row>
    <row r="33" spans="1:29" s="1247" customFormat="1" ht="15">
      <c r="A33" s="580"/>
      <c r="B33" s="504" t="s">
        <v>708</v>
      </c>
      <c r="C33" s="850">
        <f>'数据-汇总表'!E3</f>
        <v>184715.46</v>
      </c>
      <c r="D33" s="253">
        <v>100</v>
      </c>
      <c r="E33" s="511">
        <f>商业案例!F50</f>
        <v>750000</v>
      </c>
      <c r="F33" s="835">
        <f>LOOKUP(E33,103:103,104:104)-LOOKUP(C33,103:103,104:104)+100</f>
        <v>101</v>
      </c>
      <c r="G33" s="510">
        <f>商业案例!F51</f>
        <v>1000000</v>
      </c>
      <c r="H33" s="253">
        <f>LOOKUP(G33,103:103,104:104)-LOOKUP(C33,103:103,104:104)+100</f>
        <v>102</v>
      </c>
      <c r="I33" s="510">
        <f>商业案例!F52</f>
        <v>506706</v>
      </c>
      <c r="J33" s="253">
        <f>LOOKUP(I33,103:103,104:104)-LOOKUP(C33,103:103,104:104)+100</f>
        <v>101</v>
      </c>
      <c r="K33" s="558"/>
      <c r="L33" s="1974"/>
      <c r="M33" s="2004"/>
      <c r="N33" s="2004"/>
      <c r="O33" s="1977"/>
      <c r="P33" s="3707"/>
      <c r="Q33" s="1489" t="str">
        <f t="shared" si="11"/>
        <v>项目建筑规模</v>
      </c>
      <c r="R33" s="1465" t="s">
        <v>8</v>
      </c>
      <c r="S33" s="1466">
        <f t="shared" si="12"/>
        <v>101</v>
      </c>
      <c r="T33" s="1465" t="s">
        <v>8</v>
      </c>
      <c r="U33" s="1466">
        <f t="shared" si="13"/>
        <v>102</v>
      </c>
      <c r="V33" s="1465" t="s">
        <v>8</v>
      </c>
      <c r="W33" s="1466">
        <f t="shared" si="14"/>
        <v>101</v>
      </c>
      <c r="X33" s="1467"/>
      <c r="Y33" s="3707"/>
      <c r="Z33" s="1468" t="str">
        <f t="shared" si="15"/>
        <v>项目建筑规模</v>
      </c>
      <c r="AA33" s="1464">
        <f t="shared" si="3"/>
        <v>0.99009900990099009</v>
      </c>
      <c r="AB33" s="1464">
        <f t="shared" si="4"/>
        <v>0.98039215686274506</v>
      </c>
      <c r="AC33" s="1464">
        <f t="shared" si="5"/>
        <v>0.99009900990099009</v>
      </c>
    </row>
    <row r="34" spans="1:29" ht="15">
      <c r="A34" s="571"/>
      <c r="B34" s="504" t="s">
        <v>709</v>
      </c>
      <c r="C34" s="851"/>
      <c r="D34" s="517">
        <v>100</v>
      </c>
      <c r="E34" s="852"/>
      <c r="F34" s="552">
        <f>SUMIF(105:105,E34,106:106)-SUMIF(105:105,C34,106:106)+100</f>
        <v>100</v>
      </c>
      <c r="G34" s="851"/>
      <c r="H34" s="517">
        <f>SUMIF(105:105,G34,106:106)-SUMIF(105:105,C34,106:106)+100</f>
        <v>100</v>
      </c>
      <c r="I34" s="851"/>
      <c r="J34" s="517">
        <f>SUMIF(105:105,I34,106:106)-SUMIF(105:105,C34,106:106)+100</f>
        <v>100</v>
      </c>
      <c r="K34" s="561"/>
      <c r="L34" s="1976"/>
      <c r="M34" s="1968"/>
      <c r="N34" s="1968"/>
      <c r="O34" s="1975"/>
      <c r="P34" s="3707"/>
      <c r="Q34" s="1460" t="str">
        <f t="shared" si="11"/>
        <v>建筑结构</v>
      </c>
      <c r="R34" s="1461" t="s">
        <v>8</v>
      </c>
      <c r="S34" s="1462">
        <f t="shared" si="12"/>
        <v>100</v>
      </c>
      <c r="T34" s="1461" t="s">
        <v>8</v>
      </c>
      <c r="U34" s="1462">
        <f t="shared" si="13"/>
        <v>100</v>
      </c>
      <c r="V34" s="1461" t="s">
        <v>8</v>
      </c>
      <c r="W34" s="1462">
        <f t="shared" si="14"/>
        <v>100</v>
      </c>
      <c r="X34" s="1455"/>
      <c r="Y34" s="3707"/>
      <c r="Z34" s="1463" t="str">
        <f t="shared" si="15"/>
        <v>建筑结构</v>
      </c>
      <c r="AA34" s="1464">
        <f t="shared" si="3"/>
        <v>1</v>
      </c>
      <c r="AB34" s="1464">
        <f t="shared" si="4"/>
        <v>1</v>
      </c>
      <c r="AC34" s="1464">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6"/>
      <c r="M35" s="1968"/>
      <c r="N35" s="1968"/>
      <c r="O35" s="1975"/>
      <c r="P35" s="3707"/>
      <c r="Q35" s="1460" t="str">
        <f t="shared" si="11"/>
        <v>公共部分装修</v>
      </c>
      <c r="R35" s="1461" t="s">
        <v>8</v>
      </c>
      <c r="S35" s="1462">
        <f t="shared" si="12"/>
        <v>100</v>
      </c>
      <c r="T35" s="1461" t="s">
        <v>8</v>
      </c>
      <c r="U35" s="1462">
        <f t="shared" si="13"/>
        <v>100</v>
      </c>
      <c r="V35" s="1461" t="s">
        <v>8</v>
      </c>
      <c r="W35" s="1462">
        <f t="shared" si="14"/>
        <v>100</v>
      </c>
      <c r="X35" s="1455"/>
      <c r="Y35" s="3707"/>
      <c r="Z35" s="1463" t="str">
        <f t="shared" si="15"/>
        <v>公共部分装修</v>
      </c>
      <c r="AA35" s="1464">
        <f t="shared" si="3"/>
        <v>1</v>
      </c>
      <c r="AB35" s="1464">
        <f t="shared" si="4"/>
        <v>1</v>
      </c>
      <c r="AC35" s="1464">
        <f t="shared" si="5"/>
        <v>1</v>
      </c>
    </row>
    <row r="36" spans="1:29" ht="15">
      <c r="A36" s="571"/>
      <c r="B36" s="504" t="s">
        <v>746</v>
      </c>
      <c r="C36" s="853">
        <v>1</v>
      </c>
      <c r="D36" s="517">
        <v>100</v>
      </c>
      <c r="E36" s="853">
        <v>1</v>
      </c>
      <c r="F36" s="552">
        <f>LOOKUP(E36,110:110,111:111)-LOOKUP(C36,110:110,111:111)+100</f>
        <v>100</v>
      </c>
      <c r="G36" s="853">
        <v>1</v>
      </c>
      <c r="H36" s="552">
        <f>LOOKUP(G36,110:110,111:111)-LOOKUP(C36,110:110,111:111)+100</f>
        <v>100</v>
      </c>
      <c r="I36" s="853">
        <v>1</v>
      </c>
      <c r="J36" s="517">
        <f>LOOKUP(I36,110:110,111:111)-LOOKUP(C36,110:110,111:111)+100</f>
        <v>100</v>
      </c>
      <c r="K36" s="561"/>
      <c r="L36" s="1976"/>
      <c r="M36" s="1968"/>
      <c r="N36" s="1968"/>
      <c r="O36" s="1975"/>
      <c r="P36" s="3707"/>
      <c r="Q36" s="1460" t="str">
        <f t="shared" si="11"/>
        <v>成新度</v>
      </c>
      <c r="R36" s="1461" t="s">
        <v>8</v>
      </c>
      <c r="S36" s="1462">
        <f t="shared" si="12"/>
        <v>100</v>
      </c>
      <c r="T36" s="1461" t="s">
        <v>8</v>
      </c>
      <c r="U36" s="1462">
        <f t="shared" si="13"/>
        <v>100</v>
      </c>
      <c r="V36" s="1461" t="s">
        <v>8</v>
      </c>
      <c r="W36" s="1462">
        <f t="shared" si="14"/>
        <v>100</v>
      </c>
      <c r="X36" s="1455"/>
      <c r="Y36" s="3707"/>
      <c r="Z36" s="1463" t="str">
        <f t="shared" si="15"/>
        <v>成新度</v>
      </c>
      <c r="AA36" s="1464">
        <f t="shared" si="3"/>
        <v>1</v>
      </c>
      <c r="AB36" s="1464">
        <f t="shared" si="4"/>
        <v>1</v>
      </c>
      <c r="AC36" s="1464">
        <f t="shared" si="5"/>
        <v>1</v>
      </c>
    </row>
    <row r="37" spans="1:29" s="1165" customFormat="1" ht="15">
      <c r="A37" s="577"/>
      <c r="B37" s="1762" t="s">
        <v>2282</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69"/>
      <c r="M37" s="1970"/>
      <c r="N37" s="1970"/>
      <c r="O37" s="1971"/>
      <c r="P37" s="3707"/>
      <c r="Q37" s="1096" t="str">
        <f t="shared" si="11"/>
        <v>市政基础设施</v>
      </c>
      <c r="R37" s="1456" t="s">
        <v>8</v>
      </c>
      <c r="S37" s="1457">
        <f t="shared" si="12"/>
        <v>100</v>
      </c>
      <c r="T37" s="1456" t="s">
        <v>8</v>
      </c>
      <c r="U37" s="1457">
        <f t="shared" si="13"/>
        <v>100</v>
      </c>
      <c r="V37" s="1456" t="s">
        <v>8</v>
      </c>
      <c r="W37" s="1457">
        <f t="shared" si="14"/>
        <v>100</v>
      </c>
      <c r="X37" s="1458"/>
      <c r="Y37" s="3707"/>
      <c r="Z37" s="1095" t="str">
        <f t="shared" si="15"/>
        <v>市政基础设施</v>
      </c>
      <c r="AA37" s="1459">
        <f t="shared" si="3"/>
        <v>1</v>
      </c>
      <c r="AB37" s="1459">
        <f t="shared" si="4"/>
        <v>1</v>
      </c>
      <c r="AC37" s="1459">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6"/>
      <c r="M38" s="1968"/>
      <c r="N38" s="1968"/>
      <c r="O38" s="1975"/>
      <c r="P38" s="3707" t="s">
        <v>748</v>
      </c>
      <c r="Q38" s="1460" t="str">
        <f t="shared" si="11"/>
        <v>业态</v>
      </c>
      <c r="R38" s="1461" t="s">
        <v>8</v>
      </c>
      <c r="S38" s="1462">
        <f t="shared" si="12"/>
        <v>100</v>
      </c>
      <c r="T38" s="1461" t="s">
        <v>8</v>
      </c>
      <c r="U38" s="1462">
        <f t="shared" si="13"/>
        <v>100</v>
      </c>
      <c r="V38" s="1461" t="s">
        <v>8</v>
      </c>
      <c r="W38" s="1462">
        <f t="shared" si="14"/>
        <v>100</v>
      </c>
      <c r="X38" s="1455"/>
      <c r="Y38" s="3707" t="s">
        <v>748</v>
      </c>
      <c r="Z38" s="1463" t="str">
        <f t="shared" si="15"/>
        <v>业态</v>
      </c>
      <c r="AA38" s="1464">
        <f t="shared" si="3"/>
        <v>1</v>
      </c>
      <c r="AB38" s="1464">
        <f t="shared" si="4"/>
        <v>1</v>
      </c>
      <c r="AC38" s="1464">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6"/>
      <c r="M39" s="1968"/>
      <c r="N39" s="1968"/>
      <c r="O39" s="1975"/>
      <c r="P39" s="3707"/>
      <c r="Q39" s="1460" t="str">
        <f t="shared" si="11"/>
        <v>层高</v>
      </c>
      <c r="R39" s="1461" t="s">
        <v>8</v>
      </c>
      <c r="S39" s="1462">
        <f t="shared" si="12"/>
        <v>100</v>
      </c>
      <c r="T39" s="1461" t="s">
        <v>8</v>
      </c>
      <c r="U39" s="1462">
        <f t="shared" si="13"/>
        <v>100</v>
      </c>
      <c r="V39" s="1461" t="s">
        <v>8</v>
      </c>
      <c r="W39" s="1462">
        <f t="shared" si="14"/>
        <v>100</v>
      </c>
      <c r="X39" s="1455"/>
      <c r="Y39" s="3707"/>
      <c r="Z39" s="1463" t="str">
        <f t="shared" si="15"/>
        <v>层高</v>
      </c>
      <c r="AA39" s="1464">
        <f t="shared" si="3"/>
        <v>1</v>
      </c>
      <c r="AB39" s="1464">
        <f t="shared" si="4"/>
        <v>1</v>
      </c>
      <c r="AC39" s="1464">
        <f t="shared" si="5"/>
        <v>1</v>
      </c>
    </row>
    <row r="40" spans="1:29" ht="15">
      <c r="A40" s="571"/>
      <c r="B40" s="504" t="s">
        <v>750</v>
      </c>
      <c r="C40" s="872"/>
      <c r="D40" s="517">
        <v>100</v>
      </c>
      <c r="E40" s="873"/>
      <c r="F40" s="552">
        <f>SUMIF(118:118,E40,119:119)-SUMIF(118:118,C40,119:119)+100</f>
        <v>100</v>
      </c>
      <c r="G40" s="873"/>
      <c r="H40" s="517">
        <f>SUMIF(118:118,G40,119:119)-SUMIF(118:118,C40,119:119)+100</f>
        <v>100</v>
      </c>
      <c r="I40" s="873"/>
      <c r="J40" s="517">
        <f>SUMIF(118:118,I40,119:119)-SUMIF(118:118,C40,119:119)+100</f>
        <v>100</v>
      </c>
      <c r="K40" s="558"/>
      <c r="L40" s="1976"/>
      <c r="M40" s="1968"/>
      <c r="N40" s="1968"/>
      <c r="O40" s="1975"/>
      <c r="P40" s="3707"/>
      <c r="Q40" s="1460" t="str">
        <f t="shared" si="11"/>
        <v>单套建筑面积</v>
      </c>
      <c r="R40" s="1461" t="s">
        <v>8</v>
      </c>
      <c r="S40" s="1462">
        <f t="shared" si="12"/>
        <v>100</v>
      </c>
      <c r="T40" s="1461" t="s">
        <v>8</v>
      </c>
      <c r="U40" s="1462">
        <f t="shared" si="13"/>
        <v>100</v>
      </c>
      <c r="V40" s="1461" t="s">
        <v>8</v>
      </c>
      <c r="W40" s="1462">
        <f t="shared" si="14"/>
        <v>100</v>
      </c>
      <c r="X40" s="1455"/>
      <c r="Y40" s="3707"/>
      <c r="Z40" s="1463" t="str">
        <f t="shared" si="15"/>
        <v>单套建筑面积</v>
      </c>
      <c r="AA40" s="1464">
        <f t="shared" si="3"/>
        <v>1</v>
      </c>
      <c r="AB40" s="1464">
        <f t="shared" si="4"/>
        <v>1</v>
      </c>
      <c r="AC40" s="1464">
        <f t="shared" si="5"/>
        <v>1</v>
      </c>
    </row>
    <row r="41" spans="1:29" s="1247" customFormat="1" ht="15">
      <c r="A41" s="580"/>
      <c r="B41" s="874"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4"/>
      <c r="M41" s="2004"/>
      <c r="N41" s="2004"/>
      <c r="O41" s="1977"/>
      <c r="P41" s="3707"/>
      <c r="Q41" s="1489" t="str">
        <f t="shared" si="11"/>
        <v>进深比</v>
      </c>
      <c r="R41" s="1465" t="s">
        <v>8</v>
      </c>
      <c r="S41" s="1466">
        <f t="shared" si="12"/>
        <v>100</v>
      </c>
      <c r="T41" s="1465" t="s">
        <v>8</v>
      </c>
      <c r="U41" s="1466">
        <f t="shared" si="13"/>
        <v>100</v>
      </c>
      <c r="V41" s="1465" t="s">
        <v>8</v>
      </c>
      <c r="W41" s="1466">
        <f t="shared" si="14"/>
        <v>100</v>
      </c>
      <c r="X41" s="1467"/>
      <c r="Y41" s="3707"/>
      <c r="Z41" s="1468" t="str">
        <f t="shared" si="15"/>
        <v>进深比</v>
      </c>
      <c r="AA41" s="1464">
        <f t="shared" si="3"/>
        <v>1</v>
      </c>
      <c r="AB41" s="1464">
        <f t="shared" si="4"/>
        <v>1</v>
      </c>
      <c r="AC41" s="1464">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6"/>
      <c r="M42" s="1968"/>
      <c r="N42" s="1968"/>
      <c r="O42" s="1975"/>
      <c r="P42" s="3707"/>
      <c r="Q42" s="1460" t="str">
        <f t="shared" si="11"/>
        <v>内部装修</v>
      </c>
      <c r="R42" s="1461" t="s">
        <v>8</v>
      </c>
      <c r="S42" s="1462">
        <f t="shared" si="12"/>
        <v>100</v>
      </c>
      <c r="T42" s="1461" t="s">
        <v>8</v>
      </c>
      <c r="U42" s="1462">
        <f t="shared" si="13"/>
        <v>100</v>
      </c>
      <c r="V42" s="1461" t="s">
        <v>8</v>
      </c>
      <c r="W42" s="1462">
        <f t="shared" si="14"/>
        <v>100</v>
      </c>
      <c r="X42" s="1455"/>
      <c r="Y42" s="3707"/>
      <c r="Z42" s="1463" t="str">
        <f t="shared" si="15"/>
        <v>内部装修</v>
      </c>
      <c r="AA42" s="1464">
        <f t="shared" si="3"/>
        <v>1</v>
      </c>
      <c r="AB42" s="1464">
        <f t="shared" si="4"/>
        <v>1</v>
      </c>
      <c r="AC42" s="1464">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6"/>
      <c r="M43" s="1968"/>
      <c r="N43" s="1968"/>
      <c r="O43" s="1975"/>
      <c r="P43" s="3707"/>
      <c r="Q43" s="1460" t="str">
        <f t="shared" si="11"/>
        <v>内部装修维护情况</v>
      </c>
      <c r="R43" s="1461" t="s">
        <v>8</v>
      </c>
      <c r="S43" s="1462">
        <f t="shared" si="12"/>
        <v>100</v>
      </c>
      <c r="T43" s="1461" t="s">
        <v>8</v>
      </c>
      <c r="U43" s="1462">
        <f t="shared" si="13"/>
        <v>100</v>
      </c>
      <c r="V43" s="1461" t="s">
        <v>8</v>
      </c>
      <c r="W43" s="1462">
        <f t="shared" si="14"/>
        <v>100</v>
      </c>
      <c r="X43" s="1455"/>
      <c r="Y43" s="3707"/>
      <c r="Z43" s="1463" t="str">
        <f t="shared" si="15"/>
        <v>内部装修维护情况</v>
      </c>
      <c r="AA43" s="1464">
        <f t="shared" si="3"/>
        <v>1</v>
      </c>
      <c r="AB43" s="1464">
        <f t="shared" si="4"/>
        <v>1</v>
      </c>
      <c r="AC43" s="1464">
        <f t="shared" si="5"/>
        <v>1</v>
      </c>
    </row>
    <row r="44" spans="1:29" s="1165" customFormat="1" ht="15">
      <c r="A44" s="577"/>
      <c r="B44" s="849">
        <v>111</v>
      </c>
      <c r="C44" s="850"/>
      <c r="D44" s="253">
        <v>100</v>
      </c>
      <c r="E44" s="516"/>
      <c r="F44" s="835">
        <f>SUMIF(126:126,E44,127:127)-SUMIF(126:126,C44,127:127)+100</f>
        <v>100</v>
      </c>
      <c r="G44" s="516"/>
      <c r="H44" s="253">
        <f>SUMIF(126:126,G44,127:127)-SUMIF(126:126,C44,127:127)+100</f>
        <v>100</v>
      </c>
      <c r="I44" s="516"/>
      <c r="J44" s="253">
        <f>SUMIF(126:126,I44,127:127)-SUMIF(126:126,C44,127:127)+100</f>
        <v>100</v>
      </c>
      <c r="K44" s="558"/>
      <c r="L44" s="1969"/>
      <c r="M44" s="1970"/>
      <c r="N44" s="1970"/>
      <c r="O44" s="1971"/>
      <c r="P44" s="3707"/>
      <c r="Q44" s="1096">
        <f t="shared" si="11"/>
        <v>111</v>
      </c>
      <c r="R44" s="1456" t="s">
        <v>8</v>
      </c>
      <c r="S44" s="1457">
        <f t="shared" si="12"/>
        <v>100</v>
      </c>
      <c r="T44" s="1456" t="s">
        <v>8</v>
      </c>
      <c r="U44" s="1457">
        <f t="shared" si="13"/>
        <v>100</v>
      </c>
      <c r="V44" s="1456" t="s">
        <v>8</v>
      </c>
      <c r="W44" s="1457">
        <f t="shared" si="14"/>
        <v>100</v>
      </c>
      <c r="X44" s="1458"/>
      <c r="Y44" s="3707"/>
      <c r="Z44" s="1095">
        <f t="shared" si="15"/>
        <v>111</v>
      </c>
      <c r="AA44" s="1459">
        <f t="shared" si="3"/>
        <v>1</v>
      </c>
      <c r="AB44" s="1459">
        <f t="shared" si="4"/>
        <v>1</v>
      </c>
      <c r="AC44" s="1459">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6"/>
      <c r="M45" s="1968"/>
      <c r="N45" s="1968"/>
      <c r="O45" s="1975"/>
      <c r="P45" s="3707"/>
      <c r="Q45" s="1460">
        <f t="shared" si="11"/>
        <v>111</v>
      </c>
      <c r="R45" s="1461" t="s">
        <v>8</v>
      </c>
      <c r="S45" s="1462">
        <f t="shared" si="12"/>
        <v>100</v>
      </c>
      <c r="T45" s="1461" t="s">
        <v>8</v>
      </c>
      <c r="U45" s="1462">
        <f t="shared" si="13"/>
        <v>100</v>
      </c>
      <c r="V45" s="1461" t="s">
        <v>8</v>
      </c>
      <c r="W45" s="1462">
        <f t="shared" si="14"/>
        <v>100</v>
      </c>
      <c r="X45" s="1455"/>
      <c r="Y45" s="3707"/>
      <c r="Z45" s="1463">
        <f t="shared" si="15"/>
        <v>111</v>
      </c>
      <c r="AA45" s="1464">
        <f t="shared" si="3"/>
        <v>1</v>
      </c>
      <c r="AB45" s="1464">
        <f t="shared" si="4"/>
        <v>1</v>
      </c>
      <c r="AC45" s="1464">
        <f t="shared" si="5"/>
        <v>1</v>
      </c>
    </row>
    <row r="46" spans="1:29" ht="15.75" thickBot="1">
      <c r="A46" s="856"/>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6"/>
      <c r="M46" s="1968"/>
      <c r="N46" s="1968"/>
      <c r="O46" s="1975"/>
      <c r="P46" s="3802"/>
      <c r="Q46" s="1460">
        <f t="shared" si="11"/>
        <v>111</v>
      </c>
      <c r="R46" s="1461" t="s">
        <v>8</v>
      </c>
      <c r="S46" s="1462">
        <f t="shared" si="12"/>
        <v>100</v>
      </c>
      <c r="T46" s="1461" t="s">
        <v>8</v>
      </c>
      <c r="U46" s="1462">
        <f t="shared" si="13"/>
        <v>100</v>
      </c>
      <c r="V46" s="1461" t="s">
        <v>8</v>
      </c>
      <c r="W46" s="1462">
        <f t="shared" si="14"/>
        <v>100</v>
      </c>
      <c r="X46" s="1455"/>
      <c r="Y46" s="3802"/>
      <c r="Z46" s="1463">
        <f t="shared" si="15"/>
        <v>111</v>
      </c>
      <c r="AA46" s="1464">
        <f t="shared" si="3"/>
        <v>1</v>
      </c>
      <c r="AB46" s="1464">
        <f t="shared" si="4"/>
        <v>1</v>
      </c>
      <c r="AC46" s="1464">
        <f t="shared" si="5"/>
        <v>1</v>
      </c>
    </row>
    <row r="47" spans="1:29" ht="15">
      <c r="A47" s="584" t="s">
        <v>718</v>
      </c>
      <c r="B47" s="857"/>
      <c r="C47" s="2390" t="s">
        <v>1</v>
      </c>
      <c r="D47" s="2391"/>
      <c r="E47" s="2392">
        <v>20000</v>
      </c>
      <c r="F47" s="2393"/>
      <c r="G47" s="2394">
        <v>25000</v>
      </c>
      <c r="H47" s="2395"/>
      <c r="I47" s="2392">
        <v>25000</v>
      </c>
      <c r="J47" s="2395"/>
      <c r="K47" s="1494"/>
      <c r="L47" s="1978"/>
      <c r="M47" s="1979"/>
      <c r="N47" s="1968"/>
      <c r="O47" s="1979"/>
      <c r="P47" s="3671" t="str">
        <f>A47</f>
        <v>成交单价（元/平方米）</v>
      </c>
      <c r="Q47" s="3671"/>
      <c r="R47" s="3801">
        <f>E47</f>
        <v>20000</v>
      </c>
      <c r="S47" s="3801"/>
      <c r="T47" s="3801">
        <f>G47</f>
        <v>25000</v>
      </c>
      <c r="U47" s="3801"/>
      <c r="V47" s="3801">
        <f>I47</f>
        <v>25000</v>
      </c>
      <c r="W47" s="3801"/>
      <c r="X47" s="1450"/>
      <c r="Y47" s="1469"/>
      <c r="Z47" s="1450"/>
      <c r="AA47" s="1450"/>
      <c r="AB47" s="1450"/>
      <c r="AC47" s="1450"/>
    </row>
    <row r="48" spans="1:29" ht="15.75" thickBot="1">
      <c r="A48" s="592" t="s">
        <v>2476</v>
      </c>
      <c r="B48" s="858"/>
      <c r="C48" s="2396">
        <f>R49</f>
        <v>22260</v>
      </c>
      <c r="D48" s="2919" t="s">
        <v>2701</v>
      </c>
      <c r="E48" s="2397">
        <f>R48</f>
        <v>19414</v>
      </c>
      <c r="F48" s="2920"/>
      <c r="G48" s="2396">
        <f>T48</f>
        <v>23567</v>
      </c>
      <c r="H48" s="2920"/>
      <c r="I48" s="2397">
        <f>V48</f>
        <v>23800</v>
      </c>
      <c r="J48" s="2920"/>
      <c r="K48" s="2928">
        <f>F48+H48+J48</f>
        <v>0</v>
      </c>
      <c r="L48" s="1978"/>
      <c r="M48" s="1979"/>
      <c r="N48" s="1968"/>
      <c r="O48" s="1979"/>
      <c r="P48" s="3671" t="str">
        <f>A48</f>
        <v>比较价格（元/平方米）</v>
      </c>
      <c r="Q48" s="3671"/>
      <c r="R48" s="3801">
        <f>IF(F1="售价",ROUND(PRODUCT(R47,AA7:AA46),0),ROUND(PRODUCT(R47,AA7:AA46),1))</f>
        <v>19414</v>
      </c>
      <c r="S48" s="3801"/>
      <c r="T48" s="3801">
        <f>IF(F1="售价",ROUND(PRODUCT(T47,AB7:AB46),0),ROUND(PRODUCT(T47,AB7:AB46),1))</f>
        <v>23567</v>
      </c>
      <c r="U48" s="3801"/>
      <c r="V48" s="3801">
        <f>IF(F1="售价",ROUND(PRODUCT(V47,AC7:AC46),0),ROUND(PRODUCT(V47,AC7:AC46),1))</f>
        <v>23800</v>
      </c>
      <c r="W48" s="3801"/>
      <c r="X48" s="1450"/>
      <c r="Y48" s="1450"/>
      <c r="Z48" s="1450"/>
      <c r="AA48" s="1450"/>
      <c r="AB48" s="1450"/>
      <c r="AC48" s="1450"/>
    </row>
    <row r="49" spans="1:29" ht="15.75" thickBot="1">
      <c r="A49" s="596" t="s">
        <v>2636</v>
      </c>
      <c r="B49" s="597"/>
      <c r="C49" s="2398">
        <f>R49</f>
        <v>22260</v>
      </c>
      <c r="D49" s="2398"/>
      <c r="E49" s="2398"/>
      <c r="F49" s="2398"/>
      <c r="G49" s="2398"/>
      <c r="H49" s="2398"/>
      <c r="I49" s="2398"/>
      <c r="J49" s="2398"/>
      <c r="K49" s="1495"/>
      <c r="L49" s="1978"/>
      <c r="M49" s="1979"/>
      <c r="N49" s="1968"/>
      <c r="O49" s="1979"/>
      <c r="P49" s="3708" t="str">
        <f>A49</f>
        <v>估价对象XX用房的比较价格（楼面单价，元/平方米）</v>
      </c>
      <c r="Q49" s="3709"/>
      <c r="R49" s="3800">
        <f>IF(F1="售价",ROUND(IF(D48="简单平均",AVERAGE(R48:V48),R48*F48+T48*H48+V48*J48),0),ROUND(IF(D48="简单平均",AVERAGE(R48:V48),R48*F48+T48*H48+V48*J48),1))</f>
        <v>22260</v>
      </c>
      <c r="S49" s="3800"/>
      <c r="T49" s="3800"/>
      <c r="U49" s="3800"/>
      <c r="V49" s="3800"/>
      <c r="W49" s="3800"/>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3.0184403008138405E-2</v>
      </c>
      <c r="F52" s="602" t="str">
        <f>IF(OR(E52&gt;=0.3,E52&lt;=-0.3),"超过30%","")</f>
        <v/>
      </c>
      <c r="G52" s="601">
        <f>IF(G47&lt;G48,G48/G47-1,G47/G48-1)</f>
        <v>6.0805363431917447E-2</v>
      </c>
      <c r="H52" s="602" t="str">
        <f>IF(OR(G52&gt;=0.3,G52&lt;=-0.3),"超过30%","")</f>
        <v/>
      </c>
      <c r="I52" s="601">
        <f>IF(I47&lt;I48,I48/I47-1,I47/I48-1)</f>
        <v>5.0420168067226934E-2</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0.21391779128463995</v>
      </c>
      <c r="F53" s="602" t="str">
        <f>IF(OR(E53&gt;=0.2,E53&lt;=-0.2),"超过20%","")</f>
        <v>超过20%</v>
      </c>
      <c r="G53" s="601">
        <f>IF(G48&lt;I48,I48/G48-1,G48/I48-1)</f>
        <v>9.8867059871854401E-3</v>
      </c>
      <c r="H53" s="602" t="str">
        <f>IF(OR(G53&gt;=0.2,G53&lt;=-0.2),"超过20%","")</f>
        <v/>
      </c>
      <c r="I53" s="601">
        <f>IF(I48&lt;E48,E48/I48-1,I48/E48-1)</f>
        <v>0.22591943957968486</v>
      </c>
      <c r="J53" s="602" t="str">
        <f>IF(OR(I53&gt;=0.2,I53&lt;=-0.2),"超过20%","")</f>
        <v>超过20%</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0.25</v>
      </c>
      <c r="F54" s="602" t="str">
        <f>IF(OR(E54&gt;=0.3,E54&lt;=-0.3),"超过30%","")</f>
        <v/>
      </c>
      <c r="G54" s="601">
        <f>IF(G47&lt;I47,I47/G47-1,G47/I47-1)</f>
        <v>0</v>
      </c>
      <c r="H54" s="602" t="str">
        <f>IF(OR(G54&gt;=0.3,G54&lt;=-0.3),"超过30%","")</f>
        <v/>
      </c>
      <c r="I54" s="601">
        <f>IF(I47&lt;E47,E47/I47-1,I47/E47-1)</f>
        <v>0.25</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39" t="str">
        <f>YEAR(C7)&amp;"-"&amp;MONTH(C7)</f>
        <v>2022-11</v>
      </c>
      <c r="D58" s="2441">
        <f>EDATE(C58,-1)</f>
        <v>44835</v>
      </c>
      <c r="E58" s="2441">
        <f t="shared" ref="E58:O58" si="16">EDATE(D58,-1)</f>
        <v>44805</v>
      </c>
      <c r="F58" s="2441">
        <f t="shared" si="16"/>
        <v>44774</v>
      </c>
      <c r="G58" s="2441">
        <f t="shared" si="16"/>
        <v>44743</v>
      </c>
      <c r="H58" s="2441">
        <f t="shared" si="16"/>
        <v>44713</v>
      </c>
      <c r="I58" s="2441">
        <f t="shared" si="16"/>
        <v>44682</v>
      </c>
      <c r="J58" s="2441">
        <f t="shared" si="16"/>
        <v>44652</v>
      </c>
      <c r="K58" s="2441">
        <f t="shared" si="16"/>
        <v>44621</v>
      </c>
      <c r="L58" s="2441">
        <f t="shared" si="16"/>
        <v>44593</v>
      </c>
      <c r="M58" s="2441">
        <f t="shared" si="16"/>
        <v>44562</v>
      </c>
      <c r="N58" s="2441">
        <f t="shared" si="16"/>
        <v>44531</v>
      </c>
      <c r="O58" s="2441">
        <f t="shared" si="16"/>
        <v>44501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6"/>
      <c r="N59" s="625"/>
      <c r="O59" s="627"/>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150"/>
    </row>
    <row r="63" spans="1:29">
      <c r="A63" s="639" t="s">
        <v>559</v>
      </c>
      <c r="B63" s="640" t="s">
        <v>517</v>
      </c>
      <c r="C63" s="679" t="str">
        <f>C9</f>
        <v>商业</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646"/>
      <c r="F64" s="646"/>
      <c r="G64" s="646"/>
      <c r="H64" s="646"/>
      <c r="I64" s="646"/>
      <c r="J64" s="646"/>
      <c r="K64" s="646"/>
      <c r="L64" s="646"/>
      <c r="M64" s="647"/>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7">D68&amp;"（含）"&amp;"-"&amp;E68</f>
        <v>1（含）-2</v>
      </c>
      <c r="E67" s="657" t="str">
        <f t="shared" si="17"/>
        <v>2（含）-3</v>
      </c>
      <c r="F67" s="657" t="str">
        <f t="shared" si="17"/>
        <v>3（含）-4</v>
      </c>
      <c r="G67" s="657" t="str">
        <f t="shared" si="17"/>
        <v>4（含）-5</v>
      </c>
      <c r="H67" s="657" t="str">
        <f t="shared" si="17"/>
        <v>5（含）-6</v>
      </c>
      <c r="I67" s="657" t="str">
        <f t="shared" si="17"/>
        <v>6（含）-</v>
      </c>
      <c r="J67" s="657" t="str">
        <f t="shared" si="17"/>
        <v>（含）-</v>
      </c>
      <c r="K67" s="657" t="str">
        <f t="shared" si="17"/>
        <v>（含）-</v>
      </c>
      <c r="L67" s="657" t="str">
        <f t="shared" si="17"/>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8">C69-$K11</f>
        <v>98</v>
      </c>
      <c r="E69" s="654">
        <f t="shared" si="18"/>
        <v>96</v>
      </c>
      <c r="F69" s="654">
        <f t="shared" si="18"/>
        <v>94</v>
      </c>
      <c r="G69" s="654">
        <f t="shared" si="18"/>
        <v>92</v>
      </c>
      <c r="H69" s="654">
        <f t="shared" si="18"/>
        <v>90</v>
      </c>
      <c r="I69" s="654">
        <f t="shared" si="18"/>
        <v>88</v>
      </c>
      <c r="J69" s="654">
        <f t="shared" si="18"/>
        <v>86</v>
      </c>
      <c r="K69" s="654">
        <f t="shared" si="18"/>
        <v>84</v>
      </c>
      <c r="L69" s="654">
        <f t="shared" si="18"/>
        <v>82</v>
      </c>
      <c r="M69" s="655">
        <f t="shared" si="18"/>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46"/>
      <c r="E73" s="646"/>
      <c r="F73" s="646"/>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648" t="s">
        <v>753</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tr">
        <f>B26</f>
        <v>平面位置/可视性</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67"/>
      <c r="D89" s="646"/>
      <c r="E89" s="646"/>
      <c r="F89" s="646"/>
      <c r="G89" s="646"/>
      <c r="H89" s="646"/>
      <c r="I89" s="646"/>
      <c r="J89" s="646"/>
      <c r="K89" s="646"/>
      <c r="L89" s="646"/>
      <c r="M89" s="646"/>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人流量</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0"/>
      <c r="O91" s="2000"/>
      <c r="P91" s="2001"/>
      <c r="Q91" s="2002"/>
      <c r="R91" s="2003"/>
      <c r="S91" s="2003"/>
      <c r="T91" s="2003"/>
      <c r="U91" s="2003"/>
      <c r="V91" s="2003"/>
      <c r="W91" s="2003"/>
      <c r="X91" s="2003"/>
      <c r="Y91" s="2003"/>
      <c r="Z91" s="2003"/>
      <c r="AA91" s="2003"/>
      <c r="AB91" s="2003"/>
      <c r="AC91" s="2003"/>
    </row>
    <row r="92" spans="1:29" ht="15.75" thickTop="1">
      <c r="A92" s="644"/>
      <c r="B92" s="648" t="str">
        <f>B28</f>
        <v>楼层</v>
      </c>
      <c r="C92" s="663"/>
      <c r="D92" s="663"/>
      <c r="E92" s="663"/>
      <c r="F92" s="663"/>
      <c r="G92" s="663"/>
      <c r="H92" s="663"/>
      <c r="I92" s="663"/>
      <c r="J92" s="663"/>
      <c r="K92" s="663"/>
      <c r="L92" s="860"/>
      <c r="M92" s="861"/>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46"/>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46"/>
      <c r="E95" s="646"/>
      <c r="F95" s="646"/>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67"/>
      <c r="D97" s="646"/>
      <c r="E97" s="646"/>
      <c r="F97" s="646"/>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63"/>
      <c r="D98" s="663"/>
      <c r="E98" s="663"/>
      <c r="F98" s="663"/>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675"/>
      <c r="D99" s="675"/>
      <c r="E99" s="675"/>
      <c r="F99" s="675"/>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754</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4"/>
      <c r="B102" s="648" t="s">
        <v>730</v>
      </c>
      <c r="C102" s="683" t="str">
        <f>C103&amp;"(含)"&amp;"-"&amp;D103</f>
        <v>0(含)-500000</v>
      </c>
      <c r="D102" s="683" t="str">
        <f t="shared" ref="D102:L102" si="22">D103&amp;"(含)"&amp;"-"&amp;E103</f>
        <v>500000(含)-1000000</v>
      </c>
      <c r="E102" s="683" t="str">
        <f t="shared" si="22"/>
        <v>1000000(含)-1500000</v>
      </c>
      <c r="F102" s="683" t="str">
        <f t="shared" si="22"/>
        <v>1500000(含)-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500000</v>
      </c>
      <c r="E103" s="705">
        <v>1000000</v>
      </c>
      <c r="F103" s="705">
        <v>1500000</v>
      </c>
      <c r="G103" s="705"/>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101</v>
      </c>
      <c r="E104" s="646">
        <v>102</v>
      </c>
      <c r="F104" s="646">
        <v>103</v>
      </c>
      <c r="G104" s="646"/>
      <c r="H104" s="646"/>
      <c r="I104" s="646"/>
      <c r="J104" s="646"/>
      <c r="K104" s="646"/>
      <c r="L104" s="646"/>
      <c r="M104" s="647"/>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733</v>
      </c>
      <c r="C107" s="663"/>
      <c r="D107" s="663"/>
      <c r="E107" s="66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c r="A110" s="710"/>
      <c r="B110" s="656"/>
      <c r="C110" s="864">
        <v>0.5</v>
      </c>
      <c r="D110" s="864">
        <v>0.6</v>
      </c>
      <c r="E110" s="864">
        <v>0.7</v>
      </c>
      <c r="F110" s="864">
        <v>0.8</v>
      </c>
      <c r="G110" s="864">
        <v>0.9</v>
      </c>
      <c r="H110" s="864">
        <v>1.0001</v>
      </c>
      <c r="I110" s="875"/>
      <c r="J110" s="875"/>
      <c r="K110" s="876"/>
      <c r="L110" s="877"/>
      <c r="M110" s="878"/>
      <c r="N110" s="1997"/>
      <c r="O110" s="1997"/>
      <c r="P110" s="1998"/>
      <c r="Q110" s="1991"/>
      <c r="R110" s="1979"/>
      <c r="S110" s="1979"/>
      <c r="T110" s="1979"/>
      <c r="U110" s="1979"/>
      <c r="V110" s="1979"/>
      <c r="W110" s="1979"/>
      <c r="X110" s="1979"/>
      <c r="Y110" s="1979"/>
      <c r="Z110" s="1979"/>
      <c r="AA110" s="1979"/>
      <c r="AB110" s="1979"/>
      <c r="AC110" s="1979"/>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1999"/>
      <c r="O111" s="1999"/>
      <c r="P111" s="1998"/>
      <c r="Q111" s="1991"/>
      <c r="R111" s="1979"/>
      <c r="S111" s="1979"/>
      <c r="T111" s="1979"/>
      <c r="U111" s="1979"/>
      <c r="V111" s="1979"/>
      <c r="W111" s="1979"/>
      <c r="X111" s="1979"/>
      <c r="Y111" s="1979"/>
      <c r="Z111" s="1979"/>
      <c r="AA111" s="1979"/>
      <c r="AB111" s="1979"/>
      <c r="AC111" s="1979"/>
    </row>
    <row r="112" spans="1:29" s="1247" customFormat="1" ht="15" thickTop="1">
      <c r="A112" s="703"/>
      <c r="B112" s="1763" t="s">
        <v>2273</v>
      </c>
      <c r="C112" s="663"/>
      <c r="D112" s="663"/>
      <c r="E112" s="663"/>
      <c r="F112" s="663"/>
      <c r="G112" s="663"/>
      <c r="H112" s="693"/>
      <c r="I112" s="693"/>
      <c r="J112" s="693"/>
      <c r="K112" s="694"/>
      <c r="L112" s="695"/>
      <c r="M112" s="696"/>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755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648" t="s">
        <v>756</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757</v>
      </c>
      <c r="C118" s="879"/>
      <c r="D118" s="879"/>
      <c r="E118" s="879"/>
      <c r="F118" s="879"/>
      <c r="G118" s="879"/>
      <c r="H118" s="664"/>
      <c r="I118" s="664"/>
      <c r="J118" s="664"/>
      <c r="K118" s="664"/>
      <c r="L118" s="665"/>
      <c r="M118" s="66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67"/>
      <c r="D119" s="646"/>
      <c r="E119" s="646"/>
      <c r="F119" s="646"/>
      <c r="G119" s="646"/>
      <c r="H119" s="646"/>
      <c r="I119" s="646"/>
      <c r="J119" s="646"/>
      <c r="K119" s="646"/>
      <c r="L119" s="646"/>
      <c r="M119" s="647"/>
      <c r="N119" s="1999"/>
      <c r="O119" s="1999"/>
      <c r="P119" s="1998"/>
      <c r="Q119" s="1991"/>
      <c r="R119" s="1979"/>
      <c r="S119" s="1979"/>
      <c r="T119" s="1979"/>
      <c r="U119" s="1979"/>
      <c r="V119" s="1979"/>
      <c r="W119" s="1979"/>
      <c r="X119" s="1979"/>
      <c r="Y119" s="1979"/>
      <c r="Z119" s="1979"/>
      <c r="AA119" s="1979"/>
      <c r="AB119" s="1979"/>
      <c r="AC119" s="1979"/>
    </row>
    <row r="120" spans="1:29" s="1247" customFormat="1" ht="15" thickTop="1">
      <c r="A120" s="703"/>
      <c r="B120" s="648" t="s">
        <v>758</v>
      </c>
      <c r="C120" s="693"/>
      <c r="D120" s="693"/>
      <c r="E120" s="693"/>
      <c r="F120" s="693"/>
      <c r="G120" s="664"/>
      <c r="H120" s="664"/>
      <c r="I120" s="664"/>
      <c r="J120" s="664"/>
      <c r="K120" s="664"/>
      <c r="L120" s="665"/>
      <c r="M120" s="666"/>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46"/>
      <c r="E129" s="646"/>
      <c r="F129" s="646"/>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1" priority="21" stopIfTrue="1" operator="containsText" text="超过">
      <formula>NOT(ISERROR(SEARCH("超过",F52)))</formula>
    </cfRule>
  </conditionalFormatting>
  <conditionalFormatting sqref="H54">
    <cfRule type="containsText" dxfId="120" priority="19" stopIfTrue="1" operator="containsText" text="超过">
      <formula>NOT(ISERROR(SEARCH("超过",H54)))</formula>
    </cfRule>
  </conditionalFormatting>
  <conditionalFormatting sqref="F54">
    <cfRule type="containsText" dxfId="119" priority="18" stopIfTrue="1" operator="containsText" text="超过">
      <formula>NOT(ISERROR(SEARCH("超过",F54)))</formula>
    </cfRule>
  </conditionalFormatting>
  <conditionalFormatting sqref="F53 H53">
    <cfRule type="containsText" dxfId="118" priority="17" stopIfTrue="1" operator="containsText" text="超过">
      <formula>NOT(ISERROR(SEARCH("超过",F53)))</formula>
    </cfRule>
  </conditionalFormatting>
  <conditionalFormatting sqref="E52">
    <cfRule type="expression" dxfId="117" priority="16" stopIfTrue="1">
      <formula>$F$52="超过30%"</formula>
    </cfRule>
  </conditionalFormatting>
  <conditionalFormatting sqref="E53">
    <cfRule type="expression" dxfId="116" priority="15" stopIfTrue="1">
      <formula>$F$53="超过20%"</formula>
    </cfRule>
  </conditionalFormatting>
  <conditionalFormatting sqref="E54">
    <cfRule type="expression" dxfId="115" priority="14" stopIfTrue="1">
      <formula>$F$54="超过30%"</formula>
    </cfRule>
  </conditionalFormatting>
  <conditionalFormatting sqref="G54">
    <cfRule type="expression" dxfId="114" priority="13" stopIfTrue="1">
      <formula>$H$54="超过30%"</formula>
    </cfRule>
  </conditionalFormatting>
  <conditionalFormatting sqref="G52">
    <cfRule type="expression" dxfId="113" priority="12" stopIfTrue="1">
      <formula>$H$52="超过30%"</formula>
    </cfRule>
  </conditionalFormatting>
  <conditionalFormatting sqref="G53">
    <cfRule type="expression" dxfId="112" priority="11" stopIfTrue="1">
      <formula>$H$53="超过20%"</formula>
    </cfRule>
  </conditionalFormatting>
  <conditionalFormatting sqref="J52">
    <cfRule type="containsText" dxfId="111" priority="10" stopIfTrue="1" operator="containsText" text="超过">
      <formula>NOT(ISERROR(SEARCH("超过",J52)))</formula>
    </cfRule>
  </conditionalFormatting>
  <conditionalFormatting sqref="J54">
    <cfRule type="containsText" dxfId="110" priority="9" stopIfTrue="1" operator="containsText" text="超过">
      <formula>NOT(ISERROR(SEARCH("超过",J54)))</formula>
    </cfRule>
  </conditionalFormatting>
  <conditionalFormatting sqref="J53">
    <cfRule type="containsText" dxfId="109" priority="8" stopIfTrue="1" operator="containsText" text="超过">
      <formula>NOT(ISERROR(SEARCH("超过",J53)))</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3"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759</v>
      </c>
      <c r="C1" s="481" t="s">
        <v>702</v>
      </c>
      <c r="D1" s="821"/>
      <c r="E1" s="483"/>
      <c r="F1" s="2444"/>
      <c r="G1" s="1485" t="s">
        <v>703</v>
      </c>
      <c r="H1" s="483"/>
      <c r="I1" s="483"/>
      <c r="J1" s="483"/>
      <c r="K1" s="484"/>
      <c r="L1" s="3115"/>
      <c r="M1" s="3116"/>
      <c r="N1" s="3116"/>
      <c r="O1" s="3116"/>
      <c r="P1" s="3179"/>
      <c r="Q1" s="1966"/>
      <c r="R1" s="1966"/>
      <c r="S1" s="1966"/>
      <c r="T1" s="1966"/>
      <c r="U1" s="1966"/>
      <c r="V1" s="1966"/>
      <c r="W1" s="1966"/>
      <c r="X1" s="1966"/>
      <c r="Y1" s="1966"/>
      <c r="Z1" s="1966"/>
      <c r="AA1" s="1966"/>
      <c r="AB1" s="1966"/>
      <c r="AC1" s="3117"/>
    </row>
    <row r="2" spans="1:29" s="1244" customFormat="1" ht="28.5" customHeight="1">
      <c r="A2" s="417" t="s">
        <v>461</v>
      </c>
      <c r="B2" s="822" t="e">
        <f>ROUND(B3*D3/10000,0)</f>
        <v>#DIV/0!</v>
      </c>
      <c r="C2" s="1961"/>
      <c r="D2" s="1961"/>
      <c r="E2" s="1896"/>
      <c r="F2" s="1963"/>
      <c r="G2" s="1962"/>
      <c r="H2" s="1962"/>
      <c r="I2" s="1962"/>
      <c r="J2" s="1962"/>
      <c r="K2" s="1962"/>
      <c r="L2" s="1965"/>
      <c r="M2" s="1966"/>
      <c r="N2" s="1966"/>
      <c r="O2" s="1966"/>
      <c r="P2" s="3179"/>
      <c r="Q2" s="1966"/>
      <c r="R2" s="1966"/>
      <c r="S2" s="1966"/>
      <c r="T2" s="1966"/>
      <c r="U2" s="1966"/>
      <c r="V2" s="1966"/>
      <c r="W2" s="1966"/>
      <c r="X2" s="1966"/>
      <c r="Y2" s="1966"/>
      <c r="Z2" s="1966"/>
      <c r="AA2" s="1966"/>
      <c r="AB2" s="1966"/>
      <c r="AC2" s="3117"/>
    </row>
    <row r="3" spans="1:29" s="1244" customFormat="1" ht="28.5" customHeight="1" thickBot="1">
      <c r="A3" s="486" t="s">
        <v>502</v>
      </c>
      <c r="B3" s="487" t="e">
        <f>C50</f>
        <v>#DIV/0!</v>
      </c>
      <c r="C3" s="824" t="s">
        <v>704</v>
      </c>
      <c r="D3" s="823">
        <f>SUMIF('数据-汇总表'!$C19:$C33,D1,'数据-汇总表'!$E19:$E33)</f>
        <v>0</v>
      </c>
      <c r="E3" s="1896"/>
      <c r="F3" s="1963"/>
      <c r="G3" s="1962"/>
      <c r="H3" s="1962"/>
      <c r="I3" s="1962"/>
      <c r="J3" s="1962"/>
      <c r="K3" s="1964"/>
      <c r="L3" s="1965"/>
      <c r="M3" s="1966"/>
      <c r="N3" s="1966"/>
      <c r="O3" s="1966"/>
      <c r="P3" s="3179"/>
      <c r="Q3" s="1966"/>
      <c r="R3" s="1966"/>
      <c r="S3" s="1966"/>
      <c r="T3" s="1966"/>
      <c r="U3" s="1966"/>
      <c r="V3" s="1966"/>
      <c r="W3" s="1966"/>
      <c r="X3" s="1966"/>
      <c r="Y3" s="1966"/>
      <c r="Z3" s="1966"/>
      <c r="AA3" s="1966"/>
      <c r="AB3" s="1966"/>
      <c r="AC3" s="3117"/>
    </row>
    <row r="4" spans="1:29" ht="15">
      <c r="A4" s="489" t="s">
        <v>504</v>
      </c>
      <c r="B4" s="490"/>
      <c r="C4" s="3677" t="s">
        <v>505</v>
      </c>
      <c r="D4" s="3678"/>
      <c r="E4" s="3716" t="s">
        <v>506</v>
      </c>
      <c r="F4" s="3717"/>
      <c r="G4" s="3677" t="s">
        <v>507</v>
      </c>
      <c r="H4" s="3678"/>
      <c r="I4" s="3677" t="s">
        <v>508</v>
      </c>
      <c r="J4" s="3678"/>
      <c r="K4" s="491" t="s">
        <v>509</v>
      </c>
      <c r="L4" s="1967"/>
      <c r="M4" s="1968"/>
      <c r="N4" s="1968"/>
      <c r="O4" s="1968"/>
      <c r="P4" s="3804" t="s">
        <v>510</v>
      </c>
      <c r="Q4" s="3680"/>
      <c r="R4" s="3685" t="s">
        <v>506</v>
      </c>
      <c r="S4" s="3686"/>
      <c r="T4" s="3685" t="s">
        <v>507</v>
      </c>
      <c r="U4" s="3686"/>
      <c r="V4" s="3672" t="s">
        <v>508</v>
      </c>
      <c r="W4" s="3672"/>
      <c r="X4" s="1455"/>
      <c r="Y4" s="3685" t="s">
        <v>510</v>
      </c>
      <c r="Z4" s="3686"/>
      <c r="AA4" s="3674" t="s">
        <v>506</v>
      </c>
      <c r="AB4" s="3674" t="s">
        <v>507</v>
      </c>
      <c r="AC4" s="3674" t="s">
        <v>508</v>
      </c>
    </row>
    <row r="5" spans="1:29" ht="15">
      <c r="A5" s="492"/>
      <c r="B5" s="493"/>
      <c r="C5" s="3693" t="s">
        <v>2630</v>
      </c>
      <c r="D5" s="3694"/>
      <c r="E5" s="3718" t="s">
        <v>2631</v>
      </c>
      <c r="F5" s="3719"/>
      <c r="G5" s="3693" t="s">
        <v>2632</v>
      </c>
      <c r="H5" s="3694"/>
      <c r="I5" s="3693" t="s">
        <v>2633</v>
      </c>
      <c r="J5" s="3694"/>
      <c r="K5" s="491"/>
      <c r="L5" s="1967"/>
      <c r="M5" s="1968"/>
      <c r="N5" s="1968"/>
      <c r="O5" s="1968"/>
      <c r="P5" s="3805"/>
      <c r="Q5" s="3682"/>
      <c r="R5" s="3687"/>
      <c r="S5" s="3688"/>
      <c r="T5" s="3687"/>
      <c r="U5" s="3688"/>
      <c r="V5" s="3672"/>
      <c r="W5" s="3672"/>
      <c r="X5" s="1455"/>
      <c r="Y5" s="3687"/>
      <c r="Z5" s="3688"/>
      <c r="AA5" s="3675"/>
      <c r="AB5" s="3675"/>
      <c r="AC5" s="3675"/>
    </row>
    <row r="6" spans="1:29" ht="15.75" thickBot="1">
      <c r="A6" s="494"/>
      <c r="B6" s="495"/>
      <c r="C6" s="3691" t="s">
        <v>2634</v>
      </c>
      <c r="D6" s="3692"/>
      <c r="E6" s="3714" t="s">
        <v>2634</v>
      </c>
      <c r="F6" s="3715"/>
      <c r="G6" s="3691" t="s">
        <v>2634</v>
      </c>
      <c r="H6" s="3692"/>
      <c r="I6" s="3691" t="s">
        <v>2634</v>
      </c>
      <c r="J6" s="3692"/>
      <c r="K6" s="491" t="s">
        <v>511</v>
      </c>
      <c r="L6" s="1967"/>
      <c r="M6" s="1968"/>
      <c r="N6" s="1968"/>
      <c r="O6" s="1968"/>
      <c r="P6" s="3806"/>
      <c r="Q6" s="3684"/>
      <c r="R6" s="3687"/>
      <c r="S6" s="3688"/>
      <c r="T6" s="3689"/>
      <c r="U6" s="3690"/>
      <c r="V6" s="3672"/>
      <c r="W6" s="3672"/>
      <c r="X6" s="1455"/>
      <c r="Y6" s="3689"/>
      <c r="Z6" s="3690"/>
      <c r="AA6" s="3676"/>
      <c r="AB6" s="3676"/>
      <c r="AC6" s="3676"/>
    </row>
    <row r="7" spans="1:29" s="1165" customFormat="1" ht="15.75" thickBot="1">
      <c r="A7" s="2548"/>
      <c r="B7" s="2555" t="s">
        <v>512</v>
      </c>
      <c r="C7" s="496">
        <f>'数据-取费表'!B2</f>
        <v>44895</v>
      </c>
      <c r="D7" s="497">
        <v>100</v>
      </c>
      <c r="E7" s="498"/>
      <c r="F7" s="499">
        <f>SUMIF(59:59,YEAR(E7)&amp;"-"&amp;MONTH(E7),60:60)</f>
        <v>0</v>
      </c>
      <c r="G7" s="498"/>
      <c r="H7" s="497">
        <f>SUMIF(59:59,YEAR(G7)&amp;"-"&amp;MONTH(G7),60:60)</f>
        <v>0</v>
      </c>
      <c r="I7" s="498"/>
      <c r="J7" s="497">
        <f>SUMIF(59:59,YEAR(I7)&amp;"-"&amp;MONTH(I7),60:60)</f>
        <v>0</v>
      </c>
      <c r="K7" s="501"/>
      <c r="L7" s="1969"/>
      <c r="M7" s="1970"/>
      <c r="N7" s="1970"/>
      <c r="O7" s="1970"/>
      <c r="P7" s="3703" t="s">
        <v>513</v>
      </c>
      <c r="Q7" s="3703"/>
      <c r="R7" s="1456" t="s">
        <v>8</v>
      </c>
      <c r="S7" s="1457">
        <f t="shared" ref="S7:S15" si="0">F7</f>
        <v>0</v>
      </c>
      <c r="T7" s="1456" t="s">
        <v>8</v>
      </c>
      <c r="U7" s="1457">
        <f t="shared" ref="U7:U15" si="1">H7</f>
        <v>0</v>
      </c>
      <c r="V7" s="1456" t="s">
        <v>8</v>
      </c>
      <c r="W7" s="1457">
        <f t="shared" ref="W7:W15" si="2">J7</f>
        <v>0</v>
      </c>
      <c r="X7" s="1458"/>
      <c r="Y7" s="3701" t="s">
        <v>513</v>
      </c>
      <c r="Z7" s="3702"/>
      <c r="AA7" s="1459" t="e">
        <f>D7/F7</f>
        <v>#DIV/0!</v>
      </c>
      <c r="AB7" s="1459" t="e">
        <f>D7/H7</f>
        <v>#DIV/0!</v>
      </c>
      <c r="AC7" s="1459" t="e">
        <f>D7/J7</f>
        <v>#DIV/0!</v>
      </c>
    </row>
    <row r="8" spans="1:29" s="1165" customFormat="1" ht="15.75" thickBot="1">
      <c r="A8" s="2549"/>
      <c r="B8" s="2556" t="s">
        <v>514</v>
      </c>
      <c r="C8" s="502" t="s">
        <v>558</v>
      </c>
      <c r="D8" s="497">
        <v>100</v>
      </c>
      <c r="E8" s="502"/>
      <c r="F8" s="499">
        <f>SUMIF(62:62,E8,63:63)-SUMIF(62:62,C8,63:63)+100</f>
        <v>0</v>
      </c>
      <c r="G8" s="502"/>
      <c r="H8" s="497">
        <f>SUMIF(62:62,G8,63:63)-SUMIF(62:62,C8,63:63)+100</f>
        <v>0</v>
      </c>
      <c r="I8" s="502"/>
      <c r="J8" s="497">
        <f>SUMIF(62:62,I8,63:63)-SUMIF(62:62,C8,63:63)+100</f>
        <v>0</v>
      </c>
      <c r="K8" s="501"/>
      <c r="L8" s="1969"/>
      <c r="M8" s="1970"/>
      <c r="N8" s="1970"/>
      <c r="O8" s="1970"/>
      <c r="P8" s="3703" t="s">
        <v>516</v>
      </c>
      <c r="Q8" s="3702"/>
      <c r="R8" s="1456" t="s">
        <v>8</v>
      </c>
      <c r="S8" s="1457">
        <f t="shared" si="0"/>
        <v>0</v>
      </c>
      <c r="T8" s="1456" t="s">
        <v>8</v>
      </c>
      <c r="U8" s="1457">
        <f t="shared" si="1"/>
        <v>0</v>
      </c>
      <c r="V8" s="1456" t="s">
        <v>8</v>
      </c>
      <c r="W8" s="1457">
        <f t="shared" si="2"/>
        <v>0</v>
      </c>
      <c r="X8" s="1458"/>
      <c r="Y8" s="3701" t="s">
        <v>516</v>
      </c>
      <c r="Z8" s="3702"/>
      <c r="AA8" s="1459" t="e">
        <f t="shared" ref="AA8:AA47" si="3">D8/F8</f>
        <v>#DIV/0!</v>
      </c>
      <c r="AB8" s="1459" t="e">
        <f t="shared" ref="AB8:AB47" si="4">D8/H8</f>
        <v>#DIV/0!</v>
      </c>
      <c r="AC8" s="1459" t="e">
        <f t="shared" ref="AC8:AC47" si="5">D8/J8</f>
        <v>#DIV/0!</v>
      </c>
    </row>
    <row r="9" spans="1:29" s="1165" customFormat="1" ht="15">
      <c r="A9" s="2550"/>
      <c r="B9" s="2557" t="s">
        <v>2472</v>
      </c>
      <c r="C9" s="829"/>
      <c r="D9" s="252">
        <v>100</v>
      </c>
      <c r="E9" s="832"/>
      <c r="F9" s="252">
        <f>SUMIF(64:64,E9,65:65)-SUMIF(64:64,C9,65:65)+100</f>
        <v>100</v>
      </c>
      <c r="G9" s="830"/>
      <c r="H9" s="252">
        <f>SUMIF(64:64,G9,65:65)-SUMIF(64:64,C9,65:65)+100</f>
        <v>100</v>
      </c>
      <c r="I9" s="830"/>
      <c r="J9" s="252">
        <f>SUMIF(64:64,I9,65:65)-SUMIF(64:64,C9,65:65)+100</f>
        <v>100</v>
      </c>
      <c r="K9" s="501"/>
      <c r="L9" s="1969"/>
      <c r="M9" s="1970"/>
      <c r="N9" s="1970"/>
      <c r="O9" s="1970"/>
      <c r="P9" s="3671" t="s">
        <v>518</v>
      </c>
      <c r="Q9" s="1096" t="str">
        <f t="shared" ref="Q9:Q15" si="6">B9</f>
        <v>用途</v>
      </c>
      <c r="R9" s="1456" t="s">
        <v>8</v>
      </c>
      <c r="S9" s="1457">
        <f t="shared" si="0"/>
        <v>100</v>
      </c>
      <c r="T9" s="1456" t="s">
        <v>8</v>
      </c>
      <c r="U9" s="1457">
        <f t="shared" si="1"/>
        <v>100</v>
      </c>
      <c r="V9" s="1456" t="s">
        <v>8</v>
      </c>
      <c r="W9" s="1457">
        <f t="shared" si="2"/>
        <v>100</v>
      </c>
      <c r="X9" s="1458"/>
      <c r="Y9" s="3619"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SUMIF(66:66,E10,67:67)-SUMIF(66:66,C10,67:67)+100</f>
        <v>100</v>
      </c>
      <c r="G10" s="834"/>
      <c r="H10" s="253">
        <f>SUMIF(66:66,G10,67:67)-SUMIF(66:66,C10,67:67)+100</f>
        <v>100</v>
      </c>
      <c r="I10" s="833"/>
      <c r="J10" s="253">
        <f>SUMIF(66:66,I10,67:67)-SUMIF(66:66,C10,67:67)+100</f>
        <v>100</v>
      </c>
      <c r="K10" s="561"/>
      <c r="L10" s="1972"/>
      <c r="M10" s="2011"/>
      <c r="N10" s="2011"/>
      <c r="O10" s="2011"/>
      <c r="P10" s="3671"/>
      <c r="Q10" s="1096" t="str">
        <f t="shared" si="6"/>
        <v>土地使用年限（年）</v>
      </c>
      <c r="R10" s="1456" t="s">
        <v>8</v>
      </c>
      <c r="S10" s="1457">
        <f t="shared" si="0"/>
        <v>100</v>
      </c>
      <c r="T10" s="1456" t="s">
        <v>8</v>
      </c>
      <c r="U10" s="1457">
        <f t="shared" si="1"/>
        <v>100</v>
      </c>
      <c r="V10" s="1456" t="s">
        <v>8</v>
      </c>
      <c r="W10" s="1457">
        <f t="shared" si="2"/>
        <v>100</v>
      </c>
      <c r="X10" s="1458"/>
      <c r="Y10" s="3619"/>
      <c r="Z10" s="1095" t="str">
        <f t="shared" si="7"/>
        <v>土地使用年限（年）</v>
      </c>
      <c r="AA10" s="1459">
        <f t="shared" si="3"/>
        <v>1</v>
      </c>
      <c r="AB10" s="1459">
        <f t="shared" si="4"/>
        <v>1</v>
      </c>
      <c r="AC10" s="1459">
        <f t="shared" si="5"/>
        <v>1</v>
      </c>
    </row>
    <row r="11" spans="1:29" ht="15">
      <c r="A11" s="2552"/>
      <c r="B11" s="2556" t="s">
        <v>2474</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4"/>
      <c r="M11" s="1968"/>
      <c r="N11" s="1968"/>
      <c r="O11" s="1968"/>
      <c r="P11" s="3671"/>
      <c r="Q11" s="1096" t="str">
        <f t="shared" si="6"/>
        <v>容积率</v>
      </c>
      <c r="R11" s="1456" t="s">
        <v>8</v>
      </c>
      <c r="S11" s="1457" t="e">
        <f t="shared" si="0"/>
        <v>#N/A</v>
      </c>
      <c r="T11" s="1456" t="s">
        <v>8</v>
      </c>
      <c r="U11" s="1457" t="e">
        <f t="shared" si="1"/>
        <v>#N/A</v>
      </c>
      <c r="V11" s="1456" t="s">
        <v>8</v>
      </c>
      <c r="W11" s="1457" t="e">
        <f t="shared" si="2"/>
        <v>#N/A</v>
      </c>
      <c r="X11" s="1458"/>
      <c r="Y11" s="3619"/>
      <c r="Z11" s="1095" t="str">
        <f t="shared" si="7"/>
        <v>容积率</v>
      </c>
      <c r="AA11" s="1459" t="e">
        <f t="shared" si="3"/>
        <v>#N/A</v>
      </c>
      <c r="AB11" s="1459" t="e">
        <f t="shared" si="4"/>
        <v>#N/A</v>
      </c>
      <c r="AC11" s="1459" t="e">
        <f t="shared" si="5"/>
        <v>#N/A</v>
      </c>
    </row>
    <row r="12" spans="1:29" s="1165" customFormat="1" ht="15">
      <c r="A12" s="2553"/>
      <c r="B12" s="2559">
        <v>111</v>
      </c>
      <c r="C12" s="505"/>
      <c r="D12" s="515">
        <v>100</v>
      </c>
      <c r="E12" s="505"/>
      <c r="F12" s="253">
        <f>SUMIF(71:71,E12,72:72)-SUMIF(71:71,C12,72:72)+100</f>
        <v>100</v>
      </c>
      <c r="G12" s="880"/>
      <c r="H12" s="253">
        <f>SUMIF(71:71,G12,72:72)-SUMIF(71:71,C12,72:72)+100</f>
        <v>100</v>
      </c>
      <c r="I12" s="505"/>
      <c r="J12" s="253">
        <f>SUMIF(71:71,I12,72:72)-SUMIF(71:71,C12,72:72)+100</f>
        <v>100</v>
      </c>
      <c r="K12" s="558"/>
      <c r="L12" s="1969"/>
      <c r="M12" s="1970"/>
      <c r="N12" s="1970"/>
      <c r="O12" s="1970"/>
      <c r="P12" s="3671"/>
      <c r="Q12" s="1096">
        <f t="shared" si="6"/>
        <v>111</v>
      </c>
      <c r="R12" s="1456" t="s">
        <v>8</v>
      </c>
      <c r="S12" s="1457">
        <f t="shared" si="0"/>
        <v>100</v>
      </c>
      <c r="T12" s="1456" t="s">
        <v>8</v>
      </c>
      <c r="U12" s="1457">
        <f t="shared" si="1"/>
        <v>100</v>
      </c>
      <c r="V12" s="1456" t="s">
        <v>8</v>
      </c>
      <c r="W12" s="1457">
        <f t="shared" si="2"/>
        <v>100</v>
      </c>
      <c r="X12" s="1458"/>
      <c r="Y12" s="3619"/>
      <c r="Z12" s="1095">
        <f t="shared" si="7"/>
        <v>111</v>
      </c>
      <c r="AA12" s="1459">
        <f>D12/F12</f>
        <v>1</v>
      </c>
      <c r="AB12" s="1459">
        <f>D12/H12</f>
        <v>1</v>
      </c>
      <c r="AC12" s="1459">
        <f>D12/J12</f>
        <v>1</v>
      </c>
    </row>
    <row r="13" spans="1:29" ht="15">
      <c r="A13" s="2553"/>
      <c r="B13" s="2559">
        <v>111</v>
      </c>
      <c r="C13" s="516"/>
      <c r="D13" s="517">
        <v>100</v>
      </c>
      <c r="E13" s="505"/>
      <c r="F13" s="253">
        <f>SUMIF(73:73,E13,74:74)-SUMIF(73:73,C13,74:74)+100</f>
        <v>100</v>
      </c>
      <c r="G13" s="880"/>
      <c r="H13" s="517">
        <f>SUMIF(73:73,G13,74:74)-SUMIF(73:73,C13,74:74)+100</f>
        <v>100</v>
      </c>
      <c r="I13" s="505"/>
      <c r="J13" s="517">
        <f>SUMIF(73:73,I13,74:74)-SUMIF(73:73,C13,74:74)+100</f>
        <v>100</v>
      </c>
      <c r="K13" s="558"/>
      <c r="L13" s="1976"/>
      <c r="M13" s="1968"/>
      <c r="N13" s="1968"/>
      <c r="O13" s="1968"/>
      <c r="P13" s="3671"/>
      <c r="Q13" s="1096">
        <f t="shared" si="6"/>
        <v>111</v>
      </c>
      <c r="R13" s="1456" t="s">
        <v>8</v>
      </c>
      <c r="S13" s="1457">
        <f t="shared" si="0"/>
        <v>100</v>
      </c>
      <c r="T13" s="1456" t="s">
        <v>8</v>
      </c>
      <c r="U13" s="1457">
        <f t="shared" si="1"/>
        <v>100</v>
      </c>
      <c r="V13" s="1456" t="s">
        <v>8</v>
      </c>
      <c r="W13" s="1457">
        <f t="shared" si="2"/>
        <v>100</v>
      </c>
      <c r="X13" s="1458"/>
      <c r="Y13" s="3619"/>
      <c r="Z13" s="1095">
        <f t="shared" si="7"/>
        <v>111</v>
      </c>
      <c r="AA13" s="1459">
        <f t="shared" si="3"/>
        <v>1</v>
      </c>
      <c r="AB13" s="1459">
        <f t="shared" si="4"/>
        <v>1</v>
      </c>
      <c r="AC13" s="1459">
        <f t="shared" si="5"/>
        <v>1</v>
      </c>
    </row>
    <row r="14" spans="1:29" ht="15.75" thickBot="1">
      <c r="A14" s="2554"/>
      <c r="B14" s="2560">
        <v>111</v>
      </c>
      <c r="C14" s="522"/>
      <c r="D14" s="523">
        <v>100</v>
      </c>
      <c r="E14" s="881"/>
      <c r="F14" s="523">
        <f>SUMIF(75:75,E14,76:76)-SUMIF(75:75,C14,76:76)+100</f>
        <v>100</v>
      </c>
      <c r="G14" s="880"/>
      <c r="H14" s="523">
        <f>SUMIF(75:75,G14,76:76)-SUMIF(75:75,C14,76:76)+100</f>
        <v>100</v>
      </c>
      <c r="I14" s="505"/>
      <c r="J14" s="523">
        <f>SUMIF(75:75,I14,76:76)-SUMIF(75:75,C14,76:76)+100</f>
        <v>100</v>
      </c>
      <c r="K14" s="558"/>
      <c r="L14" s="1976"/>
      <c r="M14" s="1968"/>
      <c r="N14" s="1968"/>
      <c r="O14" s="1968"/>
      <c r="P14" s="3671"/>
      <c r="Q14" s="1096">
        <f t="shared" si="6"/>
        <v>111</v>
      </c>
      <c r="R14" s="1456" t="s">
        <v>8</v>
      </c>
      <c r="S14" s="1457">
        <f t="shared" si="0"/>
        <v>100</v>
      </c>
      <c r="T14" s="1456" t="s">
        <v>8</v>
      </c>
      <c r="U14" s="1457">
        <f t="shared" si="1"/>
        <v>100</v>
      </c>
      <c r="V14" s="1456" t="s">
        <v>8</v>
      </c>
      <c r="W14" s="1457">
        <f t="shared" si="2"/>
        <v>100</v>
      </c>
      <c r="X14" s="1458"/>
      <c r="Y14" s="3619"/>
      <c r="Z14" s="1095">
        <f t="shared" si="7"/>
        <v>111</v>
      </c>
      <c r="AA14" s="1459">
        <f t="shared" si="3"/>
        <v>1</v>
      </c>
      <c r="AB14" s="1459">
        <f t="shared" si="4"/>
        <v>1</v>
      </c>
      <c r="AC14" s="1459">
        <f t="shared" si="5"/>
        <v>1</v>
      </c>
    </row>
    <row r="15" spans="1:29" ht="71.25">
      <c r="A15" s="2546" t="s">
        <v>2470</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8"/>
      <c r="L15" s="1976"/>
      <c r="M15" s="1968"/>
      <c r="N15" s="1968"/>
      <c r="O15" s="1968"/>
      <c r="P15" s="3704" t="s">
        <v>523</v>
      </c>
      <c r="Q15" s="1460" t="str">
        <f t="shared" si="6"/>
        <v>办公集聚程度</v>
      </c>
      <c r="R15" s="1461" t="s">
        <v>8</v>
      </c>
      <c r="S15" s="1462">
        <f t="shared" si="0"/>
        <v>100</v>
      </c>
      <c r="T15" s="1461" t="s">
        <v>8</v>
      </c>
      <c r="U15" s="1462">
        <f t="shared" si="1"/>
        <v>100</v>
      </c>
      <c r="V15" s="1461" t="s">
        <v>8</v>
      </c>
      <c r="W15" s="1462">
        <f t="shared" si="2"/>
        <v>100</v>
      </c>
      <c r="X15" s="1455"/>
      <c r="Y15" s="3704" t="s">
        <v>523</v>
      </c>
      <c r="Z15" s="1463" t="str">
        <f t="shared" si="7"/>
        <v>办公集聚程度</v>
      </c>
      <c r="AA15" s="1464">
        <f t="shared" si="3"/>
        <v>1</v>
      </c>
      <c r="AB15" s="1464">
        <f t="shared" si="4"/>
        <v>1</v>
      </c>
      <c r="AC15" s="1464">
        <f t="shared" si="5"/>
        <v>1</v>
      </c>
    </row>
    <row r="16" spans="1:29" ht="15">
      <c r="A16" s="509"/>
      <c r="B16" s="530"/>
      <c r="C16" s="531"/>
      <c r="D16" s="532"/>
      <c r="E16" s="553"/>
      <c r="F16" s="532"/>
      <c r="G16" s="531"/>
      <c r="H16" s="536"/>
      <c r="I16" s="553"/>
      <c r="J16" s="532"/>
      <c r="K16" s="869"/>
      <c r="L16" s="1976"/>
      <c r="M16" s="1968"/>
      <c r="N16" s="1968"/>
      <c r="O16" s="1968"/>
      <c r="P16" s="3705"/>
      <c r="Q16" s="1460"/>
      <c r="R16" s="1461"/>
      <c r="S16" s="1462"/>
      <c r="T16" s="1461"/>
      <c r="U16" s="1462"/>
      <c r="V16" s="1461"/>
      <c r="W16" s="1462"/>
      <c r="X16" s="1455"/>
      <c r="Y16" s="3705"/>
      <c r="Z16" s="1463"/>
      <c r="AA16" s="1464">
        <v>1</v>
      </c>
      <c r="AB16" s="1464">
        <v>1</v>
      </c>
      <c r="AC16" s="1464">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8"/>
      <c r="L17" s="1976"/>
      <c r="M17" s="1968"/>
      <c r="N17" s="1968"/>
      <c r="O17" s="1968"/>
      <c r="P17" s="3705"/>
      <c r="Q17" s="1460" t="str">
        <f>B17</f>
        <v>交通便捷度</v>
      </c>
      <c r="R17" s="1461" t="s">
        <v>8</v>
      </c>
      <c r="S17" s="1462">
        <f>F17</f>
        <v>100</v>
      </c>
      <c r="T17" s="1461" t="s">
        <v>8</v>
      </c>
      <c r="U17" s="1462">
        <f>H17</f>
        <v>100</v>
      </c>
      <c r="V17" s="1461" t="s">
        <v>8</v>
      </c>
      <c r="W17" s="1462">
        <f>J17</f>
        <v>100</v>
      </c>
      <c r="X17" s="1455"/>
      <c r="Y17" s="3705"/>
      <c r="Z17" s="1463" t="str">
        <f>Q17</f>
        <v>交通便捷度</v>
      </c>
      <c r="AA17" s="1464">
        <f t="shared" si="3"/>
        <v>1</v>
      </c>
      <c r="AB17" s="1464">
        <f t="shared" si="4"/>
        <v>1</v>
      </c>
      <c r="AC17" s="1464">
        <f t="shared" si="5"/>
        <v>1</v>
      </c>
    </row>
    <row r="18" spans="1:29" ht="15">
      <c r="A18" s="509"/>
      <c r="B18" s="543"/>
      <c r="C18" s="544"/>
      <c r="D18" s="536"/>
      <c r="E18" s="546"/>
      <c r="F18" s="536"/>
      <c r="G18" s="545"/>
      <c r="H18" s="532"/>
      <c r="I18" s="545"/>
      <c r="J18" s="532"/>
      <c r="K18" s="869"/>
      <c r="L18" s="1976"/>
      <c r="M18" s="1968"/>
      <c r="N18" s="1968"/>
      <c r="O18" s="1968"/>
      <c r="P18" s="3705"/>
      <c r="Q18" s="1460"/>
      <c r="R18" s="1461"/>
      <c r="S18" s="1462"/>
      <c r="T18" s="1461"/>
      <c r="U18" s="1462"/>
      <c r="V18" s="1461"/>
      <c r="W18" s="1462"/>
      <c r="X18" s="1455"/>
      <c r="Y18" s="3705"/>
      <c r="Z18" s="1463"/>
      <c r="AA18" s="1464">
        <v>1</v>
      </c>
      <c r="AB18" s="1464">
        <v>1</v>
      </c>
      <c r="AC18" s="1464">
        <v>1</v>
      </c>
    </row>
    <row r="19" spans="1:29" ht="42.75">
      <c r="A19" s="509"/>
      <c r="B19" s="2367" t="s">
        <v>2263</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8"/>
      <c r="L19" s="1976"/>
      <c r="M19" s="1968"/>
      <c r="N19" s="1968"/>
      <c r="O19" s="1968"/>
      <c r="P19" s="3705"/>
      <c r="Q19" s="1460" t="str">
        <f>B19</f>
        <v>公共配套设施</v>
      </c>
      <c r="R19" s="1461" t="s">
        <v>8</v>
      </c>
      <c r="S19" s="1462">
        <f>F19</f>
        <v>100</v>
      </c>
      <c r="T19" s="1461" t="s">
        <v>8</v>
      </c>
      <c r="U19" s="1462">
        <f>H19</f>
        <v>100</v>
      </c>
      <c r="V19" s="1461" t="s">
        <v>8</v>
      </c>
      <c r="W19" s="1462">
        <f>J19</f>
        <v>100</v>
      </c>
      <c r="X19" s="1455"/>
      <c r="Y19" s="3705"/>
      <c r="Z19" s="1463" t="str">
        <f>Q19</f>
        <v>公共配套设施</v>
      </c>
      <c r="AA19" s="1464">
        <f t="shared" si="3"/>
        <v>1</v>
      </c>
      <c r="AB19" s="1464">
        <f t="shared" si="4"/>
        <v>1</v>
      </c>
      <c r="AC19" s="1464">
        <f t="shared" si="5"/>
        <v>1</v>
      </c>
    </row>
    <row r="20" spans="1:29" ht="15">
      <c r="A20" s="509"/>
      <c r="B20" s="543"/>
      <c r="C20" s="531"/>
      <c r="D20" s="532"/>
      <c r="E20" s="535"/>
      <c r="F20" s="532"/>
      <c r="G20" s="533"/>
      <c r="H20" s="532"/>
      <c r="I20" s="533"/>
      <c r="J20" s="532"/>
      <c r="K20" s="869"/>
      <c r="L20" s="1976"/>
      <c r="M20" s="1968"/>
      <c r="N20" s="1968"/>
      <c r="O20" s="1968"/>
      <c r="P20" s="3705"/>
      <c r="Q20" s="1460"/>
      <c r="R20" s="1461"/>
      <c r="S20" s="1462"/>
      <c r="T20" s="1461"/>
      <c r="U20" s="1462"/>
      <c r="V20" s="1461"/>
      <c r="W20" s="1462"/>
      <c r="X20" s="1455"/>
      <c r="Y20" s="3705"/>
      <c r="Z20" s="1463"/>
      <c r="AA20" s="1464">
        <v>1</v>
      </c>
      <c r="AB20" s="1464">
        <v>1</v>
      </c>
      <c r="AC20" s="1464">
        <v>1</v>
      </c>
    </row>
    <row r="21" spans="1:29" ht="28.5">
      <c r="A21" s="509"/>
      <c r="B21" s="2355" t="s">
        <v>2275</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8"/>
      <c r="L21" s="1976"/>
      <c r="M21" s="1968"/>
      <c r="N21" s="1968"/>
      <c r="O21" s="1968"/>
      <c r="P21" s="3705"/>
      <c r="Q21" s="2349" t="str">
        <f>B21</f>
        <v>基础设施水平</v>
      </c>
      <c r="R21" s="1461" t="s">
        <v>8</v>
      </c>
      <c r="S21" s="1462">
        <f>F21</f>
        <v>100</v>
      </c>
      <c r="T21" s="1461" t="s">
        <v>8</v>
      </c>
      <c r="U21" s="1462">
        <f>H21</f>
        <v>100</v>
      </c>
      <c r="V21" s="1461" t="s">
        <v>8</v>
      </c>
      <c r="W21" s="1462">
        <f>J21</f>
        <v>100</v>
      </c>
      <c r="X21" s="2351"/>
      <c r="Y21" s="3705"/>
      <c r="Z21" s="2350" t="str">
        <f>Q21</f>
        <v>基础设施水平</v>
      </c>
      <c r="AA21" s="1464">
        <f t="shared" ref="AA21" si="8">D21/F21</f>
        <v>1</v>
      </c>
      <c r="AB21" s="1464">
        <f t="shared" ref="AB21" si="9">D21/H21</f>
        <v>1</v>
      </c>
      <c r="AC21" s="1464">
        <f t="shared" ref="AC21" si="10">D21/J21</f>
        <v>1</v>
      </c>
    </row>
    <row r="22" spans="1:29" ht="15">
      <c r="A22" s="509"/>
      <c r="B22" s="555"/>
      <c r="C22" s="544"/>
      <c r="D22" s="532"/>
      <c r="E22" s="553"/>
      <c r="F22" s="532"/>
      <c r="G22" s="531"/>
      <c r="H22" s="532"/>
      <c r="I22" s="531"/>
      <c r="J22" s="532"/>
      <c r="K22" s="2366"/>
      <c r="L22" s="1976"/>
      <c r="M22" s="1968"/>
      <c r="N22" s="1968"/>
      <c r="O22" s="1968"/>
      <c r="P22" s="3705"/>
      <c r="Q22" s="2349"/>
      <c r="R22" s="1461"/>
      <c r="S22" s="1462"/>
      <c r="T22" s="1461"/>
      <c r="U22" s="1462"/>
      <c r="V22" s="1461"/>
      <c r="W22" s="1462"/>
      <c r="X22" s="2351"/>
      <c r="Y22" s="3705"/>
      <c r="Z22" s="2350"/>
      <c r="AA22" s="1464">
        <v>1</v>
      </c>
      <c r="AB22" s="1464">
        <v>1</v>
      </c>
      <c r="AC22" s="1464">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8"/>
      <c r="L23" s="1976"/>
      <c r="M23" s="1968"/>
      <c r="N23" s="1968"/>
      <c r="O23" s="1968"/>
      <c r="P23" s="3705"/>
      <c r="Q23" s="1460" t="str">
        <f>B23</f>
        <v>环境质量</v>
      </c>
      <c r="R23" s="1461" t="s">
        <v>8</v>
      </c>
      <c r="S23" s="1462">
        <f>F23</f>
        <v>100</v>
      </c>
      <c r="T23" s="1461" t="s">
        <v>8</v>
      </c>
      <c r="U23" s="1462">
        <f>H23</f>
        <v>100</v>
      </c>
      <c r="V23" s="1461" t="s">
        <v>8</v>
      </c>
      <c r="W23" s="1462">
        <f>J23</f>
        <v>100</v>
      </c>
      <c r="X23" s="1455"/>
      <c r="Y23" s="3705"/>
      <c r="Z23" s="1463" t="str">
        <f>Q23</f>
        <v>环境质量</v>
      </c>
      <c r="AA23" s="1464">
        <f t="shared" si="3"/>
        <v>1</v>
      </c>
      <c r="AB23" s="1464">
        <f t="shared" si="4"/>
        <v>1</v>
      </c>
      <c r="AC23" s="1464">
        <f t="shared" si="5"/>
        <v>1</v>
      </c>
    </row>
    <row r="24" spans="1:29" ht="15">
      <c r="A24" s="509"/>
      <c r="B24" s="555"/>
      <c r="C24" s="531"/>
      <c r="D24" s="532"/>
      <c r="E24" s="535"/>
      <c r="F24" s="532"/>
      <c r="G24" s="533"/>
      <c r="H24" s="532"/>
      <c r="I24" s="533"/>
      <c r="J24" s="532"/>
      <c r="K24" s="869"/>
      <c r="L24" s="1976"/>
      <c r="M24" s="1968"/>
      <c r="N24" s="1968"/>
      <c r="O24" s="1968"/>
      <c r="P24" s="3705"/>
      <c r="Q24" s="1460"/>
      <c r="R24" s="1461"/>
      <c r="S24" s="1462"/>
      <c r="T24" s="1461"/>
      <c r="U24" s="1462"/>
      <c r="V24" s="1461"/>
      <c r="W24" s="1462"/>
      <c r="X24" s="1455"/>
      <c r="Y24" s="3705"/>
      <c r="Z24" s="1463"/>
      <c r="AA24" s="1464">
        <v>1</v>
      </c>
      <c r="AB24" s="1464">
        <v>1</v>
      </c>
      <c r="AC24" s="1464">
        <v>1</v>
      </c>
    </row>
    <row r="25" spans="1:29" ht="27">
      <c r="A25" s="492"/>
      <c r="B25" s="537" t="s">
        <v>531</v>
      </c>
      <c r="C25" s="882"/>
      <c r="D25" s="517">
        <v>100</v>
      </c>
      <c r="E25" s="516"/>
      <c r="F25" s="517">
        <f>SUMIF(87:87,E26,88:88)-SUMIF(87:87,C26,88:88)+100</f>
        <v>100</v>
      </c>
      <c r="G25" s="882"/>
      <c r="H25" s="517">
        <f>SUMIF(87:87,G26,88:88)-SUMIF(87:87,C26,88:88)+100</f>
        <v>100</v>
      </c>
      <c r="I25" s="516"/>
      <c r="J25" s="517">
        <f>SUMIF(87:87,I26,88:88)-SUMIF(87:87,C26,88:88)+100</f>
        <v>100</v>
      </c>
      <c r="K25" s="868"/>
      <c r="L25" s="1976"/>
      <c r="M25" s="1968"/>
      <c r="N25" s="1968"/>
      <c r="O25" s="1968"/>
      <c r="P25" s="3705"/>
      <c r="Q25" s="1460" t="str">
        <f>B25</f>
        <v>毗邻道路的类型与等级</v>
      </c>
      <c r="R25" s="1461" t="s">
        <v>8</v>
      </c>
      <c r="S25" s="1462">
        <f>F25</f>
        <v>100</v>
      </c>
      <c r="T25" s="1461" t="s">
        <v>8</v>
      </c>
      <c r="U25" s="1462">
        <f>H25</f>
        <v>100</v>
      </c>
      <c r="V25" s="1461" t="s">
        <v>8</v>
      </c>
      <c r="W25" s="1462">
        <f>J25</f>
        <v>100</v>
      </c>
      <c r="X25" s="1455"/>
      <c r="Y25" s="3705"/>
      <c r="Z25" s="1463" t="str">
        <f>Q25</f>
        <v>毗邻道路的类型与等级</v>
      </c>
      <c r="AA25" s="1464">
        <f t="shared" si="3"/>
        <v>1</v>
      </c>
      <c r="AB25" s="1464">
        <f t="shared" si="4"/>
        <v>1</v>
      </c>
      <c r="AC25" s="1464">
        <f t="shared" si="5"/>
        <v>1</v>
      </c>
    </row>
    <row r="26" spans="1:29" ht="15">
      <c r="A26" s="492"/>
      <c r="B26" s="543"/>
      <c r="C26" s="557"/>
      <c r="D26" s="517"/>
      <c r="E26" s="560"/>
      <c r="F26" s="517"/>
      <c r="G26" s="557"/>
      <c r="H26" s="517"/>
      <c r="I26" s="560"/>
      <c r="J26" s="517"/>
      <c r="K26" s="869"/>
      <c r="L26" s="1976"/>
      <c r="M26" s="1968"/>
      <c r="N26" s="1968"/>
      <c r="O26" s="1968"/>
      <c r="P26" s="3705"/>
      <c r="Q26" s="1460"/>
      <c r="R26" s="1461"/>
      <c r="S26" s="1462"/>
      <c r="T26" s="1461"/>
      <c r="U26" s="1462"/>
      <c r="V26" s="1461"/>
      <c r="W26" s="1462"/>
      <c r="X26" s="1455"/>
      <c r="Y26" s="3705"/>
      <c r="Z26" s="1463"/>
      <c r="AA26" s="1464">
        <v>1</v>
      </c>
      <c r="AB26" s="1464">
        <v>1</v>
      </c>
      <c r="AC26" s="1464">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6"/>
      <c r="M27" s="1968"/>
      <c r="N27" s="1968"/>
      <c r="O27" s="1968"/>
      <c r="P27" s="3705"/>
      <c r="Q27" s="1460" t="str">
        <f t="shared" ref="Q27:Q47" si="11">B27</f>
        <v>楼层</v>
      </c>
      <c r="R27" s="1461" t="s">
        <v>8</v>
      </c>
      <c r="S27" s="1462">
        <f>F27</f>
        <v>100</v>
      </c>
      <c r="T27" s="1461" t="s">
        <v>8</v>
      </c>
      <c r="U27" s="1462">
        <f>H27</f>
        <v>100</v>
      </c>
      <c r="V27" s="1461" t="s">
        <v>8</v>
      </c>
      <c r="W27" s="1462">
        <f>J27</f>
        <v>100</v>
      </c>
      <c r="X27" s="1455"/>
      <c r="Y27" s="3705"/>
      <c r="Z27" s="1463" t="str">
        <f>Q27</f>
        <v>楼层</v>
      </c>
      <c r="AA27" s="1464">
        <f t="shared" si="3"/>
        <v>1</v>
      </c>
      <c r="AB27" s="1464">
        <f t="shared" si="4"/>
        <v>1</v>
      </c>
      <c r="AC27" s="1464">
        <f t="shared" si="5"/>
        <v>1</v>
      </c>
    </row>
    <row r="28" spans="1:29" s="1165" customFormat="1" ht="15">
      <c r="A28" s="513"/>
      <c r="B28" s="537" t="s">
        <v>761</v>
      </c>
      <c r="C28" s="883"/>
      <c r="D28" s="847">
        <v>100</v>
      </c>
      <c r="E28" s="871"/>
      <c r="F28" s="847">
        <f>SUMIF(91:91,E28,92:92)-SUMIF(91:91,C28,92:92)+100</f>
        <v>100</v>
      </c>
      <c r="G28" s="883"/>
      <c r="H28" s="847">
        <f>SUMIF(91:91,G28,92:92)-SUMIF(91:91,C28,92:92)+100</f>
        <v>100</v>
      </c>
      <c r="I28" s="871"/>
      <c r="J28" s="847">
        <f>SUMIF(91:91,I28,92:92)-SUMIF(91:91,C28,92:92)+100</f>
        <v>100</v>
      </c>
      <c r="K28" s="561"/>
      <c r="L28" s="1969"/>
      <c r="M28" s="1970"/>
      <c r="N28" s="1970"/>
      <c r="O28" s="1970"/>
      <c r="P28" s="3705"/>
      <c r="Q28" s="1096" t="str">
        <f t="shared" si="11"/>
        <v>朝向</v>
      </c>
      <c r="R28" s="1456" t="s">
        <v>8</v>
      </c>
      <c r="S28" s="1457">
        <f>F28</f>
        <v>100</v>
      </c>
      <c r="T28" s="1456" t="s">
        <v>8</v>
      </c>
      <c r="U28" s="1457">
        <f>H28</f>
        <v>100</v>
      </c>
      <c r="V28" s="1456" t="s">
        <v>8</v>
      </c>
      <c r="W28" s="1457">
        <f>J28</f>
        <v>100</v>
      </c>
      <c r="X28" s="1458"/>
      <c r="Y28" s="3705"/>
      <c r="Z28" s="1095" t="str">
        <f>Q28</f>
        <v>朝向</v>
      </c>
      <c r="AA28" s="1464">
        <f>D28/F28</f>
        <v>1</v>
      </c>
      <c r="AB28" s="1464">
        <f>D28/H28</f>
        <v>1</v>
      </c>
      <c r="AC28" s="1464">
        <f>D28/J28</f>
        <v>1</v>
      </c>
    </row>
    <row r="29" spans="1:29" ht="15">
      <c r="A29" s="509"/>
      <c r="B29" s="562">
        <v>111</v>
      </c>
      <c r="C29" s="882"/>
      <c r="D29" s="517">
        <v>100</v>
      </c>
      <c r="E29" s="505"/>
      <c r="F29" s="517">
        <f>SUMIF(93:93,E29,94:94)-SUMIF(93:93,C29,94:94)+100</f>
        <v>100</v>
      </c>
      <c r="G29" s="880"/>
      <c r="H29" s="517">
        <f>SUMIF(93:93,G29,94:94)-SUMIF(93:93,C29,94:94)+100</f>
        <v>100</v>
      </c>
      <c r="I29" s="505"/>
      <c r="J29" s="517">
        <f>SUMIF(93:93,I29,94:94)-SUMIF(93:93,C29,94:94)+100</f>
        <v>100</v>
      </c>
      <c r="K29" s="558"/>
      <c r="L29" s="1976"/>
      <c r="M29" s="1968"/>
      <c r="N29" s="1968"/>
      <c r="O29" s="1968"/>
      <c r="P29" s="3705"/>
      <c r="Q29" s="1460">
        <f t="shared" si="11"/>
        <v>111</v>
      </c>
      <c r="R29" s="1461" t="s">
        <v>8</v>
      </c>
      <c r="S29" s="1462">
        <f t="shared" ref="S29:S47" si="12">F29</f>
        <v>100</v>
      </c>
      <c r="T29" s="1461" t="s">
        <v>8</v>
      </c>
      <c r="U29" s="1462">
        <f t="shared" ref="U29:U47" si="13">H29</f>
        <v>100</v>
      </c>
      <c r="V29" s="1461" t="s">
        <v>8</v>
      </c>
      <c r="W29" s="1462">
        <f t="shared" ref="W29:W47" si="14">J29</f>
        <v>100</v>
      </c>
      <c r="X29" s="1455"/>
      <c r="Y29" s="3705"/>
      <c r="Z29" s="1463">
        <f t="shared" ref="Z29:Z47" si="15">Q29</f>
        <v>111</v>
      </c>
      <c r="AA29" s="1464">
        <f t="shared" si="3"/>
        <v>1</v>
      </c>
      <c r="AB29" s="1464">
        <f t="shared" si="4"/>
        <v>1</v>
      </c>
      <c r="AC29" s="1464">
        <f t="shared" si="5"/>
        <v>1</v>
      </c>
    </row>
    <row r="30" spans="1:29" ht="15">
      <c r="A30" s="509"/>
      <c r="B30" s="562">
        <v>111</v>
      </c>
      <c r="C30" s="882"/>
      <c r="D30" s="517">
        <v>100</v>
      </c>
      <c r="E30" s="505"/>
      <c r="F30" s="517">
        <f>SUMIF(95:95,E30,96:96)-SUMIF(95:95,C30,96:96)+100</f>
        <v>100</v>
      </c>
      <c r="G30" s="880"/>
      <c r="H30" s="517">
        <f>SUMIF(95:95,G30,96:96)-SUMIF(95:95,C30,96:96)+100</f>
        <v>100</v>
      </c>
      <c r="I30" s="505"/>
      <c r="J30" s="517">
        <f>SUMIF(95:95,I30,96:96)-SUMIF(95:95,C30,96:96)+100</f>
        <v>100</v>
      </c>
      <c r="K30" s="558"/>
      <c r="L30" s="1976"/>
      <c r="M30" s="1968"/>
      <c r="N30" s="1968"/>
      <c r="O30" s="1968"/>
      <c r="P30" s="3705"/>
      <c r="Q30" s="1460">
        <f t="shared" si="11"/>
        <v>111</v>
      </c>
      <c r="R30" s="1461" t="s">
        <v>8</v>
      </c>
      <c r="S30" s="1462">
        <f t="shared" si="12"/>
        <v>100</v>
      </c>
      <c r="T30" s="1461" t="s">
        <v>8</v>
      </c>
      <c r="U30" s="1462">
        <f t="shared" si="13"/>
        <v>100</v>
      </c>
      <c r="V30" s="1461" t="s">
        <v>8</v>
      </c>
      <c r="W30" s="1462">
        <f t="shared" si="14"/>
        <v>100</v>
      </c>
      <c r="X30" s="1455"/>
      <c r="Y30" s="3705"/>
      <c r="Z30" s="1463">
        <f t="shared" si="15"/>
        <v>111</v>
      </c>
      <c r="AA30" s="1464">
        <f t="shared" si="3"/>
        <v>1</v>
      </c>
      <c r="AB30" s="1464">
        <f t="shared" si="4"/>
        <v>1</v>
      </c>
      <c r="AC30" s="1464">
        <f t="shared" si="5"/>
        <v>1</v>
      </c>
    </row>
    <row r="31" spans="1:29" ht="15">
      <c r="A31" s="509"/>
      <c r="B31" s="562">
        <v>111</v>
      </c>
      <c r="C31" s="882"/>
      <c r="D31" s="517">
        <v>100</v>
      </c>
      <c r="E31" s="505"/>
      <c r="F31" s="517">
        <f>SUMIF(97:97,E31,98:98)-SUMIF(97:97,C31,98:98)+100</f>
        <v>100</v>
      </c>
      <c r="G31" s="880"/>
      <c r="H31" s="517">
        <f>SUMIF(97:97,G31,98:98)-SUMIF(97:97,C31,98:98)+100</f>
        <v>100</v>
      </c>
      <c r="I31" s="505"/>
      <c r="J31" s="517">
        <f>SUMIF(97:97,I31,98:98)-SUMIF(97:97,C31,98:98)+100</f>
        <v>100</v>
      </c>
      <c r="K31" s="558"/>
      <c r="L31" s="1976"/>
      <c r="M31" s="1968"/>
      <c r="N31" s="1968"/>
      <c r="O31" s="1968"/>
      <c r="P31" s="3705"/>
      <c r="Q31" s="1460">
        <f t="shared" si="11"/>
        <v>111</v>
      </c>
      <c r="R31" s="1461" t="s">
        <v>8</v>
      </c>
      <c r="S31" s="1462">
        <f t="shared" si="12"/>
        <v>100</v>
      </c>
      <c r="T31" s="1461" t="s">
        <v>8</v>
      </c>
      <c r="U31" s="1462">
        <f t="shared" si="13"/>
        <v>100</v>
      </c>
      <c r="V31" s="1461" t="s">
        <v>8</v>
      </c>
      <c r="W31" s="1462">
        <f t="shared" si="14"/>
        <v>100</v>
      </c>
      <c r="X31" s="1455"/>
      <c r="Y31" s="3705"/>
      <c r="Z31" s="1463">
        <f t="shared" si="15"/>
        <v>111</v>
      </c>
      <c r="AA31" s="1464">
        <f t="shared" si="3"/>
        <v>1</v>
      </c>
      <c r="AB31" s="1464">
        <f t="shared" si="4"/>
        <v>1</v>
      </c>
      <c r="AC31" s="1464">
        <f t="shared" si="5"/>
        <v>1</v>
      </c>
    </row>
    <row r="32" spans="1:29" ht="15.75" thickBot="1">
      <c r="A32" s="520"/>
      <c r="B32" s="884">
        <v>111</v>
      </c>
      <c r="C32" s="885"/>
      <c r="D32" s="523">
        <v>100</v>
      </c>
      <c r="E32" s="881"/>
      <c r="F32" s="523">
        <f>SUMIF(99:99,E32,100:100)-SUMIF(99:99,C32,100:100)+100</f>
        <v>100</v>
      </c>
      <c r="G32" s="880"/>
      <c r="H32" s="523">
        <f>SUMIF(99:99,G32,100:100)-SUMIF(99:99,C32,100:100)+100</f>
        <v>100</v>
      </c>
      <c r="I32" s="505"/>
      <c r="J32" s="523">
        <f>SUMIF(99:99,I32,100:100)-SUMIF(99:99,C32,100:100)+100</f>
        <v>100</v>
      </c>
      <c r="K32" s="558"/>
      <c r="L32" s="1976"/>
      <c r="M32" s="1968"/>
      <c r="N32" s="1968"/>
      <c r="O32" s="1968"/>
      <c r="P32" s="3705"/>
      <c r="Q32" s="1460">
        <f t="shared" si="11"/>
        <v>111</v>
      </c>
      <c r="R32" s="1461" t="s">
        <v>8</v>
      </c>
      <c r="S32" s="1462">
        <f t="shared" si="12"/>
        <v>100</v>
      </c>
      <c r="T32" s="1461" t="s">
        <v>8</v>
      </c>
      <c r="U32" s="1462">
        <f t="shared" si="13"/>
        <v>100</v>
      </c>
      <c r="V32" s="1461" t="s">
        <v>8</v>
      </c>
      <c r="W32" s="1462">
        <f t="shared" si="14"/>
        <v>100</v>
      </c>
      <c r="X32" s="1455"/>
      <c r="Y32" s="3705"/>
      <c r="Z32" s="1463">
        <f t="shared" si="15"/>
        <v>111</v>
      </c>
      <c r="AA32" s="1464">
        <f t="shared" si="3"/>
        <v>1</v>
      </c>
      <c r="AB32" s="1464">
        <f t="shared" si="4"/>
        <v>1</v>
      </c>
      <c r="AC32" s="1464">
        <f t="shared" si="5"/>
        <v>1</v>
      </c>
    </row>
    <row r="33" spans="1:29" ht="15">
      <c r="A33" s="2544" t="s">
        <v>2471</v>
      </c>
      <c r="B33" s="170" t="s">
        <v>762</v>
      </c>
      <c r="C33" s="886"/>
      <c r="D33" s="574">
        <v>100</v>
      </c>
      <c r="E33" s="886"/>
      <c r="F33" s="552">
        <f>SUMIF(101:101,E33,102:102)-SUMIF(101:101,C33,102:102)+100</f>
        <v>100</v>
      </c>
      <c r="G33" s="886"/>
      <c r="H33" s="517">
        <f>SUMIF(101:101,G33,102:102)-SUMIF(101:101,C33,102:102)+100</f>
        <v>100</v>
      </c>
      <c r="I33" s="886"/>
      <c r="J33" s="574">
        <f>SUMIF(101:101,I33,102:102)-SUMIF(101:101,C33,102:102)+100</f>
        <v>100</v>
      </c>
      <c r="K33" s="561"/>
      <c r="L33" s="1976"/>
      <c r="M33" s="1968"/>
      <c r="N33" s="1968"/>
      <c r="O33" s="1968"/>
      <c r="P33" s="3706" t="s">
        <v>533</v>
      </c>
      <c r="Q33" s="1460" t="str">
        <f t="shared" si="11"/>
        <v>建筑类型</v>
      </c>
      <c r="R33" s="1461" t="s">
        <v>8</v>
      </c>
      <c r="S33" s="1462">
        <f t="shared" si="12"/>
        <v>100</v>
      </c>
      <c r="T33" s="1461" t="s">
        <v>8</v>
      </c>
      <c r="U33" s="1462">
        <f t="shared" si="13"/>
        <v>100</v>
      </c>
      <c r="V33" s="1461" t="s">
        <v>8</v>
      </c>
      <c r="W33" s="1462">
        <f t="shared" si="14"/>
        <v>100</v>
      </c>
      <c r="X33" s="1455"/>
      <c r="Y33" s="3707" t="s">
        <v>533</v>
      </c>
      <c r="Z33" s="1463" t="str">
        <f t="shared" si="15"/>
        <v>建筑类型</v>
      </c>
      <c r="AA33" s="1464">
        <f t="shared" si="3"/>
        <v>1</v>
      </c>
      <c r="AB33" s="1464">
        <f t="shared" si="4"/>
        <v>1</v>
      </c>
      <c r="AC33" s="1464">
        <f t="shared" si="5"/>
        <v>1</v>
      </c>
    </row>
    <row r="34" spans="1:29" s="1247" customFormat="1" ht="15">
      <c r="A34" s="580"/>
      <c r="B34" s="504" t="s">
        <v>708</v>
      </c>
      <c r="C34" s="850"/>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4"/>
      <c r="M34" s="2004"/>
      <c r="N34" s="2004"/>
      <c r="O34" s="2004"/>
      <c r="P34" s="3707"/>
      <c r="Q34" s="1489" t="str">
        <f t="shared" si="11"/>
        <v>项目建筑规模</v>
      </c>
      <c r="R34" s="1465" t="s">
        <v>8</v>
      </c>
      <c r="S34" s="1466" t="e">
        <f t="shared" si="12"/>
        <v>#N/A</v>
      </c>
      <c r="T34" s="1465" t="s">
        <v>8</v>
      </c>
      <c r="U34" s="1466" t="e">
        <f t="shared" si="13"/>
        <v>#N/A</v>
      </c>
      <c r="V34" s="1465" t="s">
        <v>8</v>
      </c>
      <c r="W34" s="1466" t="e">
        <f t="shared" si="14"/>
        <v>#N/A</v>
      </c>
      <c r="X34" s="1467"/>
      <c r="Y34" s="3707"/>
      <c r="Z34" s="1468" t="str">
        <f t="shared" si="15"/>
        <v>项目建筑规模</v>
      </c>
      <c r="AA34" s="1464" t="e">
        <f t="shared" si="3"/>
        <v>#N/A</v>
      </c>
      <c r="AB34" s="1464" t="e">
        <f t="shared" si="4"/>
        <v>#N/A</v>
      </c>
      <c r="AC34" s="1464"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6"/>
      <c r="M35" s="1968"/>
      <c r="N35" s="1968"/>
      <c r="O35" s="1968"/>
      <c r="P35" s="3707"/>
      <c r="Q35" s="1460" t="str">
        <f t="shared" si="11"/>
        <v>建筑结构</v>
      </c>
      <c r="R35" s="1461" t="s">
        <v>8</v>
      </c>
      <c r="S35" s="1462">
        <f t="shared" si="12"/>
        <v>100</v>
      </c>
      <c r="T35" s="1461" t="s">
        <v>8</v>
      </c>
      <c r="U35" s="1462">
        <f t="shared" si="13"/>
        <v>100</v>
      </c>
      <c r="V35" s="1461" t="s">
        <v>8</v>
      </c>
      <c r="W35" s="1462">
        <f t="shared" si="14"/>
        <v>100</v>
      </c>
      <c r="X35" s="1455"/>
      <c r="Y35" s="3707"/>
      <c r="Z35" s="1463" t="str">
        <f t="shared" si="15"/>
        <v>建筑结构</v>
      </c>
      <c r="AA35" s="1464">
        <f t="shared" si="3"/>
        <v>1</v>
      </c>
      <c r="AB35" s="1464">
        <f t="shared" si="4"/>
        <v>1</v>
      </c>
      <c r="AC35" s="1464">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6"/>
      <c r="M36" s="1968"/>
      <c r="N36" s="1968"/>
      <c r="O36" s="1968"/>
      <c r="P36" s="3707"/>
      <c r="Q36" s="1460" t="str">
        <f t="shared" si="11"/>
        <v>公共部分装修</v>
      </c>
      <c r="R36" s="1461" t="s">
        <v>8</v>
      </c>
      <c r="S36" s="1462">
        <f t="shared" si="12"/>
        <v>100</v>
      </c>
      <c r="T36" s="1461" t="s">
        <v>8</v>
      </c>
      <c r="U36" s="1462">
        <f t="shared" si="13"/>
        <v>100</v>
      </c>
      <c r="V36" s="1461" t="s">
        <v>8</v>
      </c>
      <c r="W36" s="1462">
        <f t="shared" si="14"/>
        <v>100</v>
      </c>
      <c r="X36" s="1455"/>
      <c r="Y36" s="3707"/>
      <c r="Z36" s="1463" t="str">
        <f t="shared" si="15"/>
        <v>公共部分装修</v>
      </c>
      <c r="AA36" s="1464">
        <f t="shared" si="3"/>
        <v>1</v>
      </c>
      <c r="AB36" s="1464">
        <f t="shared" si="4"/>
        <v>1</v>
      </c>
      <c r="AC36" s="1464">
        <f t="shared" si="5"/>
        <v>1</v>
      </c>
    </row>
    <row r="37" spans="1:29" ht="15">
      <c r="A37" s="571"/>
      <c r="B37" s="504" t="s">
        <v>746</v>
      </c>
      <c r="C37" s="853"/>
      <c r="D37" s="517">
        <v>100</v>
      </c>
      <c r="E37" s="853"/>
      <c r="F37" s="552" t="e">
        <f>LOOKUP(E37,111:111,112:112)-LOOKUP(C37,111:111,112:112)+100</f>
        <v>#N/A</v>
      </c>
      <c r="G37" s="853"/>
      <c r="H37" s="552" t="e">
        <f>LOOKUP(G37,111:111,112:112)-LOOKUP(C37,111:111,112:112)+100</f>
        <v>#N/A</v>
      </c>
      <c r="I37" s="853"/>
      <c r="J37" s="517" t="e">
        <f>LOOKUP(I37,111:111,112:112)-LOOKUP(C37,111:111,112:112)+100</f>
        <v>#N/A</v>
      </c>
      <c r="K37" s="561"/>
      <c r="L37" s="1976"/>
      <c r="M37" s="1968"/>
      <c r="N37" s="1968"/>
      <c r="O37" s="1968"/>
      <c r="P37" s="3707"/>
      <c r="Q37" s="1460" t="str">
        <f t="shared" si="11"/>
        <v>成新度</v>
      </c>
      <c r="R37" s="1461" t="s">
        <v>8</v>
      </c>
      <c r="S37" s="1462" t="e">
        <f t="shared" si="12"/>
        <v>#N/A</v>
      </c>
      <c r="T37" s="1461" t="s">
        <v>8</v>
      </c>
      <c r="U37" s="1462" t="e">
        <f t="shared" si="13"/>
        <v>#N/A</v>
      </c>
      <c r="V37" s="1461" t="s">
        <v>8</v>
      </c>
      <c r="W37" s="1462" t="e">
        <f t="shared" si="14"/>
        <v>#N/A</v>
      </c>
      <c r="X37" s="1455"/>
      <c r="Y37" s="3707"/>
      <c r="Z37" s="1463" t="str">
        <f t="shared" si="15"/>
        <v>成新度</v>
      </c>
      <c r="AA37" s="1464" t="e">
        <f t="shared" si="3"/>
        <v>#N/A</v>
      </c>
      <c r="AB37" s="1464" t="e">
        <f t="shared" si="4"/>
        <v>#N/A</v>
      </c>
      <c r="AC37" s="1464" t="e">
        <f t="shared" si="5"/>
        <v>#N/A</v>
      </c>
    </row>
    <row r="38" spans="1:29" s="1165"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69"/>
      <c r="M38" s="1970"/>
      <c r="N38" s="1970"/>
      <c r="O38" s="1970"/>
      <c r="P38" s="3707"/>
      <c r="Q38" s="1096" t="str">
        <f t="shared" si="11"/>
        <v>写字楼等级</v>
      </c>
      <c r="R38" s="1456" t="s">
        <v>8</v>
      </c>
      <c r="S38" s="1457">
        <f t="shared" si="12"/>
        <v>100</v>
      </c>
      <c r="T38" s="1456" t="s">
        <v>8</v>
      </c>
      <c r="U38" s="1457">
        <f t="shared" si="13"/>
        <v>100</v>
      </c>
      <c r="V38" s="1456" t="s">
        <v>8</v>
      </c>
      <c r="W38" s="1457">
        <f t="shared" si="14"/>
        <v>100</v>
      </c>
      <c r="X38" s="1458"/>
      <c r="Y38" s="3707"/>
      <c r="Z38" s="1095" t="str">
        <f t="shared" si="15"/>
        <v>写字楼等级</v>
      </c>
      <c r="AA38" s="1459">
        <f t="shared" si="3"/>
        <v>1</v>
      </c>
      <c r="AB38" s="1459">
        <f t="shared" si="4"/>
        <v>1</v>
      </c>
      <c r="AC38" s="1459">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6"/>
      <c r="M39" s="1968"/>
      <c r="N39" s="1968"/>
      <c r="O39" s="1968"/>
      <c r="P39" s="3707" t="s">
        <v>533</v>
      </c>
      <c r="Q39" s="1460" t="str">
        <f t="shared" si="11"/>
        <v>物业管理</v>
      </c>
      <c r="R39" s="1461" t="s">
        <v>8</v>
      </c>
      <c r="S39" s="1462">
        <f t="shared" si="12"/>
        <v>100</v>
      </c>
      <c r="T39" s="1461" t="s">
        <v>8</v>
      </c>
      <c r="U39" s="1462">
        <f t="shared" si="13"/>
        <v>100</v>
      </c>
      <c r="V39" s="1461" t="s">
        <v>8</v>
      </c>
      <c r="W39" s="1462">
        <f t="shared" si="14"/>
        <v>100</v>
      </c>
      <c r="X39" s="1455"/>
      <c r="Y39" s="3707" t="s">
        <v>533</v>
      </c>
      <c r="Z39" s="1463" t="str">
        <f t="shared" si="15"/>
        <v>物业管理</v>
      </c>
      <c r="AA39" s="1464">
        <f t="shared" si="3"/>
        <v>1</v>
      </c>
      <c r="AB39" s="1464">
        <f t="shared" si="4"/>
        <v>1</v>
      </c>
      <c r="AC39" s="1464">
        <f t="shared" si="5"/>
        <v>1</v>
      </c>
    </row>
    <row r="40" spans="1:29" ht="15">
      <c r="A40" s="571"/>
      <c r="B40" s="1762" t="s">
        <v>2282</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6"/>
      <c r="M40" s="1968"/>
      <c r="N40" s="1968"/>
      <c r="O40" s="1968"/>
      <c r="P40" s="3707"/>
      <c r="Q40" s="1460" t="str">
        <f t="shared" si="11"/>
        <v>市政基础设施</v>
      </c>
      <c r="R40" s="1461" t="s">
        <v>8</v>
      </c>
      <c r="S40" s="1462">
        <f t="shared" si="12"/>
        <v>100</v>
      </c>
      <c r="T40" s="1461" t="s">
        <v>8</v>
      </c>
      <c r="U40" s="1462">
        <f t="shared" si="13"/>
        <v>100</v>
      </c>
      <c r="V40" s="1461" t="s">
        <v>8</v>
      </c>
      <c r="W40" s="1462">
        <f t="shared" si="14"/>
        <v>100</v>
      </c>
      <c r="X40" s="1455"/>
      <c r="Y40" s="3707"/>
      <c r="Z40" s="1463" t="str">
        <f t="shared" si="15"/>
        <v>市政基础设施</v>
      </c>
      <c r="AA40" s="1464">
        <f t="shared" si="3"/>
        <v>1</v>
      </c>
      <c r="AB40" s="1464">
        <f t="shared" si="4"/>
        <v>1</v>
      </c>
      <c r="AC40" s="1464">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6"/>
      <c r="M41" s="1968"/>
      <c r="N41" s="1968"/>
      <c r="O41" s="1968"/>
      <c r="P41" s="3707"/>
      <c r="Q41" s="1460" t="str">
        <f t="shared" si="11"/>
        <v>层高</v>
      </c>
      <c r="R41" s="1461" t="s">
        <v>8</v>
      </c>
      <c r="S41" s="1462">
        <f t="shared" si="12"/>
        <v>100</v>
      </c>
      <c r="T41" s="1461" t="s">
        <v>8</v>
      </c>
      <c r="U41" s="1462">
        <f t="shared" si="13"/>
        <v>100</v>
      </c>
      <c r="V41" s="1461" t="s">
        <v>8</v>
      </c>
      <c r="W41" s="1462">
        <f t="shared" si="14"/>
        <v>100</v>
      </c>
      <c r="X41" s="1455"/>
      <c r="Y41" s="3707"/>
      <c r="Z41" s="1463" t="str">
        <f t="shared" si="15"/>
        <v>层高</v>
      </c>
      <c r="AA41" s="1464">
        <f t="shared" si="3"/>
        <v>1</v>
      </c>
      <c r="AB41" s="1464">
        <f t="shared" si="4"/>
        <v>1</v>
      </c>
      <c r="AC41" s="1464">
        <f t="shared" si="5"/>
        <v>1</v>
      </c>
    </row>
    <row r="42" spans="1:29" s="1247" customFormat="1" ht="15">
      <c r="A42" s="580"/>
      <c r="B42" s="874"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4"/>
      <c r="M42" s="2004"/>
      <c r="N42" s="2004"/>
      <c r="O42" s="2004"/>
      <c r="P42" s="3707"/>
      <c r="Q42" s="1489" t="str">
        <f t="shared" si="11"/>
        <v>单套建筑面积</v>
      </c>
      <c r="R42" s="1465" t="s">
        <v>8</v>
      </c>
      <c r="S42" s="1466">
        <f t="shared" si="12"/>
        <v>100</v>
      </c>
      <c r="T42" s="1465" t="s">
        <v>8</v>
      </c>
      <c r="U42" s="1466">
        <f t="shared" si="13"/>
        <v>100</v>
      </c>
      <c r="V42" s="1465" t="s">
        <v>8</v>
      </c>
      <c r="W42" s="1466">
        <f t="shared" si="14"/>
        <v>100</v>
      </c>
      <c r="X42" s="1467"/>
      <c r="Y42" s="3707"/>
      <c r="Z42" s="1468" t="str">
        <f t="shared" si="15"/>
        <v>单套建筑面积</v>
      </c>
      <c r="AA42" s="1464">
        <f t="shared" si="3"/>
        <v>1</v>
      </c>
      <c r="AB42" s="1464">
        <f t="shared" si="4"/>
        <v>1</v>
      </c>
      <c r="AC42" s="1464">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6"/>
      <c r="M43" s="1968"/>
      <c r="N43" s="1968"/>
      <c r="O43" s="1968"/>
      <c r="P43" s="3707"/>
      <c r="Q43" s="1460" t="str">
        <f t="shared" si="11"/>
        <v>内部装修</v>
      </c>
      <c r="R43" s="1461" t="s">
        <v>8</v>
      </c>
      <c r="S43" s="1462">
        <f t="shared" si="12"/>
        <v>100</v>
      </c>
      <c r="T43" s="1461" t="s">
        <v>8</v>
      </c>
      <c r="U43" s="1462">
        <f t="shared" si="13"/>
        <v>100</v>
      </c>
      <c r="V43" s="1461" t="s">
        <v>8</v>
      </c>
      <c r="W43" s="1462">
        <f t="shared" si="14"/>
        <v>100</v>
      </c>
      <c r="X43" s="1455"/>
      <c r="Y43" s="3707"/>
      <c r="Z43" s="1463" t="str">
        <f t="shared" si="15"/>
        <v>内部装修</v>
      </c>
      <c r="AA43" s="1464">
        <f t="shared" si="3"/>
        <v>1</v>
      </c>
      <c r="AB43" s="1464">
        <f t="shared" si="4"/>
        <v>1</v>
      </c>
      <c r="AC43" s="1464">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6"/>
      <c r="M44" s="1968"/>
      <c r="N44" s="1968"/>
      <c r="O44" s="1968"/>
      <c r="P44" s="3707"/>
      <c r="Q44" s="1460" t="str">
        <f t="shared" si="11"/>
        <v>内部装修维护情况</v>
      </c>
      <c r="R44" s="1461" t="s">
        <v>8</v>
      </c>
      <c r="S44" s="1462">
        <f t="shared" si="12"/>
        <v>100</v>
      </c>
      <c r="T44" s="1461" t="s">
        <v>8</v>
      </c>
      <c r="U44" s="1462">
        <f t="shared" si="13"/>
        <v>100</v>
      </c>
      <c r="V44" s="1461" t="s">
        <v>8</v>
      </c>
      <c r="W44" s="1462">
        <f t="shared" si="14"/>
        <v>100</v>
      </c>
      <c r="X44" s="1455"/>
      <c r="Y44" s="3707"/>
      <c r="Z44" s="1463" t="str">
        <f t="shared" si="15"/>
        <v>内部装修维护情况</v>
      </c>
      <c r="AA44" s="1464">
        <f t="shared" si="3"/>
        <v>1</v>
      </c>
      <c r="AB44" s="1464">
        <f t="shared" si="4"/>
        <v>1</v>
      </c>
      <c r="AC44" s="1464">
        <f t="shared" si="5"/>
        <v>1</v>
      </c>
    </row>
    <row r="45" spans="1:29" s="1165" customFormat="1" ht="15">
      <c r="A45" s="577"/>
      <c r="B45" s="849">
        <v>111</v>
      </c>
      <c r="C45" s="850"/>
      <c r="D45" s="253">
        <v>100</v>
      </c>
      <c r="E45" s="505"/>
      <c r="F45" s="835">
        <f>SUMIF(127:127,E45,128:128)-SUMIF(127:127,C45,128:128)+100</f>
        <v>100</v>
      </c>
      <c r="G45" s="505"/>
      <c r="H45" s="253">
        <f>SUMIF(127:127,G45,128:128)-SUMIF(127:127,C45,128:128)+100</f>
        <v>100</v>
      </c>
      <c r="I45" s="505"/>
      <c r="J45" s="253">
        <f>SUMIF(127:127,I45,128:128)-SUMIF(127:127,C45,128:128)+100</f>
        <v>100</v>
      </c>
      <c r="K45" s="558"/>
      <c r="L45" s="1969"/>
      <c r="M45" s="1970"/>
      <c r="N45" s="1970"/>
      <c r="O45" s="1970"/>
      <c r="P45" s="3707"/>
      <c r="Q45" s="1096">
        <f t="shared" si="11"/>
        <v>111</v>
      </c>
      <c r="R45" s="1456" t="s">
        <v>8</v>
      </c>
      <c r="S45" s="1457">
        <f t="shared" si="12"/>
        <v>100</v>
      </c>
      <c r="T45" s="1456" t="s">
        <v>8</v>
      </c>
      <c r="U45" s="1457">
        <f t="shared" si="13"/>
        <v>100</v>
      </c>
      <c r="V45" s="1456" t="s">
        <v>8</v>
      </c>
      <c r="W45" s="1457">
        <f t="shared" si="14"/>
        <v>100</v>
      </c>
      <c r="X45" s="1458"/>
      <c r="Y45" s="3707"/>
      <c r="Z45" s="1095">
        <f t="shared" si="15"/>
        <v>111</v>
      </c>
      <c r="AA45" s="1459">
        <f t="shared" si="3"/>
        <v>1</v>
      </c>
      <c r="AB45" s="1459">
        <f t="shared" si="4"/>
        <v>1</v>
      </c>
      <c r="AC45" s="1459">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6"/>
      <c r="M46" s="1968"/>
      <c r="N46" s="1968"/>
      <c r="O46" s="1968"/>
      <c r="P46" s="3707"/>
      <c r="Q46" s="1460">
        <f t="shared" si="11"/>
        <v>111</v>
      </c>
      <c r="R46" s="1461" t="s">
        <v>8</v>
      </c>
      <c r="S46" s="1462">
        <f t="shared" si="12"/>
        <v>100</v>
      </c>
      <c r="T46" s="1461" t="s">
        <v>8</v>
      </c>
      <c r="U46" s="1462">
        <f t="shared" si="13"/>
        <v>100</v>
      </c>
      <c r="V46" s="1461" t="s">
        <v>8</v>
      </c>
      <c r="W46" s="1462">
        <f t="shared" si="14"/>
        <v>100</v>
      </c>
      <c r="X46" s="1455"/>
      <c r="Y46" s="3707"/>
      <c r="Z46" s="1463">
        <f t="shared" si="15"/>
        <v>111</v>
      </c>
      <c r="AA46" s="1464">
        <f t="shared" si="3"/>
        <v>1</v>
      </c>
      <c r="AB46" s="1464">
        <f t="shared" si="4"/>
        <v>1</v>
      </c>
      <c r="AC46" s="1464">
        <f t="shared" si="5"/>
        <v>1</v>
      </c>
    </row>
    <row r="47" spans="1:29" ht="15.75" thickBot="1">
      <c r="A47" s="856"/>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6"/>
      <c r="M47" s="1968"/>
      <c r="N47" s="1968"/>
      <c r="O47" s="1968"/>
      <c r="P47" s="3802"/>
      <c r="Q47" s="1460">
        <f t="shared" si="11"/>
        <v>111</v>
      </c>
      <c r="R47" s="1461" t="s">
        <v>8</v>
      </c>
      <c r="S47" s="1462">
        <f t="shared" si="12"/>
        <v>100</v>
      </c>
      <c r="T47" s="1461" t="s">
        <v>8</v>
      </c>
      <c r="U47" s="1462">
        <f t="shared" si="13"/>
        <v>100</v>
      </c>
      <c r="V47" s="1461" t="s">
        <v>8</v>
      </c>
      <c r="W47" s="1462">
        <f t="shared" si="14"/>
        <v>100</v>
      </c>
      <c r="X47" s="1455"/>
      <c r="Y47" s="3802"/>
      <c r="Z47" s="1463">
        <f t="shared" si="15"/>
        <v>111</v>
      </c>
      <c r="AA47" s="1464">
        <f t="shared" si="3"/>
        <v>1</v>
      </c>
      <c r="AB47" s="1464">
        <f t="shared" si="4"/>
        <v>1</v>
      </c>
      <c r="AC47" s="1464">
        <f t="shared" si="5"/>
        <v>1</v>
      </c>
    </row>
    <row r="48" spans="1:29" ht="15">
      <c r="A48" s="584" t="s">
        <v>718</v>
      </c>
      <c r="B48" s="857"/>
      <c r="C48" s="2390" t="s">
        <v>1</v>
      </c>
      <c r="D48" s="2391"/>
      <c r="E48" s="2392"/>
      <c r="F48" s="2393"/>
      <c r="G48" s="2394"/>
      <c r="H48" s="2395"/>
      <c r="I48" s="2392"/>
      <c r="J48" s="2395"/>
      <c r="K48" s="1494"/>
      <c r="L48" s="1978"/>
      <c r="M48" s="1968"/>
      <c r="N48" s="1968"/>
      <c r="O48" s="1968"/>
      <c r="P48" s="3709" t="str">
        <f>A48</f>
        <v>成交单价（元/平方米）</v>
      </c>
      <c r="Q48" s="3671"/>
      <c r="R48" s="3801">
        <f>E48</f>
        <v>0</v>
      </c>
      <c r="S48" s="3801"/>
      <c r="T48" s="3801">
        <f>G48</f>
        <v>0</v>
      </c>
      <c r="U48" s="3801"/>
      <c r="V48" s="3801">
        <f>I48</f>
        <v>0</v>
      </c>
      <c r="W48" s="3801"/>
      <c r="X48" s="1450"/>
      <c r="Y48" s="1469"/>
      <c r="Z48" s="1450"/>
      <c r="AA48" s="1450"/>
      <c r="AB48" s="1450"/>
      <c r="AC48" s="1450"/>
    </row>
    <row r="49" spans="1:29" ht="15.75" thickBot="1">
      <c r="A49" s="592" t="s">
        <v>2476</v>
      </c>
      <c r="B49" s="858"/>
      <c r="C49" s="2396" t="e">
        <f>R50</f>
        <v>#DIV/0!</v>
      </c>
      <c r="D49" s="2919" t="s">
        <v>2701</v>
      </c>
      <c r="E49" s="2397" t="e">
        <f>R49</f>
        <v>#DIV/0!</v>
      </c>
      <c r="F49" s="2920"/>
      <c r="G49" s="2396" t="e">
        <f>T49</f>
        <v>#DIV/0!</v>
      </c>
      <c r="H49" s="2920"/>
      <c r="I49" s="2397" t="e">
        <f>V49</f>
        <v>#DIV/0!</v>
      </c>
      <c r="J49" s="2920"/>
      <c r="K49" s="2928">
        <f>F49+H49+J49</f>
        <v>0</v>
      </c>
      <c r="L49" s="1978"/>
      <c r="M49" s="1968"/>
      <c r="N49" s="1968"/>
      <c r="O49" s="1968"/>
      <c r="P49" s="3709" t="str">
        <f>A49</f>
        <v>比较价格（元/平方米）</v>
      </c>
      <c r="Q49" s="3671"/>
      <c r="R49" s="3801" t="e">
        <f>IF(F1="售价",ROUND(PRODUCT(R48,AA7:AA47),0),ROUND(PRODUCT(R48,AA7:AA47),1))</f>
        <v>#DIV/0!</v>
      </c>
      <c r="S49" s="3801"/>
      <c r="T49" s="3801" t="e">
        <f>IF(F1="售价",ROUND(PRODUCT(T48,AB7:AB47),0),ROUND(PRODUCT(T48,AB7:AB47),1))</f>
        <v>#DIV/0!</v>
      </c>
      <c r="U49" s="3801"/>
      <c r="V49" s="3801" t="e">
        <f>IF(F1="售价",ROUND(PRODUCT(V48,AC7:AC47),0),ROUND(PRODUCT(V48,AC7:AC47),1))</f>
        <v>#DIV/0!</v>
      </c>
      <c r="W49" s="3801"/>
      <c r="X49" s="1450"/>
      <c r="Y49" s="1450"/>
      <c r="Z49" s="1450"/>
      <c r="AA49" s="1450"/>
      <c r="AB49" s="1450"/>
      <c r="AC49" s="1450"/>
    </row>
    <row r="50" spans="1:29" ht="15.75" thickBot="1">
      <c r="A50" s="596" t="s">
        <v>2636</v>
      </c>
      <c r="B50" s="597"/>
      <c r="C50" s="2398" t="e">
        <f>R50</f>
        <v>#DIV/0!</v>
      </c>
      <c r="D50" s="2398"/>
      <c r="E50" s="2398"/>
      <c r="F50" s="2398"/>
      <c r="G50" s="2398"/>
      <c r="H50" s="2398"/>
      <c r="I50" s="2398"/>
      <c r="J50" s="2398"/>
      <c r="K50" s="1495"/>
      <c r="L50" s="1978"/>
      <c r="M50" s="1968"/>
      <c r="N50" s="1968"/>
      <c r="O50" s="1968"/>
      <c r="P50" s="3803" t="str">
        <f>A50</f>
        <v>估价对象XX用房的比较价格（楼面单价，元/平方米）</v>
      </c>
      <c r="Q50" s="3709"/>
      <c r="R50" s="3800" t="e">
        <f>IF(F1="售价",ROUND(IF(D49="简单平均",AVERAGE(R49:V49),R49*F49+T49*H49+V49*J49),0),ROUND(IF(D49="简单平均",AVERAGE(R49:V49),R49*F49+T49*H49+V49*J49),1))</f>
        <v>#DIV/0!</v>
      </c>
      <c r="S50" s="3800"/>
      <c r="T50" s="3800"/>
      <c r="U50" s="3800"/>
      <c r="V50" s="3800"/>
      <c r="W50" s="3800"/>
      <c r="X50" s="1450"/>
      <c r="Y50" s="1450"/>
      <c r="Z50" s="1450"/>
      <c r="AA50" s="1450"/>
      <c r="AB50" s="1450"/>
      <c r="AC50" s="1450"/>
    </row>
    <row r="51" spans="1:29">
      <c r="A51" s="3119"/>
      <c r="B51" s="3119"/>
      <c r="C51" s="3119"/>
      <c r="D51" s="3119"/>
      <c r="E51" s="3119"/>
      <c r="F51" s="3119"/>
      <c r="G51" s="3121"/>
      <c r="H51" s="3119"/>
      <c r="I51" s="3119"/>
      <c r="J51" s="3119"/>
      <c r="K51" s="3122"/>
      <c r="L51" s="1983"/>
      <c r="M51" s="1979"/>
      <c r="N51" s="1979"/>
      <c r="O51" s="1979"/>
      <c r="P51" s="2040"/>
      <c r="Q51" s="1979"/>
      <c r="R51" s="1979"/>
      <c r="S51" s="1979"/>
      <c r="T51" s="1979"/>
      <c r="U51" s="1979"/>
      <c r="V51" s="1979"/>
      <c r="W51" s="1979"/>
      <c r="X51" s="1979"/>
      <c r="Y51" s="1979"/>
      <c r="Z51" s="1979"/>
      <c r="AA51" s="1979"/>
      <c r="AB51" s="1979"/>
      <c r="AC51" s="1979"/>
    </row>
    <row r="52" spans="1:29">
      <c r="A52" s="3119"/>
      <c r="B52" s="3119"/>
      <c r="C52" s="3119"/>
      <c r="D52" s="3119"/>
      <c r="E52" s="3119"/>
      <c r="F52" s="3119"/>
      <c r="G52" s="3119"/>
      <c r="H52" s="3119"/>
      <c r="I52" s="3119"/>
      <c r="J52" s="3119"/>
      <c r="K52" s="3122"/>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19"/>
      <c r="B53" s="3119"/>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2"/>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19"/>
      <c r="B54" s="3119"/>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2"/>
      <c r="L54" s="1983"/>
      <c r="M54" s="1979"/>
      <c r="N54" s="1979"/>
      <c r="O54" s="1979"/>
      <c r="P54" s="2040"/>
      <c r="Q54" s="1979"/>
      <c r="R54" s="1979"/>
      <c r="S54" s="1979"/>
      <c r="T54" s="1979"/>
      <c r="U54" s="1979"/>
      <c r="V54" s="1979"/>
      <c r="W54" s="1979"/>
      <c r="X54" s="1979"/>
      <c r="Y54" s="1979"/>
      <c r="Z54" s="1979"/>
      <c r="AA54" s="1979"/>
      <c r="AB54" s="1979"/>
      <c r="AC54" s="1979"/>
    </row>
    <row r="55" spans="1:29" s="1252" customFormat="1" ht="13.5" customHeight="1">
      <c r="A55" s="3120"/>
      <c r="B55" s="3120"/>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3"/>
      <c r="L55" s="1986"/>
      <c r="M55" s="1980"/>
      <c r="N55" s="1980"/>
      <c r="O55" s="1980"/>
      <c r="P55" s="2041"/>
      <c r="Q55" s="1980"/>
      <c r="R55" s="1980"/>
      <c r="S55" s="1980"/>
      <c r="T55" s="1980"/>
      <c r="U55" s="1980"/>
      <c r="V55" s="1980"/>
      <c r="W55" s="1980"/>
      <c r="X55" s="1980"/>
      <c r="Y55" s="1980"/>
      <c r="Z55" s="1980"/>
      <c r="AA55" s="1980"/>
      <c r="AB55" s="1980"/>
      <c r="AC55" s="1980"/>
    </row>
    <row r="56" spans="1:29" s="1252"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75" thickBot="1">
      <c r="A58" s="1472" t="s">
        <v>556</v>
      </c>
      <c r="B58" s="1450"/>
      <c r="C58" s="1471"/>
      <c r="D58" s="1471"/>
      <c r="E58" s="1471"/>
      <c r="F58" s="1473"/>
      <c r="G58" s="1473"/>
      <c r="H58" s="1471"/>
      <c r="I58" s="1471"/>
      <c r="J58" s="1471"/>
      <c r="K58" s="1474"/>
      <c r="L58" s="1470"/>
      <c r="M58" s="1471"/>
      <c r="N58" s="1990"/>
      <c r="O58" s="1990"/>
      <c r="P58" s="2042"/>
      <c r="Q58" s="1991"/>
      <c r="R58" s="1979"/>
      <c r="S58" s="1979"/>
      <c r="T58" s="1979"/>
      <c r="U58" s="1979"/>
      <c r="V58" s="1979"/>
      <c r="W58" s="1979"/>
      <c r="X58" s="1979"/>
      <c r="Y58" s="1979"/>
      <c r="Z58" s="1979"/>
      <c r="AA58" s="1979"/>
      <c r="AB58" s="1979"/>
      <c r="AC58" s="1979"/>
    </row>
    <row r="59" spans="1:29" s="1254" customFormat="1" ht="15">
      <c r="A59" s="620" t="s">
        <v>512</v>
      </c>
      <c r="B59" s="621"/>
      <c r="C59" s="2439" t="str">
        <f>YEAR(C7)&amp;"-"&amp;MONTH(C7)</f>
        <v>2022-11</v>
      </c>
      <c r="D59" s="2441">
        <f>EDATE(C59,-1)</f>
        <v>44835</v>
      </c>
      <c r="E59" s="2441">
        <f t="shared" ref="E59:O59" si="16">EDATE(D59,-1)</f>
        <v>44805</v>
      </c>
      <c r="F59" s="2441">
        <f t="shared" si="16"/>
        <v>44774</v>
      </c>
      <c r="G59" s="2441">
        <f t="shared" si="16"/>
        <v>44743</v>
      </c>
      <c r="H59" s="2441">
        <f t="shared" si="16"/>
        <v>44713</v>
      </c>
      <c r="I59" s="2441">
        <f t="shared" si="16"/>
        <v>44682</v>
      </c>
      <c r="J59" s="2441">
        <f t="shared" si="16"/>
        <v>44652</v>
      </c>
      <c r="K59" s="2441">
        <f t="shared" si="16"/>
        <v>44621</v>
      </c>
      <c r="L59" s="2441">
        <f t="shared" si="16"/>
        <v>44593</v>
      </c>
      <c r="M59" s="2441">
        <f t="shared" si="16"/>
        <v>44562</v>
      </c>
      <c r="N59" s="2441">
        <f t="shared" si="16"/>
        <v>44531</v>
      </c>
      <c r="O59" s="2441">
        <f t="shared" si="16"/>
        <v>44501</v>
      </c>
      <c r="P59" s="2043"/>
      <c r="Q59" s="1994"/>
      <c r="R59" s="1994"/>
      <c r="S59" s="1994"/>
      <c r="T59" s="1994"/>
      <c r="U59" s="1994"/>
      <c r="V59" s="1994"/>
      <c r="W59" s="1994"/>
      <c r="X59" s="1994"/>
      <c r="Y59" s="1994"/>
      <c r="Z59" s="1994"/>
      <c r="AA59" s="1994"/>
      <c r="AB59" s="1994"/>
      <c r="AC59" s="1994"/>
    </row>
    <row r="60" spans="1:29" s="1165" customFormat="1" ht="15">
      <c r="A60" s="622"/>
      <c r="B60" s="623"/>
      <c r="C60" s="624">
        <v>100</v>
      </c>
      <c r="D60" s="625"/>
      <c r="E60" s="625"/>
      <c r="F60" s="625"/>
      <c r="G60" s="625"/>
      <c r="H60" s="625"/>
      <c r="I60" s="625"/>
      <c r="J60" s="625"/>
      <c r="K60" s="625"/>
      <c r="L60" s="625"/>
      <c r="M60" s="626"/>
      <c r="N60" s="625"/>
      <c r="O60" s="626"/>
      <c r="P60" s="2044"/>
      <c r="Q60" s="1857"/>
      <c r="R60" s="1857"/>
      <c r="S60" s="1857"/>
      <c r="T60" s="1857"/>
      <c r="U60" s="1857"/>
      <c r="V60" s="1857"/>
      <c r="W60" s="1857"/>
      <c r="X60" s="1857"/>
      <c r="Y60" s="1857"/>
      <c r="Z60" s="1857"/>
      <c r="AA60" s="1857"/>
      <c r="AB60" s="1857"/>
      <c r="AC60" s="1857"/>
    </row>
    <row r="61" spans="1:29" s="1165" customFormat="1" ht="15.75" thickBot="1">
      <c r="A61" s="628" t="s">
        <v>557</v>
      </c>
      <c r="B61" s="629"/>
      <c r="C61" s="630"/>
      <c r="D61" s="631"/>
      <c r="E61" s="631"/>
      <c r="F61" s="631"/>
      <c r="G61" s="631"/>
      <c r="H61" s="631"/>
      <c r="I61" s="631"/>
      <c r="J61" s="631"/>
      <c r="K61" s="631"/>
      <c r="L61" s="631"/>
      <c r="M61" s="632"/>
      <c r="N61" s="631"/>
      <c r="O61" s="632"/>
      <c r="P61" s="2044"/>
      <c r="Q61" s="1991"/>
      <c r="R61" s="1857"/>
      <c r="S61" s="1857"/>
      <c r="T61" s="1857"/>
      <c r="U61" s="1857"/>
      <c r="V61" s="1857"/>
      <c r="W61" s="1857"/>
      <c r="X61" s="1857"/>
      <c r="Y61" s="1857"/>
      <c r="Z61" s="1857"/>
      <c r="AA61" s="1857"/>
      <c r="AB61" s="1857"/>
      <c r="AC61" s="1857"/>
    </row>
    <row r="62" spans="1:29" s="1165" customFormat="1" ht="15">
      <c r="A62" s="634" t="s">
        <v>514</v>
      </c>
      <c r="B62" s="623"/>
      <c r="C62" s="635" t="s">
        <v>558</v>
      </c>
      <c r="D62" s="636"/>
      <c r="E62" s="636"/>
      <c r="F62" s="636"/>
      <c r="G62" s="636"/>
      <c r="H62" s="636"/>
      <c r="I62" s="636"/>
      <c r="J62" s="636"/>
      <c r="K62" s="636"/>
      <c r="L62" s="637"/>
      <c r="M62" s="638"/>
      <c r="N62" s="1995"/>
      <c r="O62" s="1995"/>
      <c r="P62" s="2045"/>
      <c r="Q62" s="1991"/>
      <c r="R62" s="1857"/>
      <c r="S62" s="1857"/>
      <c r="T62" s="1857"/>
      <c r="U62" s="1857"/>
      <c r="V62" s="1857"/>
      <c r="W62" s="1857"/>
      <c r="X62" s="1857"/>
      <c r="Y62" s="1857"/>
      <c r="Z62" s="1857"/>
      <c r="AA62" s="1857"/>
      <c r="AB62" s="1857"/>
      <c r="AC62" s="1857"/>
    </row>
    <row r="63" spans="1:29" s="1165" customFormat="1" ht="15.75" thickBot="1">
      <c r="A63" s="634"/>
      <c r="B63" s="623"/>
      <c r="C63" s="859">
        <v>100</v>
      </c>
      <c r="D63" s="625"/>
      <c r="E63" s="625"/>
      <c r="F63" s="625"/>
      <c r="G63" s="625"/>
      <c r="H63" s="625"/>
      <c r="I63" s="625"/>
      <c r="J63" s="625"/>
      <c r="K63" s="625"/>
      <c r="L63" s="625"/>
      <c r="M63" s="627"/>
      <c r="N63" s="1995"/>
      <c r="O63" s="1995"/>
      <c r="P63" s="2044"/>
      <c r="Q63" s="1991"/>
      <c r="R63" s="1857"/>
      <c r="S63" s="1857"/>
      <c r="T63" s="1857"/>
      <c r="U63" s="1857"/>
      <c r="V63" s="1857"/>
      <c r="W63" s="1857"/>
      <c r="X63" s="1857"/>
      <c r="Y63" s="1857"/>
      <c r="Z63" s="1857"/>
      <c r="AA63" s="1857"/>
      <c r="AB63" s="1857"/>
      <c r="AC63" s="1857"/>
    </row>
    <row r="64" spans="1:29">
      <c r="A64" s="639" t="s">
        <v>559</v>
      </c>
      <c r="B64" s="640" t="s">
        <v>517</v>
      </c>
      <c r="C64" s="679">
        <f>C9</f>
        <v>0</v>
      </c>
      <c r="D64" s="575"/>
      <c r="E64" s="575"/>
      <c r="F64" s="575"/>
      <c r="G64" s="575"/>
      <c r="H64" s="575"/>
      <c r="I64" s="575"/>
      <c r="J64" s="575"/>
      <c r="K64" s="641"/>
      <c r="L64" s="642"/>
      <c r="M64" s="643"/>
      <c r="N64" s="1997"/>
      <c r="O64" s="1997"/>
      <c r="P64" s="2046"/>
      <c r="Q64" s="1991"/>
      <c r="R64" s="1979"/>
      <c r="S64" s="1979"/>
      <c r="T64" s="1979"/>
      <c r="U64" s="1979"/>
      <c r="V64" s="1979"/>
      <c r="W64" s="1979"/>
      <c r="X64" s="1979"/>
      <c r="Y64" s="1979"/>
      <c r="Z64" s="1979"/>
      <c r="AA64" s="1979"/>
      <c r="AB64" s="1979"/>
      <c r="AC64" s="1979"/>
    </row>
    <row r="65" spans="1:29" ht="15.75" thickBot="1">
      <c r="A65" s="644"/>
      <c r="B65" s="645"/>
      <c r="C65" s="646"/>
      <c r="D65" s="646"/>
      <c r="E65" s="646"/>
      <c r="F65" s="646"/>
      <c r="G65" s="646"/>
      <c r="H65" s="646"/>
      <c r="I65" s="646"/>
      <c r="J65" s="646"/>
      <c r="K65" s="646"/>
      <c r="L65" s="646"/>
      <c r="M65" s="647"/>
      <c r="N65" s="1999"/>
      <c r="O65" s="1999"/>
      <c r="P65" s="2046"/>
      <c r="Q65" s="1991"/>
      <c r="R65" s="1979"/>
      <c r="S65" s="1979"/>
      <c r="T65" s="1979"/>
      <c r="U65" s="1979"/>
      <c r="V65" s="1979"/>
      <c r="W65" s="1979"/>
      <c r="X65" s="1979"/>
      <c r="Y65" s="1979"/>
      <c r="Z65" s="1979"/>
      <c r="AA65" s="1979"/>
      <c r="AB65" s="1979"/>
      <c r="AC65" s="1979"/>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7"/>
      <c r="O66" s="1997"/>
      <c r="P66" s="2046"/>
      <c r="Q66" s="1991"/>
      <c r="R66" s="1979"/>
      <c r="S66" s="1979"/>
      <c r="T66" s="1979"/>
      <c r="U66" s="1979"/>
      <c r="V66" s="1979"/>
      <c r="W66" s="1979"/>
      <c r="X66" s="1979"/>
      <c r="Y66" s="1979"/>
      <c r="Z66" s="1979"/>
      <c r="AA66" s="1979"/>
      <c r="AB66" s="1979"/>
      <c r="AC66" s="1979"/>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1999"/>
      <c r="O67" s="1999"/>
      <c r="P67" s="2046"/>
      <c r="Q67" s="1991"/>
      <c r="R67" s="1979"/>
      <c r="S67" s="1979"/>
      <c r="T67" s="1979"/>
      <c r="U67" s="1979"/>
      <c r="V67" s="1979"/>
      <c r="W67" s="1979"/>
      <c r="X67" s="1979"/>
      <c r="Y67" s="1979"/>
      <c r="Z67" s="1979"/>
      <c r="AA67" s="1979"/>
      <c r="AB67" s="1979"/>
      <c r="AC67" s="1979"/>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1999"/>
      <c r="O68" s="1999"/>
      <c r="P68" s="2046"/>
      <c r="Q68" s="1991"/>
      <c r="R68" s="1979"/>
      <c r="S68" s="1979"/>
      <c r="T68" s="1979"/>
      <c r="U68" s="1979"/>
      <c r="V68" s="1979"/>
      <c r="W68" s="1979"/>
      <c r="X68" s="1979"/>
      <c r="Y68" s="1979"/>
      <c r="Z68" s="1979"/>
      <c r="AA68" s="1979"/>
      <c r="AB68" s="1979"/>
      <c r="AC68" s="1979"/>
    </row>
    <row r="69" spans="1:29" ht="15">
      <c r="A69" s="644"/>
      <c r="B69" s="658"/>
      <c r="C69" s="518"/>
      <c r="D69" s="518"/>
      <c r="E69" s="518"/>
      <c r="F69" s="518"/>
      <c r="G69" s="518"/>
      <c r="H69" s="518"/>
      <c r="I69" s="518"/>
      <c r="J69" s="518"/>
      <c r="K69" s="659"/>
      <c r="L69" s="660"/>
      <c r="M69" s="661"/>
      <c r="N69" s="1997"/>
      <c r="O69" s="1997"/>
      <c r="P69" s="2046"/>
      <c r="Q69" s="1991"/>
      <c r="R69" s="1979"/>
      <c r="S69" s="1979"/>
      <c r="T69" s="1979"/>
      <c r="U69" s="1979"/>
      <c r="V69" s="1979"/>
      <c r="W69" s="1979"/>
      <c r="X69" s="1979"/>
      <c r="Y69" s="1979"/>
      <c r="Z69" s="1979"/>
      <c r="AA69" s="1979"/>
      <c r="AB69" s="1979"/>
      <c r="AC69" s="1979"/>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1999"/>
      <c r="O70" s="1999"/>
      <c r="P70" s="2046"/>
      <c r="Q70" s="1991"/>
      <c r="R70" s="1979"/>
      <c r="S70" s="1979"/>
      <c r="T70" s="1979"/>
      <c r="U70" s="1979"/>
      <c r="V70" s="1979"/>
      <c r="W70" s="1979"/>
      <c r="X70" s="1979"/>
      <c r="Y70" s="1979"/>
      <c r="Z70" s="1979"/>
      <c r="AA70" s="1979"/>
      <c r="AB70" s="1979"/>
      <c r="AC70" s="1979"/>
    </row>
    <row r="71" spans="1:29" s="1247" customFormat="1" ht="15.75" thickTop="1">
      <c r="A71" s="662"/>
      <c r="B71" s="648">
        <f>B12</f>
        <v>111</v>
      </c>
      <c r="C71" s="663"/>
      <c r="D71" s="663"/>
      <c r="E71" s="663"/>
      <c r="F71" s="663"/>
      <c r="G71" s="663"/>
      <c r="H71" s="664"/>
      <c r="I71" s="664"/>
      <c r="J71" s="664"/>
      <c r="K71" s="664"/>
      <c r="L71" s="665"/>
      <c r="M71" s="666"/>
      <c r="N71" s="2000"/>
      <c r="O71" s="2000"/>
      <c r="P71" s="2047"/>
      <c r="Q71" s="2002"/>
      <c r="R71" s="2003"/>
      <c r="S71" s="2003"/>
      <c r="T71" s="2003"/>
      <c r="U71" s="2003"/>
      <c r="V71" s="2003"/>
      <c r="W71" s="2003"/>
      <c r="X71" s="2003"/>
      <c r="Y71" s="2003"/>
      <c r="Z71" s="2003"/>
      <c r="AA71" s="2003"/>
      <c r="AB71" s="2003"/>
      <c r="AC71" s="2003"/>
    </row>
    <row r="72" spans="1:29" s="1247" customFormat="1" ht="15.75" thickBot="1">
      <c r="A72" s="662"/>
      <c r="B72" s="653"/>
      <c r="C72" s="667"/>
      <c r="D72" s="646"/>
      <c r="E72" s="646"/>
      <c r="F72" s="646"/>
      <c r="G72" s="646"/>
      <c r="H72" s="646"/>
      <c r="I72" s="646"/>
      <c r="J72" s="646"/>
      <c r="K72" s="646"/>
      <c r="L72" s="646"/>
      <c r="M72" s="647"/>
      <c r="N72" s="1999"/>
      <c r="O72" s="1999"/>
      <c r="P72" s="2047"/>
      <c r="Q72" s="2002"/>
      <c r="R72" s="2003"/>
      <c r="S72" s="2003"/>
      <c r="T72" s="2003"/>
      <c r="U72" s="2003"/>
      <c r="V72" s="2003"/>
      <c r="W72" s="2003"/>
      <c r="X72" s="2003"/>
      <c r="Y72" s="2003"/>
      <c r="Z72" s="2003"/>
      <c r="AA72" s="2003"/>
      <c r="AB72" s="2003"/>
      <c r="AC72" s="2003"/>
    </row>
    <row r="73" spans="1:29" s="1247" customFormat="1" ht="15.75" thickTop="1">
      <c r="A73" s="662"/>
      <c r="B73" s="648">
        <f>B13</f>
        <v>111</v>
      </c>
      <c r="C73" s="663"/>
      <c r="D73" s="663"/>
      <c r="E73" s="663"/>
      <c r="F73" s="663"/>
      <c r="G73" s="663"/>
      <c r="H73" s="664"/>
      <c r="I73" s="664"/>
      <c r="J73" s="664"/>
      <c r="K73" s="664"/>
      <c r="L73" s="665"/>
      <c r="M73" s="666"/>
      <c r="N73" s="2000"/>
      <c r="O73" s="2000"/>
      <c r="P73" s="2048"/>
      <c r="Q73" s="2005"/>
      <c r="R73" s="2003"/>
      <c r="S73" s="2003"/>
      <c r="T73" s="2003"/>
      <c r="U73" s="2003"/>
      <c r="V73" s="2003"/>
      <c r="W73" s="2003"/>
      <c r="X73" s="2003"/>
      <c r="Y73" s="2003"/>
      <c r="Z73" s="2003"/>
      <c r="AA73" s="2003"/>
      <c r="AB73" s="2003"/>
      <c r="AC73" s="2003"/>
    </row>
    <row r="74" spans="1:29" s="1247" customFormat="1" ht="15.75" thickBot="1">
      <c r="A74" s="662"/>
      <c r="B74" s="653"/>
      <c r="C74" s="667"/>
      <c r="D74" s="667"/>
      <c r="E74" s="667"/>
      <c r="F74" s="667"/>
      <c r="G74" s="667"/>
      <c r="H74" s="668"/>
      <c r="I74" s="668"/>
      <c r="J74" s="668"/>
      <c r="K74" s="668"/>
      <c r="L74" s="668"/>
      <c r="M74" s="669"/>
      <c r="N74" s="2000"/>
      <c r="O74" s="2000"/>
      <c r="P74" s="2047"/>
      <c r="Q74" s="2002"/>
      <c r="R74" s="2003"/>
      <c r="S74" s="2003"/>
      <c r="T74" s="2003"/>
      <c r="U74" s="2003"/>
      <c r="V74" s="2003"/>
      <c r="W74" s="2003"/>
      <c r="X74" s="2003"/>
      <c r="Y74" s="2003"/>
      <c r="Z74" s="2003"/>
      <c r="AA74" s="2003"/>
      <c r="AB74" s="2003"/>
      <c r="AC74" s="2003"/>
    </row>
    <row r="75" spans="1:29" s="1247" customFormat="1" ht="15.75" thickTop="1">
      <c r="A75" s="662"/>
      <c r="B75" s="656">
        <f>B14</f>
        <v>111</v>
      </c>
      <c r="C75" s="636"/>
      <c r="D75" s="636"/>
      <c r="E75" s="636"/>
      <c r="F75" s="636"/>
      <c r="G75" s="636"/>
      <c r="H75" s="670"/>
      <c r="I75" s="670"/>
      <c r="J75" s="670"/>
      <c r="K75" s="670"/>
      <c r="L75" s="671"/>
      <c r="M75" s="672"/>
      <c r="N75" s="2000"/>
      <c r="O75" s="2000"/>
      <c r="P75" s="2049"/>
      <c r="Q75" s="2002"/>
      <c r="R75" s="2003"/>
      <c r="S75" s="2003"/>
      <c r="T75" s="2003"/>
      <c r="U75" s="2003"/>
      <c r="V75" s="2003"/>
      <c r="W75" s="2003"/>
      <c r="X75" s="2003"/>
      <c r="Y75" s="2003"/>
      <c r="Z75" s="2003"/>
      <c r="AA75" s="2003"/>
      <c r="AB75" s="2003"/>
      <c r="AC75" s="2003"/>
    </row>
    <row r="76" spans="1:29" s="1247" customFormat="1" ht="15.75" thickBot="1">
      <c r="A76" s="673"/>
      <c r="B76" s="674"/>
      <c r="C76" s="675"/>
      <c r="D76" s="675"/>
      <c r="E76" s="675"/>
      <c r="F76" s="675"/>
      <c r="G76" s="675"/>
      <c r="H76" s="676"/>
      <c r="I76" s="676"/>
      <c r="J76" s="676"/>
      <c r="K76" s="676"/>
      <c r="L76" s="676"/>
      <c r="M76" s="677"/>
      <c r="N76" s="2000"/>
      <c r="O76" s="2000"/>
      <c r="P76" s="2047"/>
      <c r="Q76" s="2002"/>
      <c r="R76" s="2003"/>
      <c r="S76" s="2003"/>
      <c r="T76" s="2003"/>
      <c r="U76" s="2003"/>
      <c r="V76" s="2003"/>
      <c r="W76" s="2003"/>
      <c r="X76" s="2003"/>
      <c r="Y76" s="2003"/>
      <c r="Z76" s="2003"/>
      <c r="AA76" s="2003"/>
      <c r="AB76" s="2003"/>
      <c r="AC76" s="2003"/>
    </row>
    <row r="77" spans="1:29">
      <c r="A77" s="639" t="s">
        <v>522</v>
      </c>
      <c r="B77" s="640" t="s">
        <v>567</v>
      </c>
      <c r="C77" s="678" t="s">
        <v>561</v>
      </c>
      <c r="D77" s="678" t="s">
        <v>562</v>
      </c>
      <c r="E77" s="678" t="s">
        <v>563</v>
      </c>
      <c r="F77" s="678" t="s">
        <v>564</v>
      </c>
      <c r="G77" s="678" t="s">
        <v>565</v>
      </c>
      <c r="H77" s="679"/>
      <c r="I77" s="679"/>
      <c r="J77" s="679"/>
      <c r="K77" s="680"/>
      <c r="L77" s="681"/>
      <c r="M77" s="682"/>
      <c r="N77" s="1997"/>
      <c r="O77" s="1997"/>
      <c r="P77" s="2050"/>
      <c r="Q77" s="1991"/>
      <c r="R77" s="1979"/>
      <c r="S77" s="1979"/>
      <c r="T77" s="1979"/>
      <c r="U77" s="1979"/>
      <c r="V77" s="1979"/>
      <c r="W77" s="1979"/>
      <c r="X77" s="1979"/>
      <c r="Y77" s="1979"/>
      <c r="Z77" s="1979"/>
      <c r="AA77" s="1979"/>
      <c r="AB77" s="1979"/>
      <c r="AC77" s="1979"/>
    </row>
    <row r="78" spans="1:29" ht="15.75" thickBot="1">
      <c r="A78" s="644"/>
      <c r="B78" s="653"/>
      <c r="C78" s="654">
        <v>100</v>
      </c>
      <c r="D78" s="654">
        <f>C78-$K15</f>
        <v>100</v>
      </c>
      <c r="E78" s="654">
        <f>D78-$K15</f>
        <v>100</v>
      </c>
      <c r="F78" s="654">
        <f>E78-$K15</f>
        <v>100</v>
      </c>
      <c r="G78" s="654">
        <f>F78-$K15</f>
        <v>100</v>
      </c>
      <c r="H78" s="654"/>
      <c r="I78" s="654"/>
      <c r="J78" s="654"/>
      <c r="K78" s="654"/>
      <c r="L78" s="654"/>
      <c r="M78" s="655"/>
      <c r="N78" s="1999"/>
      <c r="O78" s="1999"/>
      <c r="P78" s="2046"/>
      <c r="Q78" s="1991"/>
      <c r="R78" s="1979"/>
      <c r="S78" s="1979"/>
      <c r="T78" s="1979"/>
      <c r="U78" s="1979"/>
      <c r="V78" s="1979"/>
      <c r="W78" s="1979"/>
      <c r="X78" s="1979"/>
      <c r="Y78" s="1979"/>
      <c r="Z78" s="1979"/>
      <c r="AA78" s="1979"/>
      <c r="AB78" s="1979"/>
      <c r="AC78" s="1979"/>
    </row>
    <row r="79" spans="1:29" ht="15.75" thickTop="1">
      <c r="A79" s="644"/>
      <c r="B79" s="648" t="s">
        <v>568</v>
      </c>
      <c r="C79" s="683" t="s">
        <v>561</v>
      </c>
      <c r="D79" s="683" t="s">
        <v>562</v>
      </c>
      <c r="E79" s="683" t="s">
        <v>563</v>
      </c>
      <c r="F79" s="683" t="s">
        <v>564</v>
      </c>
      <c r="G79" s="683" t="s">
        <v>565</v>
      </c>
      <c r="H79" s="649"/>
      <c r="I79" s="649"/>
      <c r="J79" s="649"/>
      <c r="K79" s="650"/>
      <c r="L79" s="651"/>
      <c r="M79" s="652"/>
      <c r="N79" s="1997"/>
      <c r="O79" s="1997"/>
      <c r="P79" s="2046"/>
      <c r="Q79" s="1991"/>
      <c r="R79" s="1979"/>
      <c r="S79" s="1979"/>
      <c r="T79" s="1979"/>
      <c r="U79" s="1979"/>
      <c r="V79" s="1979"/>
      <c r="W79" s="1979"/>
      <c r="X79" s="1979"/>
      <c r="Y79" s="1979"/>
      <c r="Z79" s="1979"/>
      <c r="AA79" s="1979"/>
      <c r="AB79" s="1979"/>
      <c r="AC79" s="1979"/>
    </row>
    <row r="80" spans="1:29" ht="15.75" thickBot="1">
      <c r="A80" s="644"/>
      <c r="B80" s="653"/>
      <c r="C80" s="654">
        <v>100</v>
      </c>
      <c r="D80" s="654">
        <f>C80-$K17</f>
        <v>100</v>
      </c>
      <c r="E80" s="654">
        <f>D80-$K17</f>
        <v>100</v>
      </c>
      <c r="F80" s="654">
        <f>E80-$K17</f>
        <v>100</v>
      </c>
      <c r="G80" s="654">
        <f>F80-$K17</f>
        <v>100</v>
      </c>
      <c r="H80" s="654"/>
      <c r="I80" s="654"/>
      <c r="J80" s="654"/>
      <c r="K80" s="654"/>
      <c r="L80" s="654"/>
      <c r="M80" s="655"/>
      <c r="N80" s="1999"/>
      <c r="O80" s="1999"/>
      <c r="P80" s="2046"/>
      <c r="Q80" s="1991"/>
      <c r="R80" s="1979"/>
      <c r="S80" s="1979"/>
      <c r="T80" s="1979"/>
      <c r="U80" s="1979"/>
      <c r="V80" s="1979"/>
      <c r="W80" s="1979"/>
      <c r="X80" s="1979"/>
      <c r="Y80" s="1979"/>
      <c r="Z80" s="1979"/>
      <c r="AA80" s="1979"/>
      <c r="AB80" s="1979"/>
      <c r="AC80" s="1979"/>
    </row>
    <row r="81" spans="1:29" ht="15.75" thickTop="1">
      <c r="A81" s="644"/>
      <c r="B81" s="1763" t="s">
        <v>2274</v>
      </c>
      <c r="C81" s="683" t="s">
        <v>561</v>
      </c>
      <c r="D81" s="683" t="s">
        <v>562</v>
      </c>
      <c r="E81" s="683" t="s">
        <v>563</v>
      </c>
      <c r="F81" s="683" t="s">
        <v>564</v>
      </c>
      <c r="G81" s="683" t="s">
        <v>565</v>
      </c>
      <c r="H81" s="649"/>
      <c r="I81" s="649"/>
      <c r="J81" s="649"/>
      <c r="K81" s="650"/>
      <c r="L81" s="651"/>
      <c r="M81" s="652"/>
      <c r="N81" s="1997"/>
      <c r="O81" s="1997"/>
      <c r="P81" s="2046"/>
      <c r="Q81" s="1991"/>
      <c r="R81" s="1979"/>
      <c r="S81" s="1979"/>
      <c r="T81" s="1979"/>
      <c r="U81" s="1979"/>
      <c r="V81" s="1979"/>
      <c r="W81" s="1979"/>
      <c r="X81" s="1979"/>
      <c r="Y81" s="1979"/>
      <c r="Z81" s="1979"/>
      <c r="AA81" s="1979"/>
      <c r="AB81" s="1979"/>
      <c r="AC81" s="1979"/>
    </row>
    <row r="82" spans="1:29" ht="15.75" thickBot="1">
      <c r="A82" s="644"/>
      <c r="B82" s="653"/>
      <c r="C82" s="654">
        <v>100</v>
      </c>
      <c r="D82" s="654">
        <f>C82-$K19</f>
        <v>100</v>
      </c>
      <c r="E82" s="654">
        <f>D82-$K19</f>
        <v>100</v>
      </c>
      <c r="F82" s="654">
        <f>E82-$K19</f>
        <v>100</v>
      </c>
      <c r="G82" s="654">
        <f>F82-$K19</f>
        <v>100</v>
      </c>
      <c r="H82" s="654"/>
      <c r="I82" s="654"/>
      <c r="J82" s="654"/>
      <c r="K82" s="654"/>
      <c r="L82" s="654"/>
      <c r="M82" s="655"/>
      <c r="N82" s="1999"/>
      <c r="O82" s="1999"/>
      <c r="P82" s="2046"/>
      <c r="Q82" s="1991"/>
      <c r="R82" s="1979"/>
      <c r="S82" s="1979"/>
      <c r="T82" s="1979"/>
      <c r="U82" s="1979"/>
      <c r="V82" s="1979"/>
      <c r="W82" s="1979"/>
      <c r="X82" s="1979"/>
      <c r="Y82" s="1979"/>
      <c r="Z82" s="1979"/>
      <c r="AA82" s="1979"/>
      <c r="AB82" s="1979"/>
      <c r="AC82" s="1979"/>
    </row>
    <row r="83" spans="1:29" ht="15.75" thickTop="1">
      <c r="A83" s="644"/>
      <c r="B83" s="2361" t="s">
        <v>2275</v>
      </c>
      <c r="C83" s="2362" t="s">
        <v>2276</v>
      </c>
      <c r="D83" s="2362" t="s">
        <v>2277</v>
      </c>
      <c r="E83" s="2362" t="s">
        <v>2278</v>
      </c>
      <c r="F83" s="2362" t="s">
        <v>2279</v>
      </c>
      <c r="G83" s="2362" t="s">
        <v>2280</v>
      </c>
      <c r="H83" s="649"/>
      <c r="I83" s="649"/>
      <c r="J83" s="649"/>
      <c r="K83" s="649"/>
      <c r="L83" s="649"/>
      <c r="M83" s="2365"/>
      <c r="N83" s="1999"/>
      <c r="O83" s="1999"/>
      <c r="P83" s="2046"/>
      <c r="Q83" s="1991"/>
      <c r="R83" s="1979"/>
      <c r="S83" s="1979"/>
      <c r="T83" s="1979"/>
      <c r="U83" s="1979"/>
      <c r="V83" s="1979"/>
      <c r="W83" s="1979"/>
      <c r="X83" s="1979"/>
      <c r="Y83" s="1979"/>
      <c r="Z83" s="1979"/>
      <c r="AA83" s="1979"/>
      <c r="AB83" s="1979"/>
      <c r="AC83" s="1979"/>
    </row>
    <row r="84" spans="1:29" ht="15.75" thickBot="1">
      <c r="A84" s="644"/>
      <c r="B84" s="656"/>
      <c r="C84" s="654">
        <v>100</v>
      </c>
      <c r="D84" s="654">
        <f>C84-$K21</f>
        <v>100</v>
      </c>
      <c r="E84" s="654">
        <f>D84-$K21</f>
        <v>100</v>
      </c>
      <c r="F84" s="654">
        <f>E84-$K21</f>
        <v>100</v>
      </c>
      <c r="G84" s="654">
        <f>F84-$K21</f>
        <v>100</v>
      </c>
      <c r="H84" s="905"/>
      <c r="I84" s="905"/>
      <c r="J84" s="905"/>
      <c r="K84" s="905"/>
      <c r="L84" s="905"/>
      <c r="M84" s="536"/>
      <c r="N84" s="1999"/>
      <c r="O84" s="1999"/>
      <c r="P84" s="2046"/>
      <c r="Q84" s="1991"/>
      <c r="R84" s="1979"/>
      <c r="S84" s="1979"/>
      <c r="T84" s="1979"/>
      <c r="U84" s="1979"/>
      <c r="V84" s="1979"/>
      <c r="W84" s="1979"/>
      <c r="X84" s="1979"/>
      <c r="Y84" s="1979"/>
      <c r="Z84" s="1979"/>
      <c r="AA84" s="1979"/>
      <c r="AB84" s="1979"/>
      <c r="AC84" s="1979"/>
    </row>
    <row r="85" spans="1:29" ht="15.75" thickTop="1">
      <c r="A85" s="644"/>
      <c r="B85" s="648" t="s">
        <v>766</v>
      </c>
      <c r="C85" s="683" t="s">
        <v>561</v>
      </c>
      <c r="D85" s="683" t="s">
        <v>562</v>
      </c>
      <c r="E85" s="683" t="s">
        <v>563</v>
      </c>
      <c r="F85" s="683" t="s">
        <v>564</v>
      </c>
      <c r="G85" s="683" t="s">
        <v>565</v>
      </c>
      <c r="H85" s="649"/>
      <c r="I85" s="649"/>
      <c r="J85" s="649"/>
      <c r="K85" s="650"/>
      <c r="L85" s="651"/>
      <c r="M85" s="652"/>
      <c r="N85" s="1997"/>
      <c r="O85" s="1997"/>
      <c r="P85" s="2046"/>
      <c r="Q85" s="1991"/>
      <c r="R85" s="1979"/>
      <c r="S85" s="1979"/>
      <c r="T85" s="1979"/>
      <c r="U85" s="1979"/>
      <c r="V85" s="1979"/>
      <c r="W85" s="1979"/>
      <c r="X85" s="1979"/>
      <c r="Y85" s="1979"/>
      <c r="Z85" s="1979"/>
      <c r="AA85" s="1979"/>
      <c r="AB85" s="1979"/>
      <c r="AC85" s="1979"/>
    </row>
    <row r="86" spans="1:29" ht="15.75" thickBot="1">
      <c r="A86" s="644"/>
      <c r="B86" s="653"/>
      <c r="C86" s="654">
        <v>100</v>
      </c>
      <c r="D86" s="654">
        <f>C86-$K23</f>
        <v>100</v>
      </c>
      <c r="E86" s="654">
        <f>D86-$K23</f>
        <v>100</v>
      </c>
      <c r="F86" s="654">
        <f>E86-$K23</f>
        <v>100</v>
      </c>
      <c r="G86" s="654">
        <f>F86-$K23</f>
        <v>100</v>
      </c>
      <c r="H86" s="654"/>
      <c r="I86" s="654"/>
      <c r="J86" s="654"/>
      <c r="K86" s="654"/>
      <c r="L86" s="654"/>
      <c r="M86" s="655"/>
      <c r="N86" s="1999"/>
      <c r="O86" s="1999"/>
      <c r="P86" s="2046"/>
      <c r="Q86" s="1991"/>
      <c r="R86" s="1979"/>
      <c r="S86" s="1979"/>
      <c r="T86" s="1979"/>
      <c r="U86" s="1979"/>
      <c r="V86" s="1979"/>
      <c r="W86" s="1979"/>
      <c r="X86" s="1979"/>
      <c r="Y86" s="1979"/>
      <c r="Z86" s="1979"/>
      <c r="AA86" s="1979"/>
      <c r="AB86" s="1979"/>
      <c r="AC86" s="1979"/>
    </row>
    <row r="87" spans="1:29" s="1165" customFormat="1" ht="27.75" thickTop="1">
      <c r="A87" s="684"/>
      <c r="B87" s="648" t="s">
        <v>767</v>
      </c>
      <c r="C87" s="663"/>
      <c r="D87" s="663"/>
      <c r="E87" s="663"/>
      <c r="F87" s="663"/>
      <c r="G87" s="663"/>
      <c r="H87" s="663"/>
      <c r="I87" s="663"/>
      <c r="J87" s="663"/>
      <c r="K87" s="663"/>
      <c r="L87" s="860"/>
      <c r="M87" s="861"/>
      <c r="N87" s="1995"/>
      <c r="O87" s="1995"/>
      <c r="P87" s="2046"/>
      <c r="Q87" s="1991"/>
      <c r="R87" s="1857"/>
      <c r="S87" s="1857"/>
      <c r="T87" s="1857"/>
      <c r="U87" s="1857"/>
      <c r="V87" s="1857"/>
      <c r="W87" s="1857"/>
      <c r="X87" s="1857"/>
      <c r="Y87" s="1857"/>
      <c r="Z87" s="1857"/>
      <c r="AA87" s="1857"/>
      <c r="AB87" s="1857"/>
      <c r="AC87" s="1857"/>
    </row>
    <row r="88" spans="1:29" s="1165"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1999"/>
      <c r="O88" s="1999"/>
      <c r="P88" s="2046"/>
      <c r="Q88" s="1991"/>
      <c r="R88" s="1857"/>
      <c r="S88" s="1857"/>
      <c r="T88" s="1857"/>
      <c r="U88" s="1857"/>
      <c r="V88" s="1857"/>
      <c r="W88" s="1857"/>
      <c r="X88" s="1857"/>
      <c r="Y88" s="1857"/>
      <c r="Z88" s="1857"/>
      <c r="AA88" s="1857"/>
      <c r="AB88" s="1857"/>
      <c r="AC88" s="1857"/>
    </row>
    <row r="89" spans="1:29" s="1165" customFormat="1" ht="15.75" thickTop="1">
      <c r="A89" s="684"/>
      <c r="B89" s="648" t="str">
        <f>B27</f>
        <v>楼层</v>
      </c>
      <c r="C89" s="663"/>
      <c r="D89" s="663"/>
      <c r="E89" s="663"/>
      <c r="F89" s="862"/>
      <c r="G89" s="663"/>
      <c r="H89" s="663"/>
      <c r="I89" s="663"/>
      <c r="J89" s="663"/>
      <c r="K89" s="663"/>
      <c r="L89" s="663"/>
      <c r="M89" s="861"/>
      <c r="N89" s="1995"/>
      <c r="O89" s="1995"/>
      <c r="P89" s="2046"/>
      <c r="Q89" s="1991"/>
      <c r="R89" s="1857"/>
      <c r="S89" s="1857"/>
      <c r="T89" s="1857"/>
      <c r="U89" s="1857"/>
      <c r="V89" s="1857"/>
      <c r="W89" s="1857"/>
      <c r="X89" s="1857"/>
      <c r="Y89" s="1857"/>
      <c r="Z89" s="1857"/>
      <c r="AA89" s="1857"/>
      <c r="AB89" s="1857"/>
      <c r="AC89" s="1857"/>
    </row>
    <row r="90" spans="1:29" s="1165"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1999"/>
      <c r="O90" s="1999"/>
      <c r="P90" s="2046"/>
      <c r="Q90" s="1991"/>
      <c r="R90" s="1857"/>
      <c r="S90" s="1857"/>
      <c r="T90" s="1857"/>
      <c r="U90" s="1857"/>
      <c r="V90" s="1857"/>
      <c r="W90" s="1857"/>
      <c r="X90" s="1857"/>
      <c r="Y90" s="1857"/>
      <c r="Z90" s="1857"/>
      <c r="AA90" s="1857"/>
      <c r="AB90" s="1857"/>
      <c r="AC90" s="1857"/>
    </row>
    <row r="91" spans="1:29" s="1247" customFormat="1" ht="15.75" thickTop="1">
      <c r="A91" s="662"/>
      <c r="B91" s="648" t="str">
        <f>B28</f>
        <v>朝向</v>
      </c>
      <c r="C91" s="663"/>
      <c r="D91" s="663"/>
      <c r="E91" s="663"/>
      <c r="F91" s="663"/>
      <c r="G91" s="663"/>
      <c r="H91" s="664"/>
      <c r="I91" s="664"/>
      <c r="J91" s="664"/>
      <c r="K91" s="664"/>
      <c r="L91" s="665"/>
      <c r="M91" s="666"/>
      <c r="N91" s="2000"/>
      <c r="O91" s="2000"/>
      <c r="P91" s="2047"/>
      <c r="Q91" s="2002"/>
      <c r="R91" s="2003"/>
      <c r="S91" s="2003"/>
      <c r="T91" s="2003"/>
      <c r="U91" s="2003"/>
      <c r="V91" s="2003"/>
      <c r="W91" s="2003"/>
      <c r="X91" s="2003"/>
      <c r="Y91" s="2003"/>
      <c r="Z91" s="2003"/>
      <c r="AA91" s="2003"/>
      <c r="AB91" s="2003"/>
      <c r="AC91" s="2003"/>
    </row>
    <row r="92" spans="1:29" s="1247"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0"/>
      <c r="O92" s="2000"/>
      <c r="P92" s="2047"/>
      <c r="Q92" s="2002"/>
      <c r="R92" s="2003"/>
      <c r="S92" s="2003"/>
      <c r="T92" s="2003"/>
      <c r="U92" s="2003"/>
      <c r="V92" s="2003"/>
      <c r="W92" s="2003"/>
      <c r="X92" s="2003"/>
      <c r="Y92" s="2003"/>
      <c r="Z92" s="2003"/>
      <c r="AA92" s="2003"/>
      <c r="AB92" s="2003"/>
      <c r="AC92" s="2003"/>
    </row>
    <row r="93" spans="1:29" ht="15.75" thickTop="1">
      <c r="A93" s="644"/>
      <c r="B93" s="648">
        <f>B29</f>
        <v>111</v>
      </c>
      <c r="C93" s="663"/>
      <c r="D93" s="663"/>
      <c r="E93" s="663"/>
      <c r="F93" s="663"/>
      <c r="G93" s="663"/>
      <c r="H93" s="663"/>
      <c r="I93" s="663"/>
      <c r="J93" s="663"/>
      <c r="K93" s="663"/>
      <c r="L93" s="860"/>
      <c r="M93" s="861"/>
      <c r="N93" s="1997"/>
      <c r="O93" s="1997"/>
      <c r="P93" s="2046"/>
      <c r="Q93" s="1991"/>
      <c r="R93" s="1979"/>
      <c r="S93" s="1979"/>
      <c r="T93" s="1979"/>
      <c r="U93" s="1979"/>
      <c r="V93" s="1979"/>
      <c r="W93" s="1979"/>
      <c r="X93" s="1979"/>
      <c r="Y93" s="1979"/>
      <c r="Z93" s="1979"/>
      <c r="AA93" s="1979"/>
      <c r="AB93" s="1979"/>
      <c r="AC93" s="1979"/>
    </row>
    <row r="94" spans="1:29" ht="15.75" thickBot="1">
      <c r="A94" s="644"/>
      <c r="B94" s="653"/>
      <c r="C94" s="667"/>
      <c r="D94" s="646"/>
      <c r="E94" s="646"/>
      <c r="F94" s="646"/>
      <c r="G94" s="646"/>
      <c r="H94" s="646"/>
      <c r="I94" s="646"/>
      <c r="J94" s="646"/>
      <c r="K94" s="646"/>
      <c r="L94" s="646"/>
      <c r="M94" s="647"/>
      <c r="N94" s="1999"/>
      <c r="O94" s="1999"/>
      <c r="P94" s="2046"/>
      <c r="Q94" s="1991"/>
      <c r="R94" s="1979"/>
      <c r="S94" s="1979"/>
      <c r="T94" s="1979"/>
      <c r="U94" s="1979"/>
      <c r="V94" s="1979"/>
      <c r="W94" s="1979"/>
      <c r="X94" s="1979"/>
      <c r="Y94" s="1979"/>
      <c r="Z94" s="1979"/>
      <c r="AA94" s="1979"/>
      <c r="AB94" s="1979"/>
      <c r="AC94" s="1979"/>
    </row>
    <row r="95" spans="1:29" ht="15.75" thickTop="1">
      <c r="A95" s="644"/>
      <c r="B95" s="648">
        <f>B30</f>
        <v>111</v>
      </c>
      <c r="C95" s="663"/>
      <c r="D95" s="663"/>
      <c r="E95" s="663"/>
      <c r="F95" s="663"/>
      <c r="G95" s="693"/>
      <c r="H95" s="693"/>
      <c r="I95" s="693"/>
      <c r="J95" s="693"/>
      <c r="K95" s="694"/>
      <c r="L95" s="695"/>
      <c r="M95" s="696"/>
      <c r="N95" s="1997"/>
      <c r="O95" s="1997"/>
      <c r="P95" s="2046"/>
      <c r="Q95" s="1991"/>
      <c r="R95" s="1979"/>
      <c r="S95" s="1979"/>
      <c r="T95" s="1979"/>
      <c r="U95" s="1979"/>
      <c r="V95" s="1979"/>
      <c r="W95" s="1979"/>
      <c r="X95" s="1979"/>
      <c r="Y95" s="1979"/>
      <c r="Z95" s="1979"/>
      <c r="AA95" s="1979"/>
      <c r="AB95" s="1979"/>
      <c r="AC95" s="1979"/>
    </row>
    <row r="96" spans="1:29" ht="15.75" thickBot="1">
      <c r="A96" s="644"/>
      <c r="B96" s="653"/>
      <c r="C96" s="667"/>
      <c r="D96" s="667"/>
      <c r="E96" s="667"/>
      <c r="F96" s="667"/>
      <c r="G96" s="646"/>
      <c r="H96" s="646"/>
      <c r="I96" s="646"/>
      <c r="J96" s="646"/>
      <c r="K96" s="646"/>
      <c r="L96" s="646"/>
      <c r="M96" s="647"/>
      <c r="N96" s="1999"/>
      <c r="O96" s="1999"/>
      <c r="P96" s="2046"/>
      <c r="Q96" s="1991"/>
      <c r="R96" s="1979"/>
      <c r="S96" s="1979"/>
      <c r="T96" s="1979"/>
      <c r="U96" s="1979"/>
      <c r="V96" s="1979"/>
      <c r="W96" s="1979"/>
      <c r="X96" s="1979"/>
      <c r="Y96" s="1979"/>
      <c r="Z96" s="1979"/>
      <c r="AA96" s="1979"/>
      <c r="AB96" s="1979"/>
      <c r="AC96" s="1979"/>
    </row>
    <row r="97" spans="1:29" ht="15.75" thickTop="1">
      <c r="A97" s="644"/>
      <c r="B97" s="648">
        <f>B31</f>
        <v>111</v>
      </c>
      <c r="C97" s="663"/>
      <c r="D97" s="663"/>
      <c r="E97" s="663"/>
      <c r="F97" s="663"/>
      <c r="G97" s="693"/>
      <c r="H97" s="693"/>
      <c r="I97" s="693"/>
      <c r="J97" s="693"/>
      <c r="K97" s="694"/>
      <c r="L97" s="695"/>
      <c r="M97" s="696"/>
      <c r="N97" s="1997"/>
      <c r="O97" s="1997"/>
      <c r="P97" s="2046"/>
      <c r="Q97" s="1991"/>
      <c r="R97" s="1979"/>
      <c r="S97" s="1979"/>
      <c r="T97" s="1979"/>
      <c r="U97" s="1979"/>
      <c r="V97" s="1979"/>
      <c r="W97" s="1979"/>
      <c r="X97" s="1979"/>
      <c r="Y97" s="1979"/>
      <c r="Z97" s="1979"/>
      <c r="AA97" s="1979"/>
      <c r="AB97" s="1979"/>
      <c r="AC97" s="1979"/>
    </row>
    <row r="98" spans="1:29" ht="15.75" thickBot="1">
      <c r="A98" s="644"/>
      <c r="B98" s="653"/>
      <c r="C98" s="667"/>
      <c r="D98" s="646"/>
      <c r="E98" s="646"/>
      <c r="F98" s="646"/>
      <c r="G98" s="646"/>
      <c r="H98" s="646"/>
      <c r="I98" s="646"/>
      <c r="J98" s="646"/>
      <c r="K98" s="646"/>
      <c r="L98" s="646"/>
      <c r="M98" s="647"/>
      <c r="N98" s="1999"/>
      <c r="O98" s="1999"/>
      <c r="P98" s="2046"/>
      <c r="Q98" s="1991"/>
      <c r="R98" s="1979"/>
      <c r="S98" s="1979"/>
      <c r="T98" s="1979"/>
      <c r="U98" s="1979"/>
      <c r="V98" s="1979"/>
      <c r="W98" s="1979"/>
      <c r="X98" s="1979"/>
      <c r="Y98" s="1979"/>
      <c r="Z98" s="1979"/>
      <c r="AA98" s="1979"/>
      <c r="AB98" s="1979"/>
      <c r="AC98" s="1979"/>
    </row>
    <row r="99" spans="1:29" ht="15.75" thickTop="1">
      <c r="A99" s="644"/>
      <c r="B99" s="656">
        <f>B32</f>
        <v>111</v>
      </c>
      <c r="C99" s="636"/>
      <c r="D99" s="636"/>
      <c r="E99" s="636"/>
      <c r="F99" s="636"/>
      <c r="G99" s="697"/>
      <c r="H99" s="697"/>
      <c r="I99" s="697"/>
      <c r="J99" s="697"/>
      <c r="K99" s="698"/>
      <c r="L99" s="699"/>
      <c r="M99" s="700"/>
      <c r="N99" s="1997"/>
      <c r="O99" s="1997"/>
      <c r="P99" s="2046"/>
      <c r="Q99" s="1991"/>
      <c r="R99" s="1979"/>
      <c r="S99" s="1979"/>
      <c r="T99" s="1979"/>
      <c r="U99" s="1979"/>
      <c r="V99" s="1979"/>
      <c r="W99" s="1979"/>
      <c r="X99" s="1979"/>
      <c r="Y99" s="1979"/>
      <c r="Z99" s="1979"/>
      <c r="AA99" s="1979"/>
      <c r="AB99" s="1979"/>
      <c r="AC99" s="1979"/>
    </row>
    <row r="100" spans="1:29" ht="15.75" thickBot="1">
      <c r="A100" s="863"/>
      <c r="B100" s="674"/>
      <c r="C100" s="675"/>
      <c r="D100" s="675"/>
      <c r="E100" s="675"/>
      <c r="F100" s="675"/>
      <c r="G100" s="701"/>
      <c r="H100" s="701"/>
      <c r="I100" s="701"/>
      <c r="J100" s="701"/>
      <c r="K100" s="701"/>
      <c r="L100" s="701"/>
      <c r="M100" s="702"/>
      <c r="N100" s="1999"/>
      <c r="O100" s="1999"/>
      <c r="P100" s="2046"/>
      <c r="Q100" s="1991"/>
      <c r="R100" s="1979"/>
      <c r="S100" s="1979"/>
      <c r="T100" s="1979"/>
      <c r="U100" s="1979"/>
      <c r="V100" s="1979"/>
      <c r="W100" s="1979"/>
      <c r="X100" s="1979"/>
      <c r="Y100" s="1979"/>
      <c r="Z100" s="1979"/>
      <c r="AA100" s="1979"/>
      <c r="AB100" s="1979"/>
      <c r="AC100" s="1979"/>
    </row>
    <row r="101" spans="1:29">
      <c r="A101" s="639" t="s">
        <v>534</v>
      </c>
      <c r="B101" s="640" t="s">
        <v>729</v>
      </c>
      <c r="C101" s="575"/>
      <c r="D101" s="575"/>
      <c r="E101" s="575"/>
      <c r="F101" s="575"/>
      <c r="G101" s="575"/>
      <c r="H101" s="575"/>
      <c r="I101" s="575"/>
      <c r="J101" s="575"/>
      <c r="K101" s="641"/>
      <c r="L101" s="642"/>
      <c r="M101" s="643"/>
      <c r="N101" s="1997"/>
      <c r="O101" s="1997"/>
      <c r="P101" s="2046"/>
      <c r="Q101" s="1991"/>
      <c r="R101" s="1979"/>
      <c r="S101" s="1979"/>
      <c r="T101" s="1979"/>
      <c r="U101" s="1979"/>
      <c r="V101" s="1979"/>
      <c r="W101" s="1979"/>
      <c r="X101" s="1979"/>
      <c r="Y101" s="1979"/>
      <c r="Z101" s="1979"/>
      <c r="AA101" s="1979"/>
      <c r="AB101" s="1979"/>
      <c r="AC101" s="1979"/>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1999"/>
      <c r="O102" s="1999"/>
      <c r="P102" s="2046"/>
      <c r="Q102" s="1991"/>
      <c r="R102" s="1979"/>
      <c r="S102" s="1979"/>
      <c r="T102" s="1979"/>
      <c r="U102" s="1979"/>
      <c r="V102" s="1979"/>
      <c r="W102" s="1979"/>
      <c r="X102" s="1979"/>
      <c r="Y102" s="1979"/>
      <c r="Z102" s="1979"/>
      <c r="AA102" s="1979"/>
      <c r="AB102" s="1979"/>
      <c r="AC102" s="1979"/>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7" customFormat="1">
      <c r="A104" s="703"/>
      <c r="B104" s="704"/>
      <c r="C104" s="705"/>
      <c r="D104" s="705"/>
      <c r="E104" s="705"/>
      <c r="F104" s="705"/>
      <c r="G104" s="705"/>
      <c r="H104" s="705"/>
      <c r="I104" s="705"/>
      <c r="J104" s="706"/>
      <c r="K104" s="706"/>
      <c r="L104" s="707"/>
      <c r="M104" s="708"/>
      <c r="N104" s="2000"/>
      <c r="O104" s="2000"/>
      <c r="P104" s="2047"/>
      <c r="Q104" s="2002"/>
      <c r="R104" s="2003"/>
      <c r="S104" s="2003"/>
      <c r="T104" s="2003"/>
      <c r="U104" s="2003"/>
      <c r="V104" s="2003"/>
      <c r="W104" s="2003"/>
      <c r="X104" s="2003"/>
      <c r="Y104" s="2003"/>
      <c r="Z104" s="2003"/>
      <c r="AA104" s="2003"/>
      <c r="AB104" s="2003"/>
      <c r="AC104" s="2003"/>
    </row>
    <row r="105" spans="1:29" s="1247" customFormat="1" ht="15.75" thickBot="1">
      <c r="A105" s="662"/>
      <c r="B105" s="653"/>
      <c r="C105" s="667"/>
      <c r="D105" s="646"/>
      <c r="E105" s="646"/>
      <c r="F105" s="646"/>
      <c r="G105" s="646"/>
      <c r="H105" s="646"/>
      <c r="I105" s="646"/>
      <c r="J105" s="646"/>
      <c r="K105" s="646"/>
      <c r="L105" s="646"/>
      <c r="M105" s="647"/>
      <c r="N105" s="1999"/>
      <c r="O105" s="1999"/>
      <c r="P105" s="2047"/>
      <c r="Q105" s="2002"/>
      <c r="R105" s="2003"/>
      <c r="S105" s="2003"/>
      <c r="T105" s="2003"/>
      <c r="U105" s="2003"/>
      <c r="V105" s="2003"/>
      <c r="W105" s="2003"/>
      <c r="X105" s="2003"/>
      <c r="Y105" s="2003"/>
      <c r="Z105" s="2003"/>
      <c r="AA105" s="2003"/>
      <c r="AB105" s="2003"/>
      <c r="AC105" s="2003"/>
    </row>
    <row r="106" spans="1:29" ht="15" thickTop="1">
      <c r="A106" s="710"/>
      <c r="B106" s="648" t="s">
        <v>731</v>
      </c>
      <c r="C106" s="663"/>
      <c r="D106" s="663"/>
      <c r="E106" s="693"/>
      <c r="F106" s="693"/>
      <c r="G106" s="693"/>
      <c r="H106" s="693"/>
      <c r="I106" s="693"/>
      <c r="J106" s="693"/>
      <c r="K106" s="694"/>
      <c r="L106" s="695"/>
      <c r="M106" s="696"/>
      <c r="N106" s="1997"/>
      <c r="O106" s="1997"/>
      <c r="P106" s="2046"/>
      <c r="Q106" s="1991"/>
      <c r="R106" s="1979"/>
      <c r="S106" s="1979"/>
      <c r="T106" s="1979"/>
      <c r="U106" s="1979"/>
      <c r="V106" s="1979"/>
      <c r="W106" s="1979"/>
      <c r="X106" s="1979"/>
      <c r="Y106" s="1979"/>
      <c r="Z106" s="1979"/>
      <c r="AA106" s="1979"/>
      <c r="AB106" s="1979"/>
      <c r="AC106" s="1979"/>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10"/>
      <c r="B108" s="648" t="s">
        <v>733</v>
      </c>
      <c r="C108" s="663"/>
      <c r="D108" s="663"/>
      <c r="E108" s="663"/>
      <c r="F108" s="693"/>
      <c r="G108" s="693"/>
      <c r="H108" s="693"/>
      <c r="I108" s="693"/>
      <c r="J108" s="693"/>
      <c r="K108" s="694"/>
      <c r="L108" s="695"/>
      <c r="M108" s="696"/>
      <c r="N108" s="1997"/>
      <c r="O108" s="1997"/>
      <c r="P108" s="2046"/>
      <c r="Q108" s="1991"/>
      <c r="R108" s="1979"/>
      <c r="S108" s="1979"/>
      <c r="T108" s="1979"/>
      <c r="U108" s="1979"/>
      <c r="V108" s="1979"/>
      <c r="W108" s="1979"/>
      <c r="X108" s="1979"/>
      <c r="Y108" s="1979"/>
      <c r="Z108" s="1979"/>
      <c r="AA108" s="1979"/>
      <c r="AB108" s="1979"/>
      <c r="AC108" s="1979"/>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7"/>
      <c r="O110" s="1997"/>
      <c r="P110" s="2046"/>
      <c r="Q110" s="1991"/>
      <c r="R110" s="1979"/>
      <c r="S110" s="1979"/>
      <c r="T110" s="1979"/>
      <c r="U110" s="1979"/>
      <c r="V110" s="1979"/>
      <c r="W110" s="1979"/>
      <c r="X110" s="1979"/>
      <c r="Y110" s="1979"/>
      <c r="Z110" s="1979"/>
      <c r="AA110" s="1979"/>
      <c r="AB110" s="1979"/>
      <c r="AC110" s="1979"/>
    </row>
    <row r="111" spans="1:29">
      <c r="A111" s="710"/>
      <c r="B111" s="656"/>
      <c r="C111" s="864">
        <v>0.5</v>
      </c>
      <c r="D111" s="864">
        <v>0.6</v>
      </c>
      <c r="E111" s="864">
        <v>0.7</v>
      </c>
      <c r="F111" s="864">
        <v>0.8</v>
      </c>
      <c r="G111" s="864">
        <v>0.9</v>
      </c>
      <c r="H111" s="864">
        <v>1.0001</v>
      </c>
      <c r="I111" s="875"/>
      <c r="J111" s="875"/>
      <c r="K111" s="876"/>
      <c r="L111" s="877"/>
      <c r="M111" s="878"/>
      <c r="N111" s="1997"/>
      <c r="O111" s="1997"/>
      <c r="P111" s="2046"/>
      <c r="Q111" s="1991"/>
      <c r="R111" s="1979"/>
      <c r="S111" s="1979"/>
      <c r="T111" s="1979"/>
      <c r="U111" s="1979"/>
      <c r="V111" s="1979"/>
      <c r="W111" s="1979"/>
      <c r="X111" s="1979"/>
      <c r="Y111" s="1979"/>
      <c r="Z111" s="1979"/>
      <c r="AA111" s="1979"/>
      <c r="AB111" s="1979"/>
      <c r="AC111" s="1979"/>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1999"/>
      <c r="O112" s="1999"/>
      <c r="P112" s="2046"/>
      <c r="Q112" s="1991"/>
      <c r="R112" s="1979"/>
      <c r="S112" s="1979"/>
      <c r="T112" s="1979"/>
      <c r="U112" s="1979"/>
      <c r="V112" s="1979"/>
      <c r="W112" s="1979"/>
      <c r="X112" s="1979"/>
      <c r="Y112" s="1979"/>
      <c r="Z112" s="1979"/>
      <c r="AA112" s="1979"/>
      <c r="AB112" s="1979"/>
      <c r="AC112" s="1979"/>
    </row>
    <row r="113" spans="1:29" s="1247" customFormat="1" ht="15" thickTop="1">
      <c r="A113" s="703"/>
      <c r="B113" s="648" t="s">
        <v>768</v>
      </c>
      <c r="C113" s="663"/>
      <c r="D113" s="663"/>
      <c r="E113" s="663"/>
      <c r="F113" s="663"/>
      <c r="G113" s="663"/>
      <c r="H113" s="693"/>
      <c r="I113" s="693"/>
      <c r="J113" s="693"/>
      <c r="K113" s="694"/>
      <c r="L113" s="695"/>
      <c r="M113" s="696"/>
      <c r="N113" s="2000"/>
      <c r="O113" s="2000"/>
      <c r="P113" s="2047"/>
      <c r="Q113" s="2002"/>
      <c r="R113" s="2003"/>
      <c r="S113" s="2003"/>
      <c r="T113" s="2003"/>
      <c r="U113" s="2003"/>
      <c r="V113" s="2003"/>
      <c r="W113" s="2003"/>
      <c r="X113" s="2003"/>
      <c r="Y113" s="2003"/>
      <c r="Z113" s="2003"/>
      <c r="AA113" s="2003"/>
      <c r="AB113" s="2003"/>
      <c r="AC113" s="2003"/>
    </row>
    <row r="114" spans="1:29" s="1247"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10"/>
      <c r="B115" s="648" t="s">
        <v>735</v>
      </c>
      <c r="C115" s="663"/>
      <c r="D115" s="663"/>
      <c r="E115" s="693"/>
      <c r="F115" s="693"/>
      <c r="G115" s="693"/>
      <c r="H115" s="693"/>
      <c r="I115" s="693"/>
      <c r="J115" s="693"/>
      <c r="K115" s="694"/>
      <c r="L115" s="695"/>
      <c r="M115" s="696"/>
      <c r="N115" s="1997"/>
      <c r="O115" s="1997"/>
      <c r="P115" s="2046"/>
      <c r="Q115" s="1991"/>
      <c r="R115" s="1979"/>
      <c r="S115" s="1979"/>
      <c r="T115" s="1979"/>
      <c r="U115" s="1979"/>
      <c r="V115" s="1979"/>
      <c r="W115" s="1979"/>
      <c r="X115" s="1979"/>
      <c r="Y115" s="1979"/>
      <c r="Z115" s="1979"/>
      <c r="AA115" s="1979"/>
      <c r="AB115" s="1979"/>
      <c r="AC115" s="197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10"/>
      <c r="B117" s="1763" t="s">
        <v>2273</v>
      </c>
      <c r="C117" s="663"/>
      <c r="D117" s="663"/>
      <c r="E117" s="663"/>
      <c r="F117" s="663"/>
      <c r="G117" s="663"/>
      <c r="H117" s="693"/>
      <c r="I117" s="693"/>
      <c r="J117" s="693"/>
      <c r="K117" s="694"/>
      <c r="L117" s="695"/>
      <c r="M117" s="696"/>
      <c r="N117" s="1997"/>
      <c r="O117" s="1997"/>
      <c r="P117" s="2046"/>
      <c r="Q117" s="1991"/>
      <c r="R117" s="1979"/>
      <c r="S117" s="1979"/>
      <c r="T117" s="1979"/>
      <c r="U117" s="1979"/>
      <c r="V117" s="1979"/>
      <c r="W117" s="1979"/>
      <c r="X117" s="1979"/>
      <c r="Y117" s="1979"/>
      <c r="Z117" s="1979"/>
      <c r="AA117" s="1979"/>
      <c r="AB117" s="1979"/>
      <c r="AC117" s="1979"/>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1999"/>
      <c r="O118" s="1999"/>
      <c r="P118" s="2046"/>
      <c r="Q118" s="1991"/>
      <c r="R118" s="1979"/>
      <c r="S118" s="1979"/>
      <c r="T118" s="1979"/>
      <c r="U118" s="1979"/>
      <c r="V118" s="1979"/>
      <c r="W118" s="1979"/>
      <c r="X118" s="1979"/>
      <c r="Y118" s="1979"/>
      <c r="Z118" s="1979"/>
      <c r="AA118" s="1979"/>
      <c r="AB118" s="1979"/>
      <c r="AC118" s="1979"/>
    </row>
    <row r="119" spans="1:29" ht="15" thickTop="1">
      <c r="A119" s="710"/>
      <c r="B119" s="887" t="s">
        <v>769</v>
      </c>
      <c r="C119" s="693"/>
      <c r="D119" s="693"/>
      <c r="E119" s="693"/>
      <c r="F119" s="693"/>
      <c r="G119" s="693"/>
      <c r="H119" s="693"/>
      <c r="I119" s="693"/>
      <c r="J119" s="693"/>
      <c r="K119" s="693"/>
      <c r="L119" s="888"/>
      <c r="M119" s="889"/>
      <c r="N119" s="1999"/>
      <c r="O119" s="1999"/>
      <c r="P119" s="2051"/>
      <c r="Q119" s="2039"/>
      <c r="R119" s="1979"/>
      <c r="S119" s="1979"/>
      <c r="T119" s="1979"/>
      <c r="U119" s="1979"/>
      <c r="V119" s="1979"/>
      <c r="W119" s="1979"/>
      <c r="X119" s="1979"/>
      <c r="Y119" s="1979"/>
      <c r="Z119" s="1979"/>
      <c r="AA119" s="1979"/>
      <c r="AB119" s="1979"/>
      <c r="AC119" s="1979"/>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1999"/>
      <c r="O120" s="1999"/>
      <c r="P120" s="2046"/>
      <c r="Q120" s="1991"/>
      <c r="R120" s="1979"/>
      <c r="S120" s="1979"/>
      <c r="T120" s="1979"/>
      <c r="U120" s="1979"/>
      <c r="V120" s="1979"/>
      <c r="W120" s="1979"/>
      <c r="X120" s="1979"/>
      <c r="Y120" s="1979"/>
      <c r="Z120" s="1979"/>
      <c r="AA120" s="1979"/>
      <c r="AB120" s="1979"/>
      <c r="AC120" s="1979"/>
    </row>
    <row r="121" spans="1:29" s="1247" customFormat="1" ht="15" thickTop="1">
      <c r="A121" s="703"/>
      <c r="B121" s="648" t="s">
        <v>757</v>
      </c>
      <c r="C121" s="663"/>
      <c r="D121" s="663"/>
      <c r="E121" s="663"/>
      <c r="F121" s="693"/>
      <c r="G121" s="664"/>
      <c r="H121" s="664"/>
      <c r="I121" s="664"/>
      <c r="J121" s="664"/>
      <c r="K121" s="664"/>
      <c r="L121" s="665"/>
      <c r="M121" s="666"/>
      <c r="N121" s="2000"/>
      <c r="O121" s="2000"/>
      <c r="P121" s="2047"/>
      <c r="Q121" s="2002"/>
      <c r="R121" s="2003"/>
      <c r="S121" s="2003"/>
      <c r="T121" s="2003"/>
      <c r="U121" s="2003"/>
      <c r="V121" s="2003"/>
      <c r="W121" s="2003"/>
      <c r="X121" s="2003"/>
      <c r="Y121" s="2003"/>
      <c r="Z121" s="2003"/>
      <c r="AA121" s="2003"/>
      <c r="AB121" s="2003"/>
      <c r="AC121" s="2003"/>
    </row>
    <row r="122" spans="1:29" s="1247" customFormat="1" ht="15.75" thickBot="1">
      <c r="A122" s="662"/>
      <c r="B122" s="645"/>
      <c r="C122" s="667"/>
      <c r="D122" s="667"/>
      <c r="E122" s="667"/>
      <c r="F122" s="667"/>
      <c r="G122" s="667"/>
      <c r="H122" s="667"/>
      <c r="I122" s="667"/>
      <c r="J122" s="667"/>
      <c r="K122" s="667"/>
      <c r="L122" s="667"/>
      <c r="M122" s="667"/>
      <c r="N122" s="2000"/>
      <c r="O122" s="2000"/>
      <c r="P122" s="2047"/>
      <c r="Q122" s="2002"/>
      <c r="R122" s="2003"/>
      <c r="S122" s="2003"/>
      <c r="T122" s="2003"/>
      <c r="U122" s="2003"/>
      <c r="V122" s="2003"/>
      <c r="W122" s="2003"/>
      <c r="X122" s="2003"/>
      <c r="Y122" s="2003"/>
      <c r="Z122" s="2003"/>
      <c r="AA122" s="2003"/>
      <c r="AB122" s="2003"/>
      <c r="AC122" s="2003"/>
    </row>
    <row r="123" spans="1:29" ht="15" thickTop="1">
      <c r="A123" s="710"/>
      <c r="B123" s="648" t="s">
        <v>737</v>
      </c>
      <c r="C123" s="663"/>
      <c r="D123" s="663"/>
      <c r="E123" s="663"/>
      <c r="F123" s="693"/>
      <c r="G123" s="693"/>
      <c r="H123" s="693"/>
      <c r="I123" s="693"/>
      <c r="J123" s="693"/>
      <c r="K123" s="694"/>
      <c r="L123" s="695"/>
      <c r="M123" s="696"/>
      <c r="N123" s="1997"/>
      <c r="O123" s="1997"/>
      <c r="P123" s="2046"/>
      <c r="Q123" s="1991"/>
      <c r="R123" s="1979"/>
      <c r="S123" s="1979"/>
      <c r="T123" s="1979"/>
      <c r="U123" s="1979"/>
      <c r="V123" s="1979"/>
      <c r="W123" s="1979"/>
      <c r="X123" s="1979"/>
      <c r="Y123" s="1979"/>
      <c r="Z123" s="1979"/>
      <c r="AA123" s="1979"/>
      <c r="AB123" s="1979"/>
      <c r="AC123" s="1979"/>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1999"/>
      <c r="O124" s="1999"/>
      <c r="P124" s="2046"/>
      <c r="Q124" s="1991"/>
      <c r="R124" s="1979"/>
      <c r="S124" s="1979"/>
      <c r="T124" s="1979"/>
      <c r="U124" s="1979"/>
      <c r="V124" s="1979"/>
      <c r="W124" s="1979"/>
      <c r="X124" s="1979"/>
      <c r="Y124" s="1979"/>
      <c r="Z124" s="1979"/>
      <c r="AA124" s="1979"/>
      <c r="AB124" s="1979"/>
      <c r="AC124" s="1979"/>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7"/>
      <c r="O125" s="1997"/>
      <c r="P125" s="2047"/>
      <c r="Q125" s="1991"/>
      <c r="R125" s="1979"/>
      <c r="S125" s="1979"/>
      <c r="T125" s="1979"/>
      <c r="U125" s="1979"/>
      <c r="V125" s="1979"/>
      <c r="W125" s="1979"/>
      <c r="X125" s="1979"/>
      <c r="Y125" s="1979"/>
      <c r="Z125" s="1979"/>
      <c r="AA125" s="1979"/>
      <c r="AB125" s="1979"/>
      <c r="AC125" s="1979"/>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1999"/>
      <c r="O126" s="1999"/>
      <c r="P126" s="2046"/>
      <c r="Q126" s="1991"/>
      <c r="R126" s="1979"/>
      <c r="S126" s="1979"/>
      <c r="T126" s="1979"/>
      <c r="U126" s="1979"/>
      <c r="V126" s="1979"/>
      <c r="W126" s="1979"/>
      <c r="X126" s="1979"/>
      <c r="Y126" s="1979"/>
      <c r="Z126" s="1979"/>
      <c r="AA126" s="1979"/>
      <c r="AB126" s="1979"/>
      <c r="AC126" s="1979"/>
    </row>
    <row r="127" spans="1:29" s="1247" customFormat="1" ht="15" thickTop="1">
      <c r="A127" s="703"/>
      <c r="B127" s="648">
        <f>B45</f>
        <v>111</v>
      </c>
      <c r="C127" s="663"/>
      <c r="D127" s="663"/>
      <c r="E127" s="663"/>
      <c r="F127" s="663"/>
      <c r="G127" s="663"/>
      <c r="H127" s="664"/>
      <c r="I127" s="664"/>
      <c r="J127" s="664"/>
      <c r="K127" s="664"/>
      <c r="L127" s="665"/>
      <c r="M127" s="666"/>
      <c r="N127" s="2000"/>
      <c r="O127" s="2000"/>
      <c r="P127" s="2047"/>
      <c r="Q127" s="2002"/>
      <c r="R127" s="2003"/>
      <c r="S127" s="2003"/>
      <c r="T127" s="2003"/>
      <c r="U127" s="2003"/>
      <c r="V127" s="2003"/>
      <c r="W127" s="2003"/>
      <c r="X127" s="2003"/>
      <c r="Y127" s="2003"/>
      <c r="Z127" s="2003"/>
      <c r="AA127" s="2003"/>
      <c r="AB127" s="2003"/>
      <c r="AC127" s="2003"/>
    </row>
    <row r="128" spans="1:29" s="1247" customFormat="1" ht="15.75" thickBot="1">
      <c r="A128" s="662"/>
      <c r="B128" s="653"/>
      <c r="C128" s="667"/>
      <c r="D128" s="646"/>
      <c r="E128" s="646"/>
      <c r="F128" s="646"/>
      <c r="G128" s="667"/>
      <c r="H128" s="668"/>
      <c r="I128" s="668"/>
      <c r="J128" s="668"/>
      <c r="K128" s="668"/>
      <c r="L128" s="668"/>
      <c r="M128" s="669"/>
      <c r="N128" s="2000"/>
      <c r="O128" s="2000"/>
      <c r="P128" s="2047"/>
      <c r="Q128" s="2002"/>
      <c r="R128" s="2003"/>
      <c r="S128" s="2003"/>
      <c r="T128" s="2003"/>
      <c r="U128" s="2003"/>
      <c r="V128" s="2003"/>
      <c r="W128" s="2003"/>
      <c r="X128" s="2003"/>
      <c r="Y128" s="2003"/>
      <c r="Z128" s="2003"/>
      <c r="AA128" s="2003"/>
      <c r="AB128" s="2003"/>
      <c r="AC128" s="2003"/>
    </row>
    <row r="129" spans="1:29" ht="15" thickTop="1">
      <c r="A129" s="710"/>
      <c r="B129" s="648">
        <f>B46</f>
        <v>111</v>
      </c>
      <c r="C129" s="663"/>
      <c r="D129" s="663"/>
      <c r="E129" s="663"/>
      <c r="F129" s="663"/>
      <c r="G129" s="693"/>
      <c r="H129" s="693"/>
      <c r="I129" s="693"/>
      <c r="J129" s="693"/>
      <c r="K129" s="694"/>
      <c r="L129" s="695"/>
      <c r="M129" s="696"/>
      <c r="N129" s="1997"/>
      <c r="O129" s="1997"/>
      <c r="P129" s="2046"/>
      <c r="Q129" s="1991"/>
      <c r="R129" s="1979"/>
      <c r="S129" s="1979"/>
      <c r="T129" s="1979"/>
      <c r="U129" s="1979"/>
      <c r="V129" s="1979"/>
      <c r="W129" s="1979"/>
      <c r="X129" s="1979"/>
      <c r="Y129" s="1979"/>
      <c r="Z129" s="1979"/>
      <c r="AA129" s="1979"/>
      <c r="AB129" s="1979"/>
      <c r="AC129" s="1979"/>
    </row>
    <row r="130" spans="1:29" ht="15.75" thickBot="1">
      <c r="A130" s="644"/>
      <c r="B130" s="653"/>
      <c r="C130" s="667"/>
      <c r="D130" s="667"/>
      <c r="E130" s="667"/>
      <c r="F130" s="667"/>
      <c r="G130" s="646"/>
      <c r="H130" s="646"/>
      <c r="I130" s="646"/>
      <c r="J130" s="646"/>
      <c r="K130" s="646"/>
      <c r="L130" s="646"/>
      <c r="M130" s="647"/>
      <c r="N130" s="1999"/>
      <c r="O130" s="1999"/>
      <c r="P130" s="2046"/>
      <c r="Q130" s="1991"/>
      <c r="R130" s="1979"/>
      <c r="S130" s="1979"/>
      <c r="T130" s="1979"/>
      <c r="U130" s="1979"/>
      <c r="V130" s="1979"/>
      <c r="W130" s="1979"/>
      <c r="X130" s="1979"/>
      <c r="Y130" s="1979"/>
      <c r="Z130" s="1979"/>
      <c r="AA130" s="1979"/>
      <c r="AB130" s="1979"/>
      <c r="AC130" s="1979"/>
    </row>
    <row r="131" spans="1:29" ht="15" thickTop="1">
      <c r="A131" s="710"/>
      <c r="B131" s="656">
        <f>B47</f>
        <v>111</v>
      </c>
      <c r="C131" s="636"/>
      <c r="D131" s="636"/>
      <c r="E131" s="636"/>
      <c r="F131" s="636"/>
      <c r="G131" s="697"/>
      <c r="H131" s="697"/>
      <c r="I131" s="697"/>
      <c r="J131" s="697"/>
      <c r="K131" s="636"/>
      <c r="L131" s="637"/>
      <c r="M131" s="700"/>
      <c r="N131" s="1997"/>
      <c r="O131" s="1997"/>
      <c r="P131" s="2046"/>
      <c r="Q131" s="1991"/>
      <c r="R131" s="1979"/>
      <c r="S131" s="1979"/>
      <c r="T131" s="1979"/>
      <c r="U131" s="1979"/>
      <c r="V131" s="1979"/>
      <c r="W131" s="1979"/>
      <c r="X131" s="1979"/>
      <c r="Y131" s="1979"/>
      <c r="Z131" s="1979"/>
      <c r="AA131" s="1979"/>
      <c r="AB131" s="1979"/>
      <c r="AC131" s="1979"/>
    </row>
    <row r="132" spans="1:29" ht="15.75" thickBot="1">
      <c r="A132" s="863"/>
      <c r="B132" s="674"/>
      <c r="C132" s="675"/>
      <c r="D132" s="675"/>
      <c r="E132" s="675"/>
      <c r="F132" s="675"/>
      <c r="G132" s="701"/>
      <c r="H132" s="701"/>
      <c r="I132" s="701"/>
      <c r="J132" s="701"/>
      <c r="K132" s="701"/>
      <c r="L132" s="701"/>
      <c r="M132" s="702"/>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1" priority="20" stopIfTrue="1" operator="containsText" text="超过">
      <formula>NOT(ISERROR(SEARCH("超过",F53)))</formula>
    </cfRule>
  </conditionalFormatting>
  <conditionalFormatting sqref="H55">
    <cfRule type="containsText" dxfId="100" priority="19" stopIfTrue="1" operator="containsText" text="超过">
      <formula>NOT(ISERROR(SEARCH("超过",H55)))</formula>
    </cfRule>
  </conditionalFormatting>
  <conditionalFormatting sqref="F55">
    <cfRule type="containsText" dxfId="99" priority="18" stopIfTrue="1" operator="containsText" text="超过">
      <formula>NOT(ISERROR(SEARCH("超过",F55)))</formula>
    </cfRule>
  </conditionalFormatting>
  <conditionalFormatting sqref="F54 H54">
    <cfRule type="containsText" dxfId="98" priority="17" stopIfTrue="1" operator="containsText" text="超过">
      <formula>NOT(ISERROR(SEARCH("超过",F54)))</formula>
    </cfRule>
  </conditionalFormatting>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G55">
    <cfRule type="expression" dxfId="94" priority="13" stopIfTrue="1">
      <formula>$H$55="超过30%"</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J53">
    <cfRule type="containsText" dxfId="91" priority="10" stopIfTrue="1" operator="containsText" text="超过">
      <formula>NOT(ISERROR(SEARCH("超过",J53)))</formula>
    </cfRule>
  </conditionalFormatting>
  <conditionalFormatting sqref="J55">
    <cfRule type="containsText" dxfId="90" priority="9" stopIfTrue="1" operator="containsText" text="超过">
      <formula>NOT(ISERROR(SEARCH("超过",J55)))</formula>
    </cfRule>
  </conditionalFormatting>
  <conditionalFormatting sqref="J54">
    <cfRule type="containsText" dxfId="89" priority="8" stopIfTrue="1" operator="containsText" text="超过">
      <formula>NOT(ISERROR(SEARCH("超过",J54)))</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F49">
    <cfRule type="expression" dxfId="85" priority="4">
      <formula>$D$49="简单平均"</formula>
    </cfRule>
  </conditionalFormatting>
  <conditionalFormatting sqref="H49">
    <cfRule type="expression" dxfId="84" priority="3">
      <formula>$D$49="简单平均"</formula>
    </cfRule>
  </conditionalFormatting>
  <conditionalFormatting sqref="J49">
    <cfRule type="expression" dxfId="83" priority="2">
      <formula>$D$49="简单平均"</formula>
    </cfRule>
  </conditionalFormatting>
  <conditionalFormatting sqref="F7:F47 H7:H47 J7:J47">
    <cfRule type="cellIs" dxfId="82"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770</v>
      </c>
      <c r="C1" s="481" t="s">
        <v>702</v>
      </c>
      <c r="D1" s="821"/>
      <c r="E1" s="483"/>
      <c r="F1" s="2444"/>
      <c r="G1" s="1485" t="s">
        <v>703</v>
      </c>
      <c r="H1" s="483"/>
      <c r="I1" s="483"/>
      <c r="J1" s="483"/>
      <c r="K1" s="484"/>
      <c r="L1" s="3115"/>
      <c r="M1" s="3116"/>
      <c r="N1" s="3116"/>
      <c r="O1" s="3116"/>
      <c r="P1" s="1966"/>
      <c r="Q1" s="1966"/>
      <c r="R1" s="1966"/>
      <c r="S1" s="1966"/>
      <c r="T1" s="1966"/>
      <c r="U1" s="1966"/>
      <c r="V1" s="1966"/>
      <c r="W1" s="1966"/>
      <c r="X1" s="1966"/>
      <c r="Y1" s="1966"/>
      <c r="Z1" s="1966"/>
      <c r="AA1" s="1966"/>
      <c r="AB1" s="1966"/>
      <c r="AC1" s="1896"/>
    </row>
    <row r="2" spans="1:29" s="1244" customFormat="1" ht="28.5" customHeight="1">
      <c r="A2" s="417" t="s">
        <v>461</v>
      </c>
      <c r="B2" s="822"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6"/>
    </row>
    <row r="3" spans="1:29" s="1244" customFormat="1" ht="28.5" customHeight="1" thickBot="1">
      <c r="A3" s="486" t="s">
        <v>502</v>
      </c>
      <c r="B3" s="487" t="e">
        <f>C43</f>
        <v>#DIV/0!</v>
      </c>
      <c r="C3" s="824" t="s">
        <v>704</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504</v>
      </c>
      <c r="B4" s="490"/>
      <c r="C4" s="3677" t="s">
        <v>505</v>
      </c>
      <c r="D4" s="3678"/>
      <c r="E4" s="3716" t="s">
        <v>506</v>
      </c>
      <c r="F4" s="3717"/>
      <c r="G4" s="3677" t="s">
        <v>507</v>
      </c>
      <c r="H4" s="3678"/>
      <c r="I4" s="3677" t="s">
        <v>508</v>
      </c>
      <c r="J4" s="3678"/>
      <c r="K4" s="491" t="s">
        <v>509</v>
      </c>
      <c r="L4" s="1967"/>
      <c r="M4" s="1968"/>
      <c r="N4" s="1968"/>
      <c r="O4" s="1968"/>
      <c r="P4" s="3679" t="s">
        <v>510</v>
      </c>
      <c r="Q4" s="3680"/>
      <c r="R4" s="3685" t="s">
        <v>506</v>
      </c>
      <c r="S4" s="3686"/>
      <c r="T4" s="3685" t="s">
        <v>507</v>
      </c>
      <c r="U4" s="3686"/>
      <c r="V4" s="3672" t="s">
        <v>508</v>
      </c>
      <c r="W4" s="3672"/>
      <c r="X4" s="1455"/>
      <c r="Y4" s="3685" t="s">
        <v>510</v>
      </c>
      <c r="Z4" s="3686"/>
      <c r="AA4" s="3674" t="s">
        <v>506</v>
      </c>
      <c r="AB4" s="3675" t="s">
        <v>507</v>
      </c>
      <c r="AC4" s="3674" t="s">
        <v>508</v>
      </c>
    </row>
    <row r="5" spans="1:29" ht="15">
      <c r="A5" s="492"/>
      <c r="B5" s="493"/>
      <c r="C5" s="3693" t="s">
        <v>2630</v>
      </c>
      <c r="D5" s="3694"/>
      <c r="E5" s="3718" t="s">
        <v>2631</v>
      </c>
      <c r="F5" s="3719"/>
      <c r="G5" s="3693" t="s">
        <v>2632</v>
      </c>
      <c r="H5" s="3694"/>
      <c r="I5" s="3693" t="s">
        <v>2633</v>
      </c>
      <c r="J5" s="3694"/>
      <c r="K5" s="491"/>
      <c r="L5" s="1967"/>
      <c r="M5" s="1968"/>
      <c r="N5" s="1968"/>
      <c r="O5" s="1968"/>
      <c r="P5" s="3681"/>
      <c r="Q5" s="3682"/>
      <c r="R5" s="3687"/>
      <c r="S5" s="3688"/>
      <c r="T5" s="3687"/>
      <c r="U5" s="3688"/>
      <c r="V5" s="3672"/>
      <c r="W5" s="3672"/>
      <c r="X5" s="1455"/>
      <c r="Y5" s="3687"/>
      <c r="Z5" s="3688"/>
      <c r="AA5" s="3675"/>
      <c r="AB5" s="3675"/>
      <c r="AC5" s="3675"/>
    </row>
    <row r="6" spans="1:29" ht="15.75" thickBot="1">
      <c r="A6" s="494"/>
      <c r="B6" s="495"/>
      <c r="C6" s="3691" t="s">
        <v>2634</v>
      </c>
      <c r="D6" s="3692"/>
      <c r="E6" s="3714" t="s">
        <v>2634</v>
      </c>
      <c r="F6" s="3715"/>
      <c r="G6" s="3691" t="s">
        <v>2634</v>
      </c>
      <c r="H6" s="3692"/>
      <c r="I6" s="3691" t="s">
        <v>2634</v>
      </c>
      <c r="J6" s="3692"/>
      <c r="K6" s="491" t="s">
        <v>511</v>
      </c>
      <c r="L6" s="1967"/>
      <c r="M6" s="1968"/>
      <c r="N6" s="1968"/>
      <c r="O6" s="1968"/>
      <c r="P6" s="3683"/>
      <c r="Q6" s="3684"/>
      <c r="R6" s="3687"/>
      <c r="S6" s="3688"/>
      <c r="T6" s="3689"/>
      <c r="U6" s="3690"/>
      <c r="V6" s="3672"/>
      <c r="W6" s="3672"/>
      <c r="X6" s="1455"/>
      <c r="Y6" s="3689"/>
      <c r="Z6" s="3690"/>
      <c r="AA6" s="3676"/>
      <c r="AB6" s="3676"/>
      <c r="AC6" s="3676"/>
    </row>
    <row r="7" spans="1:29" s="1165" customFormat="1" ht="15.75" thickBot="1">
      <c r="A7" s="2548"/>
      <c r="B7" s="2555" t="s">
        <v>512</v>
      </c>
      <c r="C7" s="496">
        <f>'数据-取费表'!B2</f>
        <v>44895</v>
      </c>
      <c r="D7" s="497">
        <v>100</v>
      </c>
      <c r="E7" s="498"/>
      <c r="F7" s="499">
        <f>SUMIF(52:52,YEAR(E7)&amp;"-"&amp;MONTH(E7),53:53)</f>
        <v>0</v>
      </c>
      <c r="G7" s="498"/>
      <c r="H7" s="497">
        <f>SUMIF(52:52,YEAR(G7)&amp;"-"&amp;MONTH(G7),53:53)</f>
        <v>0</v>
      </c>
      <c r="I7" s="498"/>
      <c r="J7" s="497">
        <f>SUMIF(52:52,YEAR(I7)&amp;"-"&amp;MONTH(I7),53:53)</f>
        <v>0</v>
      </c>
      <c r="K7" s="501"/>
      <c r="L7" s="1969"/>
      <c r="M7" s="1970"/>
      <c r="N7" s="1970"/>
      <c r="O7" s="1970"/>
      <c r="P7" s="3701" t="s">
        <v>513</v>
      </c>
      <c r="Q7" s="3703"/>
      <c r="R7" s="1456" t="s">
        <v>8</v>
      </c>
      <c r="S7" s="1457">
        <f t="shared" ref="S7:S15" si="0">F7</f>
        <v>0</v>
      </c>
      <c r="T7" s="1456" t="s">
        <v>8</v>
      </c>
      <c r="U7" s="1457">
        <f t="shared" ref="U7:U15" si="1">H7</f>
        <v>0</v>
      </c>
      <c r="V7" s="1456" t="s">
        <v>8</v>
      </c>
      <c r="W7" s="1457">
        <f t="shared" ref="W7:W15" si="2">J7</f>
        <v>0</v>
      </c>
      <c r="X7" s="1458"/>
      <c r="Y7" s="3701" t="s">
        <v>513</v>
      </c>
      <c r="Z7" s="3702"/>
      <c r="AA7" s="1459" t="e">
        <f>D7/F7</f>
        <v>#DIV/0!</v>
      </c>
      <c r="AB7" s="1459" t="e">
        <f>D7/H7</f>
        <v>#DIV/0!</v>
      </c>
      <c r="AC7" s="1459" t="e">
        <f>D7/J7</f>
        <v>#DIV/0!</v>
      </c>
    </row>
    <row r="8" spans="1:29" s="1165" customFormat="1" ht="15.75" thickBot="1">
      <c r="A8" s="2549"/>
      <c r="B8" s="2556" t="s">
        <v>514</v>
      </c>
      <c r="C8" s="502" t="s">
        <v>558</v>
      </c>
      <c r="D8" s="497">
        <v>100</v>
      </c>
      <c r="E8" s="502"/>
      <c r="F8" s="499">
        <f>SUMIF(55:55,E8,56:56)-SUMIF(55:55,C8,56:56)+100</f>
        <v>0</v>
      </c>
      <c r="G8" s="502"/>
      <c r="H8" s="497">
        <f>SUMIF(55:55,G8,56:56)-SUMIF(55:55,C8,56:56)+100</f>
        <v>0</v>
      </c>
      <c r="I8" s="502"/>
      <c r="J8" s="497">
        <f>SUMIF(55:55,I8,56:56)-SUMIF(55:55,C8,56:56)+100</f>
        <v>0</v>
      </c>
      <c r="K8" s="501"/>
      <c r="L8" s="1969"/>
      <c r="M8" s="1970"/>
      <c r="N8" s="1970"/>
      <c r="O8" s="1970"/>
      <c r="P8" s="3701" t="s">
        <v>516</v>
      </c>
      <c r="Q8" s="3702"/>
      <c r="R8" s="1456" t="s">
        <v>8</v>
      </c>
      <c r="S8" s="1457">
        <f t="shared" si="0"/>
        <v>0</v>
      </c>
      <c r="T8" s="1456" t="s">
        <v>8</v>
      </c>
      <c r="U8" s="1457">
        <f t="shared" si="1"/>
        <v>0</v>
      </c>
      <c r="V8" s="1456" t="s">
        <v>8</v>
      </c>
      <c r="W8" s="1457">
        <f t="shared" si="2"/>
        <v>0</v>
      </c>
      <c r="X8" s="1458"/>
      <c r="Y8" s="3701" t="s">
        <v>516</v>
      </c>
      <c r="Z8" s="3702"/>
      <c r="AA8" s="1459" t="e">
        <f t="shared" ref="AA8:AA40" si="3">D8/F8</f>
        <v>#DIV/0!</v>
      </c>
      <c r="AB8" s="1459" t="e">
        <f t="shared" ref="AB8:AB40" si="4">D8/H8</f>
        <v>#DIV/0!</v>
      </c>
      <c r="AC8" s="1459" t="e">
        <f t="shared" ref="AC8:AC40" si="5">D8/J8</f>
        <v>#DIV/0!</v>
      </c>
    </row>
    <row r="9" spans="1:29" s="1165" customFormat="1" ht="15">
      <c r="A9" s="2550"/>
      <c r="B9" s="2557" t="s">
        <v>2472</v>
      </c>
      <c r="C9" s="829"/>
      <c r="D9" s="252">
        <v>100</v>
      </c>
      <c r="E9" s="832"/>
      <c r="F9" s="252">
        <f>SUMIF(57:57,E9,58:58)-SUMIF(57:57,C9,58:58)+100</f>
        <v>100</v>
      </c>
      <c r="G9" s="830"/>
      <c r="H9" s="252">
        <f>SUMIF(57:57,G9,58:58)-SUMIF(57:57,C9,58:58)+100</f>
        <v>100</v>
      </c>
      <c r="I9" s="830"/>
      <c r="J9" s="252">
        <f>SUMIF(57:57,I9,58:58)-SUMIF(57:57,C9,58:58)+100</f>
        <v>100</v>
      </c>
      <c r="K9" s="501"/>
      <c r="L9" s="1969"/>
      <c r="M9" s="1970"/>
      <c r="N9" s="1970"/>
      <c r="O9" s="1971"/>
      <c r="P9" s="3671" t="s">
        <v>518</v>
      </c>
      <c r="Q9" s="1096" t="str">
        <f t="shared" ref="Q9:Q15" si="6">B9</f>
        <v>用途</v>
      </c>
      <c r="R9" s="1456" t="s">
        <v>8</v>
      </c>
      <c r="S9" s="1457">
        <f t="shared" si="0"/>
        <v>100</v>
      </c>
      <c r="T9" s="1456" t="s">
        <v>8</v>
      </c>
      <c r="U9" s="1457">
        <f t="shared" si="1"/>
        <v>100</v>
      </c>
      <c r="V9" s="1456" t="s">
        <v>8</v>
      </c>
      <c r="W9" s="1457">
        <f t="shared" si="2"/>
        <v>100</v>
      </c>
      <c r="X9" s="1458"/>
      <c r="Y9" s="3619"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SUMIF(59:59,E10,60:60)-SUMIF(59:59,C10,60:60)+100</f>
        <v>100</v>
      </c>
      <c r="G10" s="834"/>
      <c r="H10" s="253">
        <f>SUMIF(59:59,G10,60:60)-SUMIF(59:59,C10,60:60)+100</f>
        <v>100</v>
      </c>
      <c r="I10" s="833"/>
      <c r="J10" s="253">
        <f>SUMIF(59:59,I10,60:60)-SUMIF(59:59,C10,60:60)+100</f>
        <v>100</v>
      </c>
      <c r="K10" s="561"/>
      <c r="L10" s="1972"/>
      <c r="M10" s="2011"/>
      <c r="N10" s="2011"/>
      <c r="O10" s="1973"/>
      <c r="P10" s="3671"/>
      <c r="Q10" s="1096" t="str">
        <f t="shared" si="6"/>
        <v>土地使用年限（年）</v>
      </c>
      <c r="R10" s="1456" t="s">
        <v>8</v>
      </c>
      <c r="S10" s="1457">
        <f t="shared" si="0"/>
        <v>100</v>
      </c>
      <c r="T10" s="1456" t="s">
        <v>8</v>
      </c>
      <c r="U10" s="1457">
        <f t="shared" si="1"/>
        <v>100</v>
      </c>
      <c r="V10" s="1456" t="s">
        <v>8</v>
      </c>
      <c r="W10" s="1457">
        <f t="shared" si="2"/>
        <v>100</v>
      </c>
      <c r="X10" s="1458"/>
      <c r="Y10" s="3619"/>
      <c r="Z10" s="1095" t="str">
        <f t="shared" si="7"/>
        <v>土地使用年限（年）</v>
      </c>
      <c r="AA10" s="1459">
        <f t="shared" si="3"/>
        <v>1</v>
      </c>
      <c r="AB10" s="1459">
        <f t="shared" si="4"/>
        <v>1</v>
      </c>
      <c r="AC10" s="1459">
        <f t="shared" si="5"/>
        <v>1</v>
      </c>
    </row>
    <row r="11" spans="1:29" ht="15">
      <c r="A11" s="2552"/>
      <c r="B11" s="2556" t="s">
        <v>2474</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4"/>
      <c r="M11" s="1968"/>
      <c r="N11" s="1968"/>
      <c r="O11" s="1975"/>
      <c r="P11" s="3671"/>
      <c r="Q11" s="1096" t="str">
        <f t="shared" si="6"/>
        <v>容积率</v>
      </c>
      <c r="R11" s="1456" t="s">
        <v>8</v>
      </c>
      <c r="S11" s="1457" t="e">
        <f t="shared" si="0"/>
        <v>#N/A</v>
      </c>
      <c r="T11" s="1456" t="s">
        <v>8</v>
      </c>
      <c r="U11" s="1457" t="e">
        <f t="shared" si="1"/>
        <v>#N/A</v>
      </c>
      <c r="V11" s="1456" t="s">
        <v>8</v>
      </c>
      <c r="W11" s="1457" t="e">
        <f t="shared" si="2"/>
        <v>#N/A</v>
      </c>
      <c r="X11" s="1458"/>
      <c r="Y11" s="3619"/>
      <c r="Z11" s="1095" t="str">
        <f t="shared" si="7"/>
        <v>容积率</v>
      </c>
      <c r="AA11" s="1459" t="e">
        <f t="shared" si="3"/>
        <v>#N/A</v>
      </c>
      <c r="AB11" s="1459" t="e">
        <f t="shared" si="4"/>
        <v>#N/A</v>
      </c>
      <c r="AC11" s="1459" t="e">
        <f t="shared" si="5"/>
        <v>#N/A</v>
      </c>
    </row>
    <row r="12" spans="1:29" s="1165" customFormat="1" ht="15">
      <c r="A12" s="2553"/>
      <c r="B12" s="2559">
        <v>111</v>
      </c>
      <c r="C12" s="505"/>
      <c r="D12" s="515">
        <v>100</v>
      </c>
      <c r="E12" s="516"/>
      <c r="F12" s="253">
        <f>SUMIF(64:64,E12,65:65)-SUMIF(64:64,C12,65:65)+100</f>
        <v>100</v>
      </c>
      <c r="G12" s="890"/>
      <c r="H12" s="253">
        <f>SUMIF(64:64,G12,65:65)-SUMIF(64:64,C12,65:65)+100</f>
        <v>100</v>
      </c>
      <c r="I12" s="850"/>
      <c r="J12" s="253">
        <f>SUMIF(64:64,I12,65:65)-SUMIF(64:64,C12,65:65)+100</f>
        <v>100</v>
      </c>
      <c r="K12" s="558"/>
      <c r="L12" s="1969"/>
      <c r="M12" s="1970"/>
      <c r="N12" s="1970"/>
      <c r="O12" s="1971"/>
      <c r="P12" s="3671"/>
      <c r="Q12" s="1096">
        <f t="shared" si="6"/>
        <v>111</v>
      </c>
      <c r="R12" s="1456" t="s">
        <v>8</v>
      </c>
      <c r="S12" s="1457">
        <f t="shared" si="0"/>
        <v>100</v>
      </c>
      <c r="T12" s="1456" t="s">
        <v>8</v>
      </c>
      <c r="U12" s="1457">
        <f t="shared" si="1"/>
        <v>100</v>
      </c>
      <c r="V12" s="1456" t="s">
        <v>8</v>
      </c>
      <c r="W12" s="1457">
        <f t="shared" si="2"/>
        <v>100</v>
      </c>
      <c r="X12" s="1458"/>
      <c r="Y12" s="3619"/>
      <c r="Z12" s="1095">
        <f t="shared" si="7"/>
        <v>111</v>
      </c>
      <c r="AA12" s="1459">
        <f>D12/F12</f>
        <v>1</v>
      </c>
      <c r="AB12" s="1459">
        <f>D12/H12</f>
        <v>1</v>
      </c>
      <c r="AC12" s="1459">
        <f>D12/J12</f>
        <v>1</v>
      </c>
    </row>
    <row r="13" spans="1:29" ht="15">
      <c r="A13" s="2553"/>
      <c r="B13" s="2559">
        <v>111</v>
      </c>
      <c r="C13" s="516"/>
      <c r="D13" s="517">
        <v>100</v>
      </c>
      <c r="E13" s="516"/>
      <c r="F13" s="253">
        <f>SUMIF(66:66,E13,67:67)-SUMIF(66:66,C13,67:67)+100</f>
        <v>100</v>
      </c>
      <c r="G13" s="890"/>
      <c r="H13" s="517">
        <f>SUMIF(66:66,G13,67:67)-SUMIF(66:66,C13,67:67)+100</f>
        <v>100</v>
      </c>
      <c r="I13" s="850"/>
      <c r="J13" s="517">
        <f>SUMIF(66:66,I13,67:67)-SUMIF(66:66,C13,67:67)+100</f>
        <v>100</v>
      </c>
      <c r="K13" s="558"/>
      <c r="L13" s="1976"/>
      <c r="M13" s="1968"/>
      <c r="N13" s="1968"/>
      <c r="O13" s="1975"/>
      <c r="P13" s="3671"/>
      <c r="Q13" s="1096">
        <f t="shared" si="6"/>
        <v>111</v>
      </c>
      <c r="R13" s="1456" t="s">
        <v>8</v>
      </c>
      <c r="S13" s="1457">
        <f t="shared" si="0"/>
        <v>100</v>
      </c>
      <c r="T13" s="1456" t="s">
        <v>8</v>
      </c>
      <c r="U13" s="1457">
        <f t="shared" si="1"/>
        <v>100</v>
      </c>
      <c r="V13" s="1456" t="s">
        <v>8</v>
      </c>
      <c r="W13" s="1457">
        <f t="shared" si="2"/>
        <v>100</v>
      </c>
      <c r="X13" s="1458"/>
      <c r="Y13" s="3619"/>
      <c r="Z13" s="1095">
        <f t="shared" si="7"/>
        <v>111</v>
      </c>
      <c r="AA13" s="1459">
        <f t="shared" si="3"/>
        <v>1</v>
      </c>
      <c r="AB13" s="1459">
        <f t="shared" si="4"/>
        <v>1</v>
      </c>
      <c r="AC13" s="1459">
        <f t="shared" si="5"/>
        <v>1</v>
      </c>
    </row>
    <row r="14" spans="1:29" ht="15.75" thickBot="1">
      <c r="A14" s="2554"/>
      <c r="B14" s="2560">
        <v>111</v>
      </c>
      <c r="C14" s="522"/>
      <c r="D14" s="523">
        <v>100</v>
      </c>
      <c r="E14" s="522"/>
      <c r="F14" s="523">
        <f>SUMIF(68:68,E14,69:69)-SUMIF(68:68,C14,69:69)+100</f>
        <v>100</v>
      </c>
      <c r="G14" s="890"/>
      <c r="H14" s="523">
        <f>SUMIF(68:68,G14,69:69)-SUMIF(68:68,C14,69:69)+100</f>
        <v>100</v>
      </c>
      <c r="I14" s="850"/>
      <c r="J14" s="523">
        <f>SUMIF(68:68,I14,69:69)-SUMIF(68:68,C14,69:69)+100</f>
        <v>100</v>
      </c>
      <c r="K14" s="558"/>
      <c r="L14" s="1976"/>
      <c r="M14" s="1968"/>
      <c r="N14" s="1968"/>
      <c r="O14" s="1975"/>
      <c r="P14" s="3671"/>
      <c r="Q14" s="1096">
        <f t="shared" si="6"/>
        <v>111</v>
      </c>
      <c r="R14" s="1456" t="s">
        <v>8</v>
      </c>
      <c r="S14" s="1457">
        <f t="shared" si="0"/>
        <v>100</v>
      </c>
      <c r="T14" s="1456" t="s">
        <v>8</v>
      </c>
      <c r="U14" s="1457">
        <f t="shared" si="1"/>
        <v>100</v>
      </c>
      <c r="V14" s="1456" t="s">
        <v>8</v>
      </c>
      <c r="W14" s="1457">
        <f t="shared" si="2"/>
        <v>100</v>
      </c>
      <c r="X14" s="1458"/>
      <c r="Y14" s="3619"/>
      <c r="Z14" s="1095">
        <f t="shared" si="7"/>
        <v>111</v>
      </c>
      <c r="AA14" s="1459">
        <f t="shared" si="3"/>
        <v>1</v>
      </c>
      <c r="AB14" s="1459">
        <f t="shared" si="4"/>
        <v>1</v>
      </c>
      <c r="AC14" s="1459">
        <f t="shared" si="5"/>
        <v>1</v>
      </c>
    </row>
    <row r="15" spans="1:29" ht="57">
      <c r="A15" s="2546" t="s">
        <v>2470</v>
      </c>
      <c r="B15" s="164" t="s">
        <v>771</v>
      </c>
      <c r="C15" s="891"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8"/>
      <c r="L15" s="1976"/>
      <c r="M15" s="1968"/>
      <c r="N15" s="1968"/>
      <c r="O15" s="1975"/>
      <c r="P15" s="3704" t="s">
        <v>523</v>
      </c>
      <c r="Q15" s="1460" t="str">
        <f t="shared" si="6"/>
        <v>产业集聚程度</v>
      </c>
      <c r="R15" s="1461" t="s">
        <v>8</v>
      </c>
      <c r="S15" s="1462">
        <f t="shared" si="0"/>
        <v>100</v>
      </c>
      <c r="T15" s="1461" t="s">
        <v>8</v>
      </c>
      <c r="U15" s="1462">
        <f t="shared" si="1"/>
        <v>100</v>
      </c>
      <c r="V15" s="1461" t="s">
        <v>8</v>
      </c>
      <c r="W15" s="1462">
        <f t="shared" si="2"/>
        <v>100</v>
      </c>
      <c r="X15" s="1455"/>
      <c r="Y15" s="3704" t="s">
        <v>523</v>
      </c>
      <c r="Z15" s="1463" t="str">
        <f t="shared" si="7"/>
        <v>产业集聚程度</v>
      </c>
      <c r="AA15" s="1464">
        <f t="shared" si="3"/>
        <v>1</v>
      </c>
      <c r="AB15" s="1464">
        <f t="shared" si="4"/>
        <v>1</v>
      </c>
      <c r="AC15" s="1464">
        <f t="shared" si="5"/>
        <v>1</v>
      </c>
    </row>
    <row r="16" spans="1:29" ht="15">
      <c r="A16" s="509"/>
      <c r="B16" s="841"/>
      <c r="C16" s="553"/>
      <c r="D16" s="532"/>
      <c r="E16" s="553"/>
      <c r="F16" s="534"/>
      <c r="G16" s="553"/>
      <c r="H16" s="536"/>
      <c r="I16" s="553"/>
      <c r="J16" s="532"/>
      <c r="K16" s="869"/>
      <c r="L16" s="1976"/>
      <c r="M16" s="1968"/>
      <c r="N16" s="1968"/>
      <c r="O16" s="1975"/>
      <c r="P16" s="3705"/>
      <c r="Q16" s="1460"/>
      <c r="R16" s="1461"/>
      <c r="S16" s="1462"/>
      <c r="T16" s="1461"/>
      <c r="U16" s="1462"/>
      <c r="V16" s="1461"/>
      <c r="W16" s="1462"/>
      <c r="X16" s="1455"/>
      <c r="Y16" s="3705"/>
      <c r="Z16" s="1463"/>
      <c r="AA16" s="1464">
        <v>1</v>
      </c>
      <c r="AB16" s="1464">
        <v>1</v>
      </c>
      <c r="AC16" s="1464">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8"/>
      <c r="L17" s="1976"/>
      <c r="M17" s="1968"/>
      <c r="N17" s="1968"/>
      <c r="O17" s="1975"/>
      <c r="P17" s="3705"/>
      <c r="Q17" s="1460" t="str">
        <f>B17</f>
        <v>交通便捷度</v>
      </c>
      <c r="R17" s="1461" t="s">
        <v>8</v>
      </c>
      <c r="S17" s="1462">
        <f>F17</f>
        <v>100</v>
      </c>
      <c r="T17" s="1461" t="s">
        <v>8</v>
      </c>
      <c r="U17" s="1462">
        <f>H17</f>
        <v>100</v>
      </c>
      <c r="V17" s="1461" t="s">
        <v>8</v>
      </c>
      <c r="W17" s="1462">
        <f>J17</f>
        <v>100</v>
      </c>
      <c r="X17" s="1455"/>
      <c r="Y17" s="3705"/>
      <c r="Z17" s="1463" t="str">
        <f>Q17</f>
        <v>交通便捷度</v>
      </c>
      <c r="AA17" s="1464">
        <f t="shared" si="3"/>
        <v>1</v>
      </c>
      <c r="AB17" s="1464">
        <f t="shared" si="4"/>
        <v>1</v>
      </c>
      <c r="AC17" s="1464">
        <f t="shared" si="5"/>
        <v>1</v>
      </c>
    </row>
    <row r="18" spans="1:29" ht="15">
      <c r="A18" s="509"/>
      <c r="B18" s="572"/>
      <c r="C18" s="845"/>
      <c r="D18" s="536"/>
      <c r="E18" s="545"/>
      <c r="F18" s="540"/>
      <c r="G18" s="546"/>
      <c r="H18" s="532"/>
      <c r="I18" s="545"/>
      <c r="J18" s="532"/>
      <c r="K18" s="869"/>
      <c r="L18" s="1976"/>
      <c r="M18" s="1968"/>
      <c r="N18" s="1968"/>
      <c r="O18" s="1975"/>
      <c r="P18" s="3705"/>
      <c r="Q18" s="1460"/>
      <c r="R18" s="1461"/>
      <c r="S18" s="1462"/>
      <c r="T18" s="1461"/>
      <c r="U18" s="1462"/>
      <c r="V18" s="1461"/>
      <c r="W18" s="1462"/>
      <c r="X18" s="1455"/>
      <c r="Y18" s="3705"/>
      <c r="Z18" s="1463"/>
      <c r="AA18" s="1464">
        <v>1</v>
      </c>
      <c r="AB18" s="1464">
        <v>1</v>
      </c>
      <c r="AC18" s="1464">
        <v>1</v>
      </c>
    </row>
    <row r="19" spans="1:29" ht="42.75">
      <c r="A19" s="509"/>
      <c r="B19" s="2367" t="s">
        <v>2263</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8"/>
      <c r="L19" s="1976"/>
      <c r="M19" s="1968"/>
      <c r="N19" s="1968"/>
      <c r="O19" s="1975"/>
      <c r="P19" s="3705"/>
      <c r="Q19" s="1460" t="str">
        <f>B19</f>
        <v>公共配套设施</v>
      </c>
      <c r="R19" s="1461" t="s">
        <v>8</v>
      </c>
      <c r="S19" s="1462">
        <f>F19</f>
        <v>100</v>
      </c>
      <c r="T19" s="1461" t="s">
        <v>8</v>
      </c>
      <c r="U19" s="1462">
        <f>H19</f>
        <v>100</v>
      </c>
      <c r="V19" s="1461" t="s">
        <v>8</v>
      </c>
      <c r="W19" s="1462">
        <f>J19</f>
        <v>100</v>
      </c>
      <c r="X19" s="1455"/>
      <c r="Y19" s="3705"/>
      <c r="Z19" s="1463" t="str">
        <f>Q19</f>
        <v>公共配套设施</v>
      </c>
      <c r="AA19" s="1464">
        <f t="shared" si="3"/>
        <v>1</v>
      </c>
      <c r="AB19" s="1464">
        <f t="shared" si="4"/>
        <v>1</v>
      </c>
      <c r="AC19" s="1464">
        <f t="shared" si="5"/>
        <v>1</v>
      </c>
    </row>
    <row r="20" spans="1:29" ht="15">
      <c r="A20" s="509"/>
      <c r="B20" s="543"/>
      <c r="C20" s="553"/>
      <c r="D20" s="532"/>
      <c r="E20" s="533"/>
      <c r="F20" s="534"/>
      <c r="G20" s="535"/>
      <c r="H20" s="532"/>
      <c r="I20" s="533"/>
      <c r="J20" s="532"/>
      <c r="K20" s="869"/>
      <c r="L20" s="1976"/>
      <c r="M20" s="1968"/>
      <c r="N20" s="1968"/>
      <c r="O20" s="1975"/>
      <c r="P20" s="3705"/>
      <c r="Q20" s="1460"/>
      <c r="R20" s="1461"/>
      <c r="S20" s="1462"/>
      <c r="T20" s="1461"/>
      <c r="U20" s="1462"/>
      <c r="V20" s="1461"/>
      <c r="W20" s="1462"/>
      <c r="X20" s="1455"/>
      <c r="Y20" s="3705"/>
      <c r="Z20" s="1463"/>
      <c r="AA20" s="1464">
        <v>1</v>
      </c>
      <c r="AB20" s="1464">
        <v>1</v>
      </c>
      <c r="AC20" s="1464">
        <v>1</v>
      </c>
    </row>
    <row r="21" spans="1:29" ht="28.5">
      <c r="A21" s="509"/>
      <c r="B21" s="2355" t="s">
        <v>2275</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8"/>
      <c r="L21" s="1976"/>
      <c r="M21" s="1968"/>
      <c r="N21" s="1968"/>
      <c r="O21" s="1975"/>
      <c r="P21" s="3705"/>
      <c r="Q21" s="2349" t="str">
        <f>B21</f>
        <v>基础设施水平</v>
      </c>
      <c r="R21" s="1461" t="s">
        <v>8</v>
      </c>
      <c r="S21" s="1462">
        <f>F21</f>
        <v>100</v>
      </c>
      <c r="T21" s="1461" t="s">
        <v>8</v>
      </c>
      <c r="U21" s="1462">
        <f>H21</f>
        <v>100</v>
      </c>
      <c r="V21" s="1461" t="s">
        <v>8</v>
      </c>
      <c r="W21" s="1462">
        <f>J21</f>
        <v>100</v>
      </c>
      <c r="X21" s="2351"/>
      <c r="Y21" s="3705"/>
      <c r="Z21" s="2350" t="str">
        <f>Q21</f>
        <v>基础设施水平</v>
      </c>
      <c r="AA21" s="1464">
        <f t="shared" ref="AA21" si="8">D21/F21</f>
        <v>1</v>
      </c>
      <c r="AB21" s="1464">
        <f t="shared" ref="AB21" si="9">D21/H21</f>
        <v>1</v>
      </c>
      <c r="AC21" s="1464">
        <f t="shared" ref="AC21" si="10">D21/J21</f>
        <v>1</v>
      </c>
    </row>
    <row r="22" spans="1:29" ht="15">
      <c r="A22" s="509"/>
      <c r="B22" s="555"/>
      <c r="C22" s="845"/>
      <c r="D22" s="532"/>
      <c r="E22" s="553"/>
      <c r="F22" s="534"/>
      <c r="G22" s="553"/>
      <c r="H22" s="532"/>
      <c r="I22" s="553"/>
      <c r="J22" s="532"/>
      <c r="K22" s="2366"/>
      <c r="L22" s="1976"/>
      <c r="M22" s="1968"/>
      <c r="N22" s="1968"/>
      <c r="O22" s="1975"/>
      <c r="P22" s="3705"/>
      <c r="Q22" s="2349"/>
      <c r="R22" s="1461"/>
      <c r="S22" s="1462"/>
      <c r="T22" s="1461"/>
      <c r="U22" s="1462"/>
      <c r="V22" s="1461"/>
      <c r="W22" s="1462"/>
      <c r="X22" s="2351"/>
      <c r="Y22" s="3705"/>
      <c r="Z22" s="2350"/>
      <c r="AA22" s="1464">
        <v>1</v>
      </c>
      <c r="AB22" s="1464">
        <v>1</v>
      </c>
      <c r="AC22" s="1464">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8"/>
      <c r="L23" s="1976"/>
      <c r="M23" s="1968"/>
      <c r="N23" s="1968"/>
      <c r="O23" s="1975"/>
      <c r="P23" s="3705"/>
      <c r="Q23" s="1460" t="str">
        <f>B23</f>
        <v>环境质量</v>
      </c>
      <c r="R23" s="1461" t="s">
        <v>8</v>
      </c>
      <c r="S23" s="1462">
        <f>F23</f>
        <v>100</v>
      </c>
      <c r="T23" s="1461" t="s">
        <v>8</v>
      </c>
      <c r="U23" s="1462">
        <f>H23</f>
        <v>100</v>
      </c>
      <c r="V23" s="1461" t="s">
        <v>8</v>
      </c>
      <c r="W23" s="1462">
        <f>J23</f>
        <v>100</v>
      </c>
      <c r="X23" s="1455"/>
      <c r="Y23" s="3705"/>
      <c r="Z23" s="1463" t="str">
        <f>Q23</f>
        <v>环境质量</v>
      </c>
      <c r="AA23" s="1464">
        <f t="shared" si="3"/>
        <v>1</v>
      </c>
      <c r="AB23" s="1464">
        <f t="shared" si="4"/>
        <v>1</v>
      </c>
      <c r="AC23" s="1464">
        <f t="shared" si="5"/>
        <v>1</v>
      </c>
    </row>
    <row r="24" spans="1:29" ht="15">
      <c r="A24" s="509"/>
      <c r="B24" s="892"/>
      <c r="C24" s="553"/>
      <c r="D24" s="532"/>
      <c r="E24" s="533"/>
      <c r="F24" s="534"/>
      <c r="G24" s="535"/>
      <c r="H24" s="532"/>
      <c r="I24" s="533"/>
      <c r="J24" s="532"/>
      <c r="K24" s="869"/>
      <c r="L24" s="1976"/>
      <c r="M24" s="1968"/>
      <c r="N24" s="1968"/>
      <c r="O24" s="1975"/>
      <c r="P24" s="3705"/>
      <c r="Q24" s="1460"/>
      <c r="R24" s="1461"/>
      <c r="S24" s="1462"/>
      <c r="T24" s="1461"/>
      <c r="U24" s="1462"/>
      <c r="V24" s="1461"/>
      <c r="W24" s="1462"/>
      <c r="X24" s="1455"/>
      <c r="Y24" s="3705"/>
      <c r="Z24" s="1463"/>
      <c r="AA24" s="1464">
        <v>1</v>
      </c>
      <c r="AB24" s="1464">
        <v>1</v>
      </c>
      <c r="AC24" s="1464">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6"/>
      <c r="M25" s="1968"/>
      <c r="N25" s="1968"/>
      <c r="O25" s="1975"/>
      <c r="P25" s="3705"/>
      <c r="Q25" s="1460">
        <f>B25</f>
        <v>111</v>
      </c>
      <c r="R25" s="1461" t="s">
        <v>8</v>
      </c>
      <c r="S25" s="1462">
        <f>F25</f>
        <v>100</v>
      </c>
      <c r="T25" s="1461" t="s">
        <v>8</v>
      </c>
      <c r="U25" s="1462">
        <f>H25</f>
        <v>100</v>
      </c>
      <c r="V25" s="1461" t="s">
        <v>8</v>
      </c>
      <c r="W25" s="1462">
        <f>J25</f>
        <v>100</v>
      </c>
      <c r="X25" s="1455"/>
      <c r="Y25" s="3705"/>
      <c r="Z25" s="1463">
        <f>Q25</f>
        <v>111</v>
      </c>
      <c r="AA25" s="1464">
        <f t="shared" si="3"/>
        <v>1</v>
      </c>
      <c r="AB25" s="1464">
        <f t="shared" si="4"/>
        <v>1</v>
      </c>
      <c r="AC25" s="1464">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6"/>
      <c r="M26" s="1968"/>
      <c r="N26" s="1968"/>
      <c r="O26" s="1975"/>
      <c r="P26" s="3705"/>
      <c r="Q26" s="1460">
        <f t="shared" ref="Q26:Q40" si="11">B26</f>
        <v>111</v>
      </c>
      <c r="R26" s="1461" t="s">
        <v>8</v>
      </c>
      <c r="S26" s="1462">
        <f>F26</f>
        <v>100</v>
      </c>
      <c r="T26" s="1461" t="s">
        <v>8</v>
      </c>
      <c r="U26" s="1462">
        <f>H26</f>
        <v>100</v>
      </c>
      <c r="V26" s="1461" t="s">
        <v>8</v>
      </c>
      <c r="W26" s="1462">
        <f>J26</f>
        <v>100</v>
      </c>
      <c r="X26" s="1455"/>
      <c r="Y26" s="3705"/>
      <c r="Z26" s="1463">
        <f>Q26</f>
        <v>111</v>
      </c>
      <c r="AA26" s="1464">
        <f t="shared" si="3"/>
        <v>1</v>
      </c>
      <c r="AB26" s="1464">
        <f t="shared" si="4"/>
        <v>1</v>
      </c>
      <c r="AC26" s="1464">
        <f t="shared" si="5"/>
        <v>1</v>
      </c>
    </row>
    <row r="27" spans="1:29" s="1165"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69"/>
      <c r="M27" s="1970"/>
      <c r="N27" s="1970"/>
      <c r="O27" s="1971"/>
      <c r="P27" s="3705"/>
      <c r="Q27" s="1096">
        <f t="shared" si="11"/>
        <v>111</v>
      </c>
      <c r="R27" s="1456" t="s">
        <v>8</v>
      </c>
      <c r="S27" s="1457">
        <f>F27</f>
        <v>100</v>
      </c>
      <c r="T27" s="1456" t="s">
        <v>8</v>
      </c>
      <c r="U27" s="1457">
        <f>H27</f>
        <v>100</v>
      </c>
      <c r="V27" s="1456" t="s">
        <v>8</v>
      </c>
      <c r="W27" s="1457">
        <f>J27</f>
        <v>100</v>
      </c>
      <c r="X27" s="1458"/>
      <c r="Y27" s="3705"/>
      <c r="Z27" s="1095">
        <f>Q27</f>
        <v>111</v>
      </c>
      <c r="AA27" s="1464">
        <f>D27/F27</f>
        <v>1</v>
      </c>
      <c r="AB27" s="1464">
        <f>D27/H27</f>
        <v>1</v>
      </c>
      <c r="AC27" s="1464">
        <f>D27/J27</f>
        <v>1</v>
      </c>
    </row>
    <row r="28" spans="1:29" ht="15.75" thickBot="1">
      <c r="A28" s="520"/>
      <c r="B28" s="849">
        <v>111</v>
      </c>
      <c r="C28" s="522"/>
      <c r="D28" s="523">
        <v>100</v>
      </c>
      <c r="E28" s="516"/>
      <c r="F28" s="838">
        <f>SUMIF(86:86,E28,87:87)-SUMIF(86:86,C28,87:87)+100</f>
        <v>100</v>
      </c>
      <c r="G28" s="850"/>
      <c r="H28" s="523">
        <f>SUMIF(86:86,G28,87:87)-SUMIF(86:86,C28,87:87)+100</f>
        <v>100</v>
      </c>
      <c r="I28" s="850"/>
      <c r="J28" s="523">
        <f>SUMIF(86:86,I28,87:87)-SUMIF(86:86,C28,87:87)+100</f>
        <v>100</v>
      </c>
      <c r="K28" s="558"/>
      <c r="L28" s="1976"/>
      <c r="M28" s="1968"/>
      <c r="N28" s="1968"/>
      <c r="O28" s="1975"/>
      <c r="P28" s="3705"/>
      <c r="Q28" s="1460">
        <f t="shared" si="11"/>
        <v>111</v>
      </c>
      <c r="R28" s="1461" t="s">
        <v>8</v>
      </c>
      <c r="S28" s="1462">
        <f t="shared" ref="S28:S40" si="12">F28</f>
        <v>100</v>
      </c>
      <c r="T28" s="1461" t="s">
        <v>8</v>
      </c>
      <c r="U28" s="1462">
        <f t="shared" ref="U28:U40" si="13">H28</f>
        <v>100</v>
      </c>
      <c r="V28" s="1461" t="s">
        <v>8</v>
      </c>
      <c r="W28" s="1462">
        <f t="shared" ref="W28:W40" si="14">J28</f>
        <v>100</v>
      </c>
      <c r="X28" s="1455"/>
      <c r="Y28" s="3705"/>
      <c r="Z28" s="1463">
        <f t="shared" ref="Z28:Z40" si="15">Q28</f>
        <v>111</v>
      </c>
      <c r="AA28" s="1464">
        <f t="shared" si="3"/>
        <v>1</v>
      </c>
      <c r="AB28" s="1464">
        <f t="shared" si="4"/>
        <v>1</v>
      </c>
      <c r="AC28" s="1464">
        <f t="shared" si="5"/>
        <v>1</v>
      </c>
    </row>
    <row r="29" spans="1:29" ht="15">
      <c r="A29" s="2544" t="s">
        <v>2471</v>
      </c>
      <c r="B29" s="170" t="s">
        <v>762</v>
      </c>
      <c r="C29" s="886"/>
      <c r="D29" s="574">
        <v>100</v>
      </c>
      <c r="E29" s="886"/>
      <c r="F29" s="552">
        <f>SUMIF(88:88,E29,89:89)-SUMIF(88:88,C29,89:89)+100</f>
        <v>100</v>
      </c>
      <c r="G29" s="886"/>
      <c r="H29" s="517">
        <f>SUMIF(88:88,G29,89:89)-SUMIF(88:88,C29,89:89)+100</f>
        <v>100</v>
      </c>
      <c r="I29" s="886"/>
      <c r="J29" s="574">
        <f>SUMIF(88:88,I29,89:89)-SUMIF(88:88,C29,89:89)+100</f>
        <v>100</v>
      </c>
      <c r="K29" s="561"/>
      <c r="L29" s="1976"/>
      <c r="M29" s="1968"/>
      <c r="N29" s="1968"/>
      <c r="O29" s="1975"/>
      <c r="P29" s="3706" t="s">
        <v>533</v>
      </c>
      <c r="Q29" s="1460" t="str">
        <f t="shared" si="11"/>
        <v>建筑类型</v>
      </c>
      <c r="R29" s="1461" t="s">
        <v>8</v>
      </c>
      <c r="S29" s="1462">
        <f t="shared" si="12"/>
        <v>100</v>
      </c>
      <c r="T29" s="1461" t="s">
        <v>8</v>
      </c>
      <c r="U29" s="1462">
        <f t="shared" si="13"/>
        <v>100</v>
      </c>
      <c r="V29" s="1461" t="s">
        <v>8</v>
      </c>
      <c r="W29" s="1462">
        <f t="shared" si="14"/>
        <v>100</v>
      </c>
      <c r="X29" s="1455"/>
      <c r="Y29" s="3707" t="s">
        <v>533</v>
      </c>
      <c r="Z29" s="1463" t="str">
        <f t="shared" si="15"/>
        <v>建筑类型</v>
      </c>
      <c r="AA29" s="1464">
        <f t="shared" si="3"/>
        <v>1</v>
      </c>
      <c r="AB29" s="1464">
        <f t="shared" si="4"/>
        <v>1</v>
      </c>
      <c r="AC29" s="1464">
        <f t="shared" si="5"/>
        <v>1</v>
      </c>
    </row>
    <row r="30" spans="1:29" s="1247" customFormat="1" ht="15">
      <c r="A30" s="580"/>
      <c r="B30" s="504" t="s">
        <v>708</v>
      </c>
      <c r="C30" s="850"/>
      <c r="D30" s="253">
        <v>100</v>
      </c>
      <c r="E30" s="511"/>
      <c r="F30" s="835" t="e">
        <f>LOOKUP(E30,91:91,92:92)-LOOKUP(C30,91:91,92:92)+100</f>
        <v>#N/A</v>
      </c>
      <c r="G30" s="510"/>
      <c r="H30" s="253" t="e">
        <f>LOOKUP(G30,91:91,92:92)-LOOKUP(C30,91:91,92:92)+100</f>
        <v>#N/A</v>
      </c>
      <c r="I30" s="510"/>
      <c r="J30" s="253" t="e">
        <f>LOOKUP(I30,91:91,92:92)-LOOKUP(C30,91:91,92:92)+100</f>
        <v>#N/A</v>
      </c>
      <c r="K30" s="558"/>
      <c r="L30" s="1974"/>
      <c r="M30" s="2004"/>
      <c r="N30" s="2004"/>
      <c r="O30" s="1977"/>
      <c r="P30" s="3707"/>
      <c r="Q30" s="1489" t="str">
        <f t="shared" si="11"/>
        <v>项目建筑规模</v>
      </c>
      <c r="R30" s="1465" t="s">
        <v>8</v>
      </c>
      <c r="S30" s="1466" t="e">
        <f t="shared" si="12"/>
        <v>#N/A</v>
      </c>
      <c r="T30" s="1465" t="s">
        <v>8</v>
      </c>
      <c r="U30" s="1466" t="e">
        <f t="shared" si="13"/>
        <v>#N/A</v>
      </c>
      <c r="V30" s="1465" t="s">
        <v>8</v>
      </c>
      <c r="W30" s="1466" t="e">
        <f t="shared" si="14"/>
        <v>#N/A</v>
      </c>
      <c r="X30" s="1467"/>
      <c r="Y30" s="3707"/>
      <c r="Z30" s="1468" t="str">
        <f t="shared" si="15"/>
        <v>项目建筑规模</v>
      </c>
      <c r="AA30" s="1464" t="e">
        <f t="shared" si="3"/>
        <v>#N/A</v>
      </c>
      <c r="AB30" s="1464" t="e">
        <f t="shared" si="4"/>
        <v>#N/A</v>
      </c>
      <c r="AC30" s="1464"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6"/>
      <c r="M31" s="1968"/>
      <c r="N31" s="1968"/>
      <c r="O31" s="1975"/>
      <c r="P31" s="3707"/>
      <c r="Q31" s="1460" t="str">
        <f t="shared" si="11"/>
        <v>建筑结构</v>
      </c>
      <c r="R31" s="1461" t="s">
        <v>8</v>
      </c>
      <c r="S31" s="1462">
        <f t="shared" si="12"/>
        <v>100</v>
      </c>
      <c r="T31" s="1461" t="s">
        <v>8</v>
      </c>
      <c r="U31" s="1462">
        <f t="shared" si="13"/>
        <v>100</v>
      </c>
      <c r="V31" s="1461" t="s">
        <v>8</v>
      </c>
      <c r="W31" s="1462">
        <f t="shared" si="14"/>
        <v>100</v>
      </c>
      <c r="X31" s="1455"/>
      <c r="Y31" s="3707"/>
      <c r="Z31" s="1463" t="str">
        <f t="shared" si="15"/>
        <v>建筑结构</v>
      </c>
      <c r="AA31" s="1464">
        <f t="shared" si="3"/>
        <v>1</v>
      </c>
      <c r="AB31" s="1464">
        <f t="shared" si="4"/>
        <v>1</v>
      </c>
      <c r="AC31" s="1464">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6"/>
      <c r="M32" s="1968"/>
      <c r="N32" s="1968"/>
      <c r="O32" s="1975"/>
      <c r="P32" s="3707"/>
      <c r="Q32" s="1460" t="str">
        <f t="shared" si="11"/>
        <v>公共部分装修</v>
      </c>
      <c r="R32" s="1461" t="s">
        <v>8</v>
      </c>
      <c r="S32" s="1462">
        <f t="shared" si="12"/>
        <v>100</v>
      </c>
      <c r="T32" s="1461" t="s">
        <v>8</v>
      </c>
      <c r="U32" s="1462">
        <f t="shared" si="13"/>
        <v>100</v>
      </c>
      <c r="V32" s="1461" t="s">
        <v>8</v>
      </c>
      <c r="W32" s="1462">
        <f t="shared" si="14"/>
        <v>100</v>
      </c>
      <c r="X32" s="1455"/>
      <c r="Y32" s="3707"/>
      <c r="Z32" s="1463" t="str">
        <f t="shared" si="15"/>
        <v>公共部分装修</v>
      </c>
      <c r="AA32" s="1464">
        <f t="shared" si="3"/>
        <v>1</v>
      </c>
      <c r="AB32" s="1464">
        <f t="shared" si="4"/>
        <v>1</v>
      </c>
      <c r="AC32" s="1464">
        <f t="shared" si="5"/>
        <v>1</v>
      </c>
    </row>
    <row r="33" spans="1:29" ht="15">
      <c r="A33" s="571"/>
      <c r="B33" s="504" t="s">
        <v>746</v>
      </c>
      <c r="C33" s="850"/>
      <c r="D33" s="517">
        <v>100</v>
      </c>
      <c r="E33" s="853"/>
      <c r="F33" s="552" t="e">
        <f>LOOKUP(E33,98:98,99:99)-LOOKUP(C33,98:98,99:99)+100</f>
        <v>#N/A</v>
      </c>
      <c r="G33" s="853"/>
      <c r="H33" s="552" t="e">
        <f>LOOKUP(G33,98:98,99:99)-LOOKUP(C33,98:98,99:99)+100</f>
        <v>#N/A</v>
      </c>
      <c r="I33" s="853"/>
      <c r="J33" s="517" t="e">
        <f>LOOKUP(I33,98:98,99:99)-LOOKUP(C33,98:98,99:99)+100</f>
        <v>#N/A</v>
      </c>
      <c r="K33" s="561"/>
      <c r="L33" s="1976"/>
      <c r="M33" s="1968"/>
      <c r="N33" s="1968"/>
      <c r="O33" s="1975"/>
      <c r="P33" s="3707"/>
      <c r="Q33" s="1460" t="str">
        <f t="shared" si="11"/>
        <v>成新度</v>
      </c>
      <c r="R33" s="1461" t="s">
        <v>8</v>
      </c>
      <c r="S33" s="1462" t="e">
        <f t="shared" si="12"/>
        <v>#N/A</v>
      </c>
      <c r="T33" s="1461" t="s">
        <v>8</v>
      </c>
      <c r="U33" s="1462" t="e">
        <f t="shared" si="13"/>
        <v>#N/A</v>
      </c>
      <c r="V33" s="1461" t="s">
        <v>8</v>
      </c>
      <c r="W33" s="1462" t="e">
        <f t="shared" si="14"/>
        <v>#N/A</v>
      </c>
      <c r="X33" s="1455"/>
      <c r="Y33" s="3707"/>
      <c r="Z33" s="1463" t="str">
        <f t="shared" si="15"/>
        <v>成新度</v>
      </c>
      <c r="AA33" s="1464" t="e">
        <f t="shared" si="3"/>
        <v>#N/A</v>
      </c>
      <c r="AB33" s="1464" t="e">
        <f t="shared" si="4"/>
        <v>#N/A</v>
      </c>
      <c r="AC33" s="1464" t="e">
        <f t="shared" si="5"/>
        <v>#N/A</v>
      </c>
    </row>
    <row r="34" spans="1:29" s="1165"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69"/>
      <c r="M34" s="1970"/>
      <c r="N34" s="1970"/>
      <c r="O34" s="1971"/>
      <c r="P34" s="3707"/>
      <c r="Q34" s="1096" t="str">
        <f t="shared" si="11"/>
        <v>物业管理</v>
      </c>
      <c r="R34" s="1456" t="s">
        <v>8</v>
      </c>
      <c r="S34" s="1457">
        <f t="shared" si="12"/>
        <v>100</v>
      </c>
      <c r="T34" s="1456" t="s">
        <v>8</v>
      </c>
      <c r="U34" s="1457">
        <f t="shared" si="13"/>
        <v>100</v>
      </c>
      <c r="V34" s="1456" t="s">
        <v>8</v>
      </c>
      <c r="W34" s="1457">
        <f t="shared" si="14"/>
        <v>100</v>
      </c>
      <c r="X34" s="1458"/>
      <c r="Y34" s="3707"/>
      <c r="Z34" s="1095" t="str">
        <f t="shared" si="15"/>
        <v>物业管理</v>
      </c>
      <c r="AA34" s="1459">
        <f t="shared" si="3"/>
        <v>1</v>
      </c>
      <c r="AB34" s="1459">
        <f t="shared" si="4"/>
        <v>1</v>
      </c>
      <c r="AC34" s="1459">
        <f t="shared" si="5"/>
        <v>1</v>
      </c>
    </row>
    <row r="35" spans="1:29" ht="15">
      <c r="A35" s="571"/>
      <c r="B35" s="1762" t="s">
        <v>2282</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6"/>
      <c r="M35" s="1968"/>
      <c r="N35" s="1968"/>
      <c r="O35" s="1975"/>
      <c r="P35" s="3707" t="s">
        <v>533</v>
      </c>
      <c r="Q35" s="1460" t="str">
        <f t="shared" si="11"/>
        <v>市政基础设施</v>
      </c>
      <c r="R35" s="1461" t="s">
        <v>8</v>
      </c>
      <c r="S35" s="1462">
        <f t="shared" si="12"/>
        <v>100</v>
      </c>
      <c r="T35" s="1461" t="s">
        <v>8</v>
      </c>
      <c r="U35" s="1462">
        <f t="shared" si="13"/>
        <v>100</v>
      </c>
      <c r="V35" s="1461" t="s">
        <v>8</v>
      </c>
      <c r="W35" s="1462">
        <f t="shared" si="14"/>
        <v>100</v>
      </c>
      <c r="X35" s="1455"/>
      <c r="Y35" s="3707" t="s">
        <v>533</v>
      </c>
      <c r="Z35" s="1463" t="str">
        <f t="shared" si="15"/>
        <v>市政基础设施</v>
      </c>
      <c r="AA35" s="1464">
        <f t="shared" si="3"/>
        <v>1</v>
      </c>
      <c r="AB35" s="1464">
        <f t="shared" si="4"/>
        <v>1</v>
      </c>
      <c r="AC35" s="1464">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6"/>
      <c r="M36" s="1968"/>
      <c r="N36" s="1968"/>
      <c r="O36" s="1975"/>
      <c r="P36" s="3707"/>
      <c r="Q36" s="1460" t="str">
        <f t="shared" si="11"/>
        <v>内部装修</v>
      </c>
      <c r="R36" s="1461" t="s">
        <v>8</v>
      </c>
      <c r="S36" s="1462">
        <f t="shared" si="12"/>
        <v>100</v>
      </c>
      <c r="T36" s="1461" t="s">
        <v>8</v>
      </c>
      <c r="U36" s="1462">
        <f t="shared" si="13"/>
        <v>100</v>
      </c>
      <c r="V36" s="1461" t="s">
        <v>8</v>
      </c>
      <c r="W36" s="1462">
        <f t="shared" si="14"/>
        <v>100</v>
      </c>
      <c r="X36" s="1455"/>
      <c r="Y36" s="3707"/>
      <c r="Z36" s="1463" t="str">
        <f t="shared" si="15"/>
        <v>内部装修</v>
      </c>
      <c r="AA36" s="1464">
        <f t="shared" si="3"/>
        <v>1</v>
      </c>
      <c r="AB36" s="1464">
        <f t="shared" si="4"/>
        <v>1</v>
      </c>
      <c r="AC36" s="1464">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6"/>
      <c r="M37" s="1968"/>
      <c r="N37" s="1968"/>
      <c r="O37" s="1975"/>
      <c r="P37" s="3707"/>
      <c r="Q37" s="1460" t="str">
        <f t="shared" si="11"/>
        <v>内部装修状况</v>
      </c>
      <c r="R37" s="1461" t="s">
        <v>8</v>
      </c>
      <c r="S37" s="1462">
        <f t="shared" si="12"/>
        <v>100</v>
      </c>
      <c r="T37" s="1461" t="s">
        <v>8</v>
      </c>
      <c r="U37" s="1462">
        <f t="shared" si="13"/>
        <v>100</v>
      </c>
      <c r="V37" s="1461" t="s">
        <v>8</v>
      </c>
      <c r="W37" s="1462">
        <f t="shared" si="14"/>
        <v>100</v>
      </c>
      <c r="X37" s="1455"/>
      <c r="Y37" s="3707"/>
      <c r="Z37" s="1463" t="str">
        <f t="shared" si="15"/>
        <v>内部装修状况</v>
      </c>
      <c r="AA37" s="1464">
        <f t="shared" si="3"/>
        <v>1</v>
      </c>
      <c r="AB37" s="1464">
        <f t="shared" si="4"/>
        <v>1</v>
      </c>
      <c r="AC37" s="1464">
        <f t="shared" si="5"/>
        <v>1</v>
      </c>
    </row>
    <row r="38" spans="1:29" s="1247" customFormat="1" ht="15">
      <c r="A38" s="580"/>
      <c r="B38" s="849">
        <v>111</v>
      </c>
      <c r="C38" s="850"/>
      <c r="D38" s="517">
        <v>100</v>
      </c>
      <c r="E38" s="516"/>
      <c r="F38" s="552">
        <f>SUMIF(108:108,E38,109:109)-SUMIF(108:108,C38,109:109)+100</f>
        <v>100</v>
      </c>
      <c r="G38" s="850"/>
      <c r="H38" s="517">
        <f>SUMIF(108:108,G38,109:109)-SUMIF(108:108,C38,109:109)+100</f>
        <v>100</v>
      </c>
      <c r="I38" s="850"/>
      <c r="J38" s="517">
        <f>SUMIF(108:108,I38,109:1038)-SUMIF(108:108,C38,109:109)+100</f>
        <v>100</v>
      </c>
      <c r="K38" s="558"/>
      <c r="L38" s="1974"/>
      <c r="M38" s="2004"/>
      <c r="N38" s="2004"/>
      <c r="O38" s="1977"/>
      <c r="P38" s="3707"/>
      <c r="Q38" s="1489">
        <f t="shared" si="11"/>
        <v>111</v>
      </c>
      <c r="R38" s="1465" t="s">
        <v>8</v>
      </c>
      <c r="S38" s="1466">
        <f t="shared" si="12"/>
        <v>100</v>
      </c>
      <c r="T38" s="1465" t="s">
        <v>8</v>
      </c>
      <c r="U38" s="1466">
        <f t="shared" si="13"/>
        <v>100</v>
      </c>
      <c r="V38" s="1465" t="s">
        <v>8</v>
      </c>
      <c r="W38" s="1466">
        <f t="shared" si="14"/>
        <v>100</v>
      </c>
      <c r="X38" s="1467"/>
      <c r="Y38" s="3707"/>
      <c r="Z38" s="1468">
        <f t="shared" si="15"/>
        <v>111</v>
      </c>
      <c r="AA38" s="1464">
        <f t="shared" si="3"/>
        <v>1</v>
      </c>
      <c r="AB38" s="1464">
        <f t="shared" si="4"/>
        <v>1</v>
      </c>
      <c r="AC38" s="1464">
        <f t="shared" si="5"/>
        <v>1</v>
      </c>
    </row>
    <row r="39" spans="1:29" ht="15">
      <c r="A39" s="571"/>
      <c r="B39" s="849">
        <v>111</v>
      </c>
      <c r="C39" s="850"/>
      <c r="D39" s="517">
        <v>100</v>
      </c>
      <c r="E39" s="516"/>
      <c r="F39" s="552">
        <f>SUMIF(110:110,E39,111:111)-SUMIF(110:110,C39,111:111)+100</f>
        <v>100</v>
      </c>
      <c r="G39" s="850"/>
      <c r="H39" s="517">
        <f>SUMIF(110:110,G39,111:111)-SUMIF(110:110,C39,111:111)+100</f>
        <v>100</v>
      </c>
      <c r="I39" s="850"/>
      <c r="J39" s="517">
        <f>SUMIF(110:110,I39,111:111)-SUMIF(110:110,C39,111:111)+100</f>
        <v>100</v>
      </c>
      <c r="K39" s="558"/>
      <c r="L39" s="1976"/>
      <c r="M39" s="1968"/>
      <c r="N39" s="1968"/>
      <c r="O39" s="1975"/>
      <c r="P39" s="3707"/>
      <c r="Q39" s="1460">
        <f t="shared" si="11"/>
        <v>111</v>
      </c>
      <c r="R39" s="1461" t="s">
        <v>8</v>
      </c>
      <c r="S39" s="1462">
        <f t="shared" si="12"/>
        <v>100</v>
      </c>
      <c r="T39" s="1461" t="s">
        <v>8</v>
      </c>
      <c r="U39" s="1462">
        <f t="shared" si="13"/>
        <v>100</v>
      </c>
      <c r="V39" s="1461" t="s">
        <v>8</v>
      </c>
      <c r="W39" s="1462">
        <f t="shared" si="14"/>
        <v>100</v>
      </c>
      <c r="X39" s="1455"/>
      <c r="Y39" s="3707"/>
      <c r="Z39" s="1463">
        <f t="shared" si="15"/>
        <v>111</v>
      </c>
      <c r="AA39" s="1464">
        <f t="shared" si="3"/>
        <v>1</v>
      </c>
      <c r="AB39" s="1464">
        <f t="shared" si="4"/>
        <v>1</v>
      </c>
      <c r="AC39" s="1464">
        <f t="shared" si="5"/>
        <v>1</v>
      </c>
    </row>
    <row r="40" spans="1:29" ht="15.75" thickBot="1">
      <c r="A40" s="856"/>
      <c r="B40" s="521">
        <v>111</v>
      </c>
      <c r="C40" s="522"/>
      <c r="D40" s="523">
        <v>100</v>
      </c>
      <c r="E40" s="516"/>
      <c r="F40" s="838">
        <f>SUMIF(112:112,E40,113:113)-SUMIF(112:112,C40,113:113)+100</f>
        <v>100</v>
      </c>
      <c r="G40" s="850"/>
      <c r="H40" s="523">
        <f>SUMIF(112:112,G40,113:113)-SUMIF(112:112,C40,113:113)+100</f>
        <v>100</v>
      </c>
      <c r="I40" s="850"/>
      <c r="J40" s="523">
        <f>SUMIF(112:112,I40,113:113)-SUMIF(112:112,C40,113:113)+100</f>
        <v>100</v>
      </c>
      <c r="K40" s="558"/>
      <c r="L40" s="1976"/>
      <c r="M40" s="1968"/>
      <c r="N40" s="1968"/>
      <c r="O40" s="1975"/>
      <c r="P40" s="3802"/>
      <c r="Q40" s="1460">
        <f t="shared" si="11"/>
        <v>111</v>
      </c>
      <c r="R40" s="1461" t="s">
        <v>8</v>
      </c>
      <c r="S40" s="1462">
        <f t="shared" si="12"/>
        <v>100</v>
      </c>
      <c r="T40" s="1461" t="s">
        <v>8</v>
      </c>
      <c r="U40" s="1462">
        <f t="shared" si="13"/>
        <v>100</v>
      </c>
      <c r="V40" s="1461" t="s">
        <v>8</v>
      </c>
      <c r="W40" s="1462">
        <f t="shared" si="14"/>
        <v>100</v>
      </c>
      <c r="X40" s="1455"/>
      <c r="Y40" s="3802"/>
      <c r="Z40" s="1463">
        <f t="shared" si="15"/>
        <v>111</v>
      </c>
      <c r="AA40" s="1464">
        <f t="shared" si="3"/>
        <v>1</v>
      </c>
      <c r="AB40" s="1464">
        <f t="shared" si="4"/>
        <v>1</v>
      </c>
      <c r="AC40" s="1464">
        <f t="shared" si="5"/>
        <v>1</v>
      </c>
    </row>
    <row r="41" spans="1:29" ht="15">
      <c r="A41" s="584" t="s">
        <v>718</v>
      </c>
      <c r="B41" s="857"/>
      <c r="C41" s="2390" t="s">
        <v>1</v>
      </c>
      <c r="D41" s="2391"/>
      <c r="E41" s="2392"/>
      <c r="F41" s="2393"/>
      <c r="G41" s="2394"/>
      <c r="H41" s="2395"/>
      <c r="I41" s="2392"/>
      <c r="J41" s="2395"/>
      <c r="K41" s="1494"/>
      <c r="L41" s="1978"/>
      <c r="M41" s="1979"/>
      <c r="N41" s="1968"/>
      <c r="O41" s="1979"/>
      <c r="P41" s="3671" t="str">
        <f>A41</f>
        <v>成交单价（元/平方米）</v>
      </c>
      <c r="Q41" s="3671"/>
      <c r="R41" s="3801">
        <f>E41</f>
        <v>0</v>
      </c>
      <c r="S41" s="3801"/>
      <c r="T41" s="3801">
        <f>G41</f>
        <v>0</v>
      </c>
      <c r="U41" s="3801"/>
      <c r="V41" s="3801">
        <f>I41</f>
        <v>0</v>
      </c>
      <c r="W41" s="3801"/>
      <c r="X41" s="1450"/>
      <c r="Y41" s="1469"/>
      <c r="Z41" s="1450"/>
      <c r="AA41" s="1450"/>
      <c r="AB41" s="1450"/>
      <c r="AC41" s="1450"/>
    </row>
    <row r="42" spans="1:29" ht="15.75" thickBot="1">
      <c r="A42" s="592" t="s">
        <v>2476</v>
      </c>
      <c r="B42" s="858"/>
      <c r="C42" s="2396" t="e">
        <f>R43</f>
        <v>#DIV/0!</v>
      </c>
      <c r="D42" s="2919" t="s">
        <v>2701</v>
      </c>
      <c r="E42" s="2397" t="e">
        <f>R42</f>
        <v>#DIV/0!</v>
      </c>
      <c r="F42" s="2920"/>
      <c r="G42" s="2396" t="e">
        <f>T42</f>
        <v>#DIV/0!</v>
      </c>
      <c r="H42" s="2920"/>
      <c r="I42" s="2397" t="e">
        <f>V42</f>
        <v>#DIV/0!</v>
      </c>
      <c r="J42" s="2920"/>
      <c r="K42" s="2928">
        <f>F42+H42+J42</f>
        <v>0</v>
      </c>
      <c r="L42" s="1978"/>
      <c r="M42" s="1979"/>
      <c r="N42" s="1968"/>
      <c r="O42" s="1979"/>
      <c r="P42" s="3671" t="str">
        <f>A42</f>
        <v>比较价格（元/平方米）</v>
      </c>
      <c r="Q42" s="3671"/>
      <c r="R42" s="3801" t="e">
        <f>IF(F1="售价",ROUND(PRODUCT(R41,AA7:AA40),0),ROUND(PRODUCT(R41,AA7:AA40),1))</f>
        <v>#DIV/0!</v>
      </c>
      <c r="S42" s="3801"/>
      <c r="T42" s="3801" t="e">
        <f>IF(F1="售价",ROUND(PRODUCT(T41,AB7:AB40),0),ROUND(PRODUCT(T41,AB7:AB40),1))</f>
        <v>#DIV/0!</v>
      </c>
      <c r="U42" s="3801"/>
      <c r="V42" s="3801" t="e">
        <f>IF(F1="售价",ROUND(PRODUCT(V41,AC7:AC40),0),ROUND(PRODUCT(V41,AC7:AC40),1))</f>
        <v>#DIV/0!</v>
      </c>
      <c r="W42" s="3801"/>
      <c r="X42" s="1450"/>
      <c r="Y42" s="1450"/>
      <c r="Z42" s="1450"/>
      <c r="AA42" s="1450"/>
      <c r="AB42" s="1450"/>
      <c r="AC42" s="1450"/>
    </row>
    <row r="43" spans="1:29" ht="15.75" thickBot="1">
      <c r="A43" s="596" t="s">
        <v>2636</v>
      </c>
      <c r="B43" s="597"/>
      <c r="C43" s="2398" t="e">
        <f>R43</f>
        <v>#DIV/0!</v>
      </c>
      <c r="D43" s="2398"/>
      <c r="E43" s="2398"/>
      <c r="F43" s="2398"/>
      <c r="G43" s="2398"/>
      <c r="H43" s="2398"/>
      <c r="I43" s="2398"/>
      <c r="J43" s="2398"/>
      <c r="K43" s="1495"/>
      <c r="L43" s="1978"/>
      <c r="M43" s="1979"/>
      <c r="N43" s="1979"/>
      <c r="O43" s="1979"/>
      <c r="P43" s="3708" t="str">
        <f>A43</f>
        <v>估价对象XX用房的比较价格（楼面单价，元/平方米）</v>
      </c>
      <c r="Q43" s="3709"/>
      <c r="R43" s="3800" t="e">
        <f>IF(F1="售价",ROUND(IF(D42="简单平均",AVERAGE(R42:V42),R42*F42+T42*H42+V42*J42),0),ROUND(IF(D42="简单平均",AVERAGE(R42:V42),R42*F42+T42*H42+V42*J42),1))</f>
        <v>#DIV/0!</v>
      </c>
      <c r="S43" s="3800"/>
      <c r="T43" s="3800"/>
      <c r="U43" s="3800"/>
      <c r="V43" s="3800"/>
      <c r="W43" s="3800"/>
      <c r="X43" s="1450"/>
      <c r="Y43" s="1450"/>
      <c r="Z43" s="1450"/>
      <c r="AA43" s="1450"/>
      <c r="AB43" s="1450"/>
      <c r="AC43" s="1450"/>
    </row>
    <row r="44" spans="1:29">
      <c r="A44" s="3119"/>
      <c r="B44" s="3119"/>
      <c r="C44" s="3119"/>
      <c r="D44" s="3119"/>
      <c r="E44" s="3119"/>
      <c r="F44" s="3119"/>
      <c r="G44" s="3121"/>
      <c r="H44" s="3119"/>
      <c r="I44" s="3119"/>
      <c r="J44" s="3119"/>
      <c r="K44" s="3122"/>
      <c r="L44" s="1983"/>
      <c r="M44" s="1979"/>
      <c r="N44" s="1979"/>
      <c r="O44" s="1979"/>
      <c r="P44" s="1979"/>
      <c r="Q44" s="1979"/>
      <c r="R44" s="1979"/>
      <c r="S44" s="1979"/>
      <c r="T44" s="1979"/>
      <c r="U44" s="1979"/>
      <c r="V44" s="1979"/>
      <c r="W44" s="1979"/>
      <c r="X44" s="1979"/>
      <c r="Y44" s="1979"/>
      <c r="Z44" s="1979"/>
      <c r="AA44" s="1979"/>
      <c r="AB44" s="1979"/>
      <c r="AC44" s="1979"/>
    </row>
    <row r="45" spans="1:29">
      <c r="A45" s="3119"/>
      <c r="B45" s="3119"/>
      <c r="C45" s="3119"/>
      <c r="D45" s="3119"/>
      <c r="E45" s="3119"/>
      <c r="F45" s="3119"/>
      <c r="G45" s="3119"/>
      <c r="H45" s="3119"/>
      <c r="I45" s="3119"/>
      <c r="J45" s="3119"/>
      <c r="K45" s="3122"/>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19"/>
      <c r="B46" s="3119"/>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2"/>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19"/>
      <c r="B47" s="3119"/>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2"/>
      <c r="L47" s="1983"/>
      <c r="M47" s="1979"/>
      <c r="N47" s="1979"/>
      <c r="O47" s="1979"/>
      <c r="P47" s="1979"/>
      <c r="Q47" s="1979"/>
      <c r="R47" s="1979"/>
      <c r="S47" s="1979"/>
      <c r="T47" s="1979"/>
      <c r="U47" s="1979"/>
      <c r="V47" s="1979"/>
      <c r="W47" s="1979"/>
      <c r="X47" s="1979"/>
      <c r="Y47" s="1979"/>
      <c r="Z47" s="1979"/>
      <c r="AA47" s="1979"/>
      <c r="AB47" s="1979"/>
      <c r="AC47" s="1979"/>
    </row>
    <row r="48" spans="1:29" s="1252" customFormat="1" ht="13.5" customHeight="1">
      <c r="A48" s="3120"/>
      <c r="B48" s="3120"/>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3"/>
      <c r="L48" s="1986"/>
      <c r="M48" s="1980"/>
      <c r="N48" s="1980"/>
      <c r="O48" s="1980"/>
      <c r="P48" s="1980"/>
      <c r="Q48" s="1980"/>
      <c r="R48" s="1980"/>
      <c r="S48" s="1980"/>
      <c r="T48" s="1980"/>
      <c r="U48" s="1980"/>
      <c r="V48" s="1980"/>
      <c r="W48" s="1980"/>
      <c r="X48" s="1980"/>
      <c r="Y48" s="1980"/>
      <c r="Z48" s="1980"/>
      <c r="AA48" s="1980"/>
      <c r="AB48" s="1980"/>
      <c r="AC48" s="1980"/>
    </row>
    <row r="49" spans="1:29" s="1252"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75" thickBot="1">
      <c r="A51" s="1472" t="s">
        <v>556</v>
      </c>
      <c r="B51" s="1450"/>
      <c r="C51" s="1471"/>
      <c r="D51" s="1471"/>
      <c r="E51" s="1471"/>
      <c r="F51" s="1473"/>
      <c r="G51" s="1473"/>
      <c r="H51" s="1471"/>
      <c r="I51" s="1471"/>
      <c r="J51" s="1471"/>
      <c r="K51" s="1474"/>
      <c r="L51" s="1470"/>
      <c r="M51" s="1471"/>
      <c r="N51" s="1990"/>
      <c r="O51" s="1990"/>
      <c r="P51" s="1990"/>
      <c r="Q51" s="1991"/>
      <c r="R51" s="1979"/>
      <c r="S51" s="1979"/>
      <c r="T51" s="1979"/>
      <c r="U51" s="1979"/>
      <c r="V51" s="1979"/>
      <c r="W51" s="1979"/>
      <c r="X51" s="1979"/>
      <c r="Y51" s="1979"/>
      <c r="Z51" s="1979"/>
      <c r="AA51" s="1979"/>
      <c r="AB51" s="1979"/>
      <c r="AC51" s="1979"/>
    </row>
    <row r="52" spans="1:29" s="1254" customFormat="1" ht="15">
      <c r="A52" s="620" t="s">
        <v>512</v>
      </c>
      <c r="B52" s="621"/>
      <c r="C52" s="2439" t="str">
        <f>YEAR(C7)&amp;"-"&amp;MONTH(C7)</f>
        <v>2022-11</v>
      </c>
      <c r="D52" s="2441">
        <f>EDATE(C52,-1)</f>
        <v>44835</v>
      </c>
      <c r="E52" s="2441">
        <f t="shared" ref="E52:O52" si="16">EDATE(D52,-1)</f>
        <v>44805</v>
      </c>
      <c r="F52" s="2441">
        <f t="shared" si="16"/>
        <v>44774</v>
      </c>
      <c r="G52" s="2441">
        <f t="shared" si="16"/>
        <v>44743</v>
      </c>
      <c r="H52" s="2441">
        <f t="shared" si="16"/>
        <v>44713</v>
      </c>
      <c r="I52" s="2441">
        <f t="shared" si="16"/>
        <v>44682</v>
      </c>
      <c r="J52" s="2441">
        <f t="shared" si="16"/>
        <v>44652</v>
      </c>
      <c r="K52" s="2441">
        <f t="shared" si="16"/>
        <v>44621</v>
      </c>
      <c r="L52" s="2441">
        <f t="shared" si="16"/>
        <v>44593</v>
      </c>
      <c r="M52" s="2441">
        <f t="shared" si="16"/>
        <v>44562</v>
      </c>
      <c r="N52" s="2441">
        <f t="shared" si="16"/>
        <v>44531</v>
      </c>
      <c r="O52" s="2441">
        <f t="shared" si="16"/>
        <v>44501</v>
      </c>
      <c r="P52" s="1993"/>
      <c r="Q52" s="1994"/>
      <c r="R52" s="1994"/>
      <c r="S52" s="1994"/>
      <c r="T52" s="1994"/>
      <c r="U52" s="1994"/>
      <c r="V52" s="1994"/>
      <c r="W52" s="1994"/>
      <c r="X52" s="1994"/>
      <c r="Y52" s="1994"/>
      <c r="Z52" s="1994"/>
      <c r="AA52" s="1994"/>
      <c r="AB52" s="1994"/>
      <c r="AC52" s="1994"/>
    </row>
    <row r="53" spans="1:29" s="1165" customFormat="1" ht="15">
      <c r="A53" s="622"/>
      <c r="B53" s="623"/>
      <c r="C53" s="624">
        <v>100</v>
      </c>
      <c r="D53" s="625"/>
      <c r="E53" s="625"/>
      <c r="F53" s="625"/>
      <c r="G53" s="625"/>
      <c r="H53" s="625"/>
      <c r="I53" s="625"/>
      <c r="J53" s="625"/>
      <c r="K53" s="625"/>
      <c r="L53" s="625"/>
      <c r="M53" s="626"/>
      <c r="N53" s="625"/>
      <c r="O53" s="627"/>
      <c r="P53" s="1991"/>
      <c r="Q53" s="1857"/>
      <c r="R53" s="1857"/>
      <c r="S53" s="1857"/>
      <c r="T53" s="1857"/>
      <c r="U53" s="1857"/>
      <c r="V53" s="1857"/>
      <c r="W53" s="1857"/>
      <c r="X53" s="1857"/>
      <c r="Y53" s="1857"/>
      <c r="Z53" s="1857"/>
      <c r="AA53" s="1857"/>
      <c r="AB53" s="1857"/>
      <c r="AC53" s="1857"/>
    </row>
    <row r="54" spans="1:29" s="1165" customFormat="1" ht="15.75" thickBot="1">
      <c r="A54" s="628" t="s">
        <v>557</v>
      </c>
      <c r="B54" s="629"/>
      <c r="C54" s="630"/>
      <c r="D54" s="631"/>
      <c r="E54" s="631"/>
      <c r="F54" s="631"/>
      <c r="G54" s="631"/>
      <c r="H54" s="631"/>
      <c r="I54" s="631"/>
      <c r="J54" s="631"/>
      <c r="K54" s="631"/>
      <c r="L54" s="631"/>
      <c r="M54" s="632"/>
      <c r="N54" s="631"/>
      <c r="O54" s="633"/>
      <c r="P54" s="1991"/>
      <c r="Q54" s="1991"/>
      <c r="R54" s="1857"/>
      <c r="S54" s="1857"/>
      <c r="T54" s="1857"/>
      <c r="U54" s="1857"/>
      <c r="V54" s="1857"/>
      <c r="W54" s="1857"/>
      <c r="X54" s="1857"/>
      <c r="Y54" s="1857"/>
      <c r="Z54" s="1857"/>
      <c r="AA54" s="1857"/>
      <c r="AB54" s="1857"/>
      <c r="AC54" s="1857"/>
    </row>
    <row r="55" spans="1:29" s="1165" customFormat="1" ht="15">
      <c r="A55" s="634" t="s">
        <v>514</v>
      </c>
      <c r="B55" s="623"/>
      <c r="C55" s="635" t="s">
        <v>558</v>
      </c>
      <c r="D55" s="636"/>
      <c r="E55" s="636"/>
      <c r="F55" s="636"/>
      <c r="G55" s="636"/>
      <c r="H55" s="636"/>
      <c r="I55" s="636"/>
      <c r="J55" s="636"/>
      <c r="K55" s="636"/>
      <c r="L55" s="637"/>
      <c r="M55" s="638"/>
      <c r="N55" s="1995"/>
      <c r="O55" s="1995"/>
      <c r="P55" s="1996"/>
      <c r="Q55" s="1991"/>
      <c r="R55" s="1857"/>
      <c r="S55" s="1857"/>
      <c r="T55" s="1857"/>
      <c r="U55" s="1857"/>
      <c r="V55" s="1857"/>
      <c r="W55" s="1857"/>
      <c r="X55" s="1857"/>
      <c r="Y55" s="1857"/>
      <c r="Z55" s="1857"/>
      <c r="AA55" s="1857"/>
      <c r="AB55" s="1857"/>
      <c r="AC55" s="1857"/>
    </row>
    <row r="56" spans="1:29" s="1165" customFormat="1" ht="15.75" thickBot="1">
      <c r="A56" s="634"/>
      <c r="B56" s="623"/>
      <c r="C56" s="624">
        <v>100</v>
      </c>
      <c r="D56" s="625"/>
      <c r="E56" s="625"/>
      <c r="F56" s="625"/>
      <c r="G56" s="625"/>
      <c r="H56" s="625"/>
      <c r="I56" s="625"/>
      <c r="J56" s="625"/>
      <c r="K56" s="625"/>
      <c r="L56" s="625"/>
      <c r="M56" s="627"/>
      <c r="N56" s="1995"/>
      <c r="O56" s="1995"/>
      <c r="P56" s="1991"/>
      <c r="Q56" s="1991"/>
      <c r="R56" s="1857"/>
      <c r="S56" s="1857"/>
      <c r="T56" s="1857"/>
      <c r="U56" s="1857"/>
      <c r="V56" s="1857"/>
      <c r="W56" s="1857"/>
      <c r="X56" s="1857"/>
      <c r="Y56" s="1857"/>
      <c r="Z56" s="1857"/>
      <c r="AA56" s="1857"/>
      <c r="AB56" s="1857"/>
      <c r="AC56" s="1857"/>
    </row>
    <row r="57" spans="1:29">
      <c r="A57" s="639" t="s">
        <v>559</v>
      </c>
      <c r="B57" s="640" t="s">
        <v>517</v>
      </c>
      <c r="C57" s="679">
        <f>C9</f>
        <v>0</v>
      </c>
      <c r="D57" s="575"/>
      <c r="E57" s="575"/>
      <c r="F57" s="575"/>
      <c r="G57" s="575"/>
      <c r="H57" s="575"/>
      <c r="I57" s="575"/>
      <c r="J57" s="575"/>
      <c r="K57" s="641"/>
      <c r="L57" s="642"/>
      <c r="M57" s="643"/>
      <c r="N57" s="1997"/>
      <c r="O57" s="1997"/>
      <c r="P57" s="1998"/>
      <c r="Q57" s="1991"/>
      <c r="R57" s="1979"/>
      <c r="S57" s="1979"/>
      <c r="T57" s="1979"/>
      <c r="U57" s="1979"/>
      <c r="V57" s="1979"/>
      <c r="W57" s="1979"/>
      <c r="X57" s="1979"/>
      <c r="Y57" s="1979"/>
      <c r="Z57" s="1979"/>
      <c r="AA57" s="1979"/>
      <c r="AB57" s="1979"/>
      <c r="AC57" s="1979"/>
    </row>
    <row r="58" spans="1:29" ht="15.75" thickBot="1">
      <c r="A58" s="644"/>
      <c r="B58" s="645"/>
      <c r="C58" s="646"/>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7"/>
      <c r="O59" s="1997"/>
      <c r="P59" s="1998"/>
      <c r="Q59" s="1991"/>
      <c r="R59" s="1979"/>
      <c r="S59" s="1979"/>
      <c r="T59" s="1979"/>
      <c r="U59" s="1979"/>
      <c r="V59" s="1979"/>
      <c r="W59" s="1979"/>
      <c r="X59" s="1979"/>
      <c r="Y59" s="1979"/>
      <c r="Z59" s="1979"/>
      <c r="AA59" s="1979"/>
      <c r="AB59" s="1979"/>
      <c r="AC59" s="1979"/>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1999"/>
      <c r="O60" s="1999"/>
      <c r="P60" s="1998"/>
      <c r="Q60" s="1991"/>
      <c r="R60" s="1979"/>
      <c r="S60" s="1979"/>
      <c r="T60" s="1979"/>
      <c r="U60" s="1979"/>
      <c r="V60" s="1979"/>
      <c r="W60" s="1979"/>
      <c r="X60" s="1979"/>
      <c r="Y60" s="1979"/>
      <c r="Z60" s="1979"/>
      <c r="AA60" s="1979"/>
      <c r="AB60" s="1979"/>
      <c r="AC60" s="1979"/>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1999"/>
      <c r="O61" s="1999"/>
      <c r="P61" s="1998"/>
      <c r="Q61" s="1991"/>
      <c r="R61" s="1979"/>
      <c r="S61" s="1979"/>
      <c r="T61" s="1979"/>
      <c r="U61" s="1979"/>
      <c r="V61" s="1979"/>
      <c r="W61" s="1979"/>
      <c r="X61" s="1979"/>
      <c r="Y61" s="1979"/>
      <c r="Z61" s="1979"/>
      <c r="AA61" s="1979"/>
      <c r="AB61" s="1979"/>
      <c r="AC61" s="1979"/>
    </row>
    <row r="62" spans="1:29" ht="15">
      <c r="A62" s="644"/>
      <c r="B62" s="658"/>
      <c r="C62" s="518"/>
      <c r="D62" s="518"/>
      <c r="E62" s="518"/>
      <c r="F62" s="518"/>
      <c r="G62" s="518"/>
      <c r="H62" s="518"/>
      <c r="I62" s="518"/>
      <c r="J62" s="518"/>
      <c r="K62" s="659"/>
      <c r="L62" s="660"/>
      <c r="M62" s="661"/>
      <c r="N62" s="1997"/>
      <c r="O62" s="1997"/>
      <c r="P62" s="1998"/>
      <c r="Q62" s="1991"/>
      <c r="R62" s="1979"/>
      <c r="S62" s="1979"/>
      <c r="T62" s="1979"/>
      <c r="U62" s="1979"/>
      <c r="V62" s="1979"/>
      <c r="W62" s="1979"/>
      <c r="X62" s="1979"/>
      <c r="Y62" s="1979"/>
      <c r="Z62" s="1979"/>
      <c r="AA62" s="1979"/>
      <c r="AB62" s="1979"/>
      <c r="AC62" s="1979"/>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1999"/>
      <c r="O63" s="1999"/>
      <c r="P63" s="1998"/>
      <c r="Q63" s="1991"/>
      <c r="R63" s="1979"/>
      <c r="S63" s="1979"/>
      <c r="T63" s="1979"/>
      <c r="U63" s="1979"/>
      <c r="V63" s="1979"/>
      <c r="W63" s="1979"/>
      <c r="X63" s="1979"/>
      <c r="Y63" s="1979"/>
      <c r="Z63" s="1979"/>
      <c r="AA63" s="1979"/>
      <c r="AB63" s="1979"/>
      <c r="AC63" s="1979"/>
    </row>
    <row r="64" spans="1:29" s="1247" customFormat="1" ht="15.75" thickTop="1">
      <c r="A64" s="662"/>
      <c r="B64" s="648">
        <f>B12</f>
        <v>111</v>
      </c>
      <c r="C64" s="663"/>
      <c r="D64" s="663"/>
      <c r="E64" s="663"/>
      <c r="F64" s="663"/>
      <c r="G64" s="663"/>
      <c r="H64" s="664"/>
      <c r="I64" s="664"/>
      <c r="J64" s="664"/>
      <c r="K64" s="664"/>
      <c r="L64" s="665"/>
      <c r="M64" s="666"/>
      <c r="N64" s="2000"/>
      <c r="O64" s="2000"/>
      <c r="P64" s="2001"/>
      <c r="Q64" s="2002"/>
      <c r="R64" s="2003"/>
      <c r="S64" s="2003"/>
      <c r="T64" s="2003"/>
      <c r="U64" s="2003"/>
      <c r="V64" s="2003"/>
      <c r="W64" s="2003"/>
      <c r="X64" s="2003"/>
      <c r="Y64" s="2003"/>
      <c r="Z64" s="2003"/>
      <c r="AA64" s="2003"/>
      <c r="AB64" s="2003"/>
      <c r="AC64" s="2003"/>
    </row>
    <row r="65" spans="1:29" s="1247" customFormat="1" ht="15.75" thickBot="1">
      <c r="A65" s="662"/>
      <c r="B65" s="653"/>
      <c r="C65" s="667"/>
      <c r="D65" s="646"/>
      <c r="E65" s="646"/>
      <c r="F65" s="646"/>
      <c r="G65" s="646"/>
      <c r="H65" s="646"/>
      <c r="I65" s="646"/>
      <c r="J65" s="646"/>
      <c r="K65" s="646"/>
      <c r="L65" s="646"/>
      <c r="M65" s="647"/>
      <c r="N65" s="1999"/>
      <c r="O65" s="1999"/>
      <c r="P65" s="2001"/>
      <c r="Q65" s="2002"/>
      <c r="R65" s="2003"/>
      <c r="S65" s="2003"/>
      <c r="T65" s="2003"/>
      <c r="U65" s="2003"/>
      <c r="V65" s="2003"/>
      <c r="W65" s="2003"/>
      <c r="X65" s="2003"/>
      <c r="Y65" s="2003"/>
      <c r="Z65" s="2003"/>
      <c r="AA65" s="2003"/>
      <c r="AB65" s="2003"/>
      <c r="AC65" s="2003"/>
    </row>
    <row r="66" spans="1:29" s="1247" customFormat="1" ht="15.75" thickTop="1">
      <c r="A66" s="662"/>
      <c r="B66" s="648">
        <f>B13</f>
        <v>111</v>
      </c>
      <c r="C66" s="663"/>
      <c r="D66" s="663"/>
      <c r="E66" s="663"/>
      <c r="F66" s="663"/>
      <c r="G66" s="663"/>
      <c r="H66" s="664"/>
      <c r="I66" s="664"/>
      <c r="J66" s="664"/>
      <c r="K66" s="664"/>
      <c r="L66" s="665"/>
      <c r="M66" s="666"/>
      <c r="N66" s="2000"/>
      <c r="O66" s="2000"/>
      <c r="P66" s="2004"/>
      <c r="Q66" s="2005"/>
      <c r="R66" s="2003"/>
      <c r="S66" s="2003"/>
      <c r="T66" s="2003"/>
      <c r="U66" s="2003"/>
      <c r="V66" s="2003"/>
      <c r="W66" s="2003"/>
      <c r="X66" s="2003"/>
      <c r="Y66" s="2003"/>
      <c r="Z66" s="2003"/>
      <c r="AA66" s="2003"/>
      <c r="AB66" s="2003"/>
      <c r="AC66" s="2003"/>
    </row>
    <row r="67" spans="1:29" s="1247" customFormat="1" ht="15.75" thickBot="1">
      <c r="A67" s="662"/>
      <c r="B67" s="653"/>
      <c r="C67" s="667"/>
      <c r="D67" s="646"/>
      <c r="E67" s="646"/>
      <c r="F67" s="646"/>
      <c r="G67" s="667"/>
      <c r="H67" s="668"/>
      <c r="I67" s="668"/>
      <c r="J67" s="668"/>
      <c r="K67" s="668"/>
      <c r="L67" s="668"/>
      <c r="M67" s="669"/>
      <c r="N67" s="2000"/>
      <c r="O67" s="2000"/>
      <c r="P67" s="2001"/>
      <c r="Q67" s="2002"/>
      <c r="R67" s="2003"/>
      <c r="S67" s="2003"/>
      <c r="T67" s="2003"/>
      <c r="U67" s="2003"/>
      <c r="V67" s="2003"/>
      <c r="W67" s="2003"/>
      <c r="X67" s="2003"/>
      <c r="Y67" s="2003"/>
      <c r="Z67" s="2003"/>
      <c r="AA67" s="2003"/>
      <c r="AB67" s="2003"/>
      <c r="AC67" s="2003"/>
    </row>
    <row r="68" spans="1:29" s="1247" customFormat="1" ht="15.75" thickTop="1">
      <c r="A68" s="662"/>
      <c r="B68" s="656">
        <f>B14</f>
        <v>111</v>
      </c>
      <c r="C68" s="636"/>
      <c r="D68" s="636"/>
      <c r="E68" s="636"/>
      <c r="F68" s="636"/>
      <c r="G68" s="636"/>
      <c r="H68" s="670"/>
      <c r="I68" s="670"/>
      <c r="J68" s="670"/>
      <c r="K68" s="670"/>
      <c r="L68" s="671"/>
      <c r="M68" s="672"/>
      <c r="N68" s="2000"/>
      <c r="O68" s="2000"/>
      <c r="P68" s="2006"/>
      <c r="Q68" s="2002"/>
      <c r="R68" s="2003"/>
      <c r="S68" s="2003"/>
      <c r="T68" s="2003"/>
      <c r="U68" s="2003"/>
      <c r="V68" s="2003"/>
      <c r="W68" s="2003"/>
      <c r="X68" s="2003"/>
      <c r="Y68" s="2003"/>
      <c r="Z68" s="2003"/>
      <c r="AA68" s="2003"/>
      <c r="AB68" s="2003"/>
      <c r="AC68" s="2003"/>
    </row>
    <row r="69" spans="1:29" s="1247" customFormat="1" ht="15.75" thickBot="1">
      <c r="A69" s="673"/>
      <c r="B69" s="674"/>
      <c r="C69" s="675"/>
      <c r="D69" s="675"/>
      <c r="E69" s="675"/>
      <c r="F69" s="675"/>
      <c r="G69" s="675"/>
      <c r="H69" s="676"/>
      <c r="I69" s="676"/>
      <c r="J69" s="676"/>
      <c r="K69" s="676"/>
      <c r="L69" s="676"/>
      <c r="M69" s="677"/>
      <c r="N69" s="2000"/>
      <c r="O69" s="2000"/>
      <c r="P69" s="2001"/>
      <c r="Q69" s="2002"/>
      <c r="R69" s="2003"/>
      <c r="S69" s="2003"/>
      <c r="T69" s="2003"/>
      <c r="U69" s="2003"/>
      <c r="V69" s="2003"/>
      <c r="W69" s="2003"/>
      <c r="X69" s="2003"/>
      <c r="Y69" s="2003"/>
      <c r="Z69" s="2003"/>
      <c r="AA69" s="2003"/>
      <c r="AB69" s="2003"/>
      <c r="AC69" s="2003"/>
    </row>
    <row r="70" spans="1:29">
      <c r="A70" s="639" t="s">
        <v>522</v>
      </c>
      <c r="B70" s="640" t="s">
        <v>567</v>
      </c>
      <c r="C70" s="678" t="s">
        <v>561</v>
      </c>
      <c r="D70" s="678" t="s">
        <v>562</v>
      </c>
      <c r="E70" s="678" t="s">
        <v>563</v>
      </c>
      <c r="F70" s="678" t="s">
        <v>564</v>
      </c>
      <c r="G70" s="678" t="s">
        <v>565</v>
      </c>
      <c r="H70" s="679"/>
      <c r="I70" s="679"/>
      <c r="J70" s="679"/>
      <c r="K70" s="680"/>
      <c r="L70" s="681"/>
      <c r="M70" s="682"/>
      <c r="N70" s="1997"/>
      <c r="O70" s="1997"/>
      <c r="P70" s="2007"/>
      <c r="Q70" s="1991"/>
      <c r="R70" s="1979"/>
      <c r="S70" s="1979"/>
      <c r="T70" s="1979"/>
      <c r="U70" s="1979"/>
      <c r="V70" s="1979"/>
      <c r="W70" s="1979"/>
      <c r="X70" s="1979"/>
      <c r="Y70" s="1979"/>
      <c r="Z70" s="1979"/>
      <c r="AA70" s="1979"/>
      <c r="AB70" s="1979"/>
      <c r="AC70" s="1979"/>
    </row>
    <row r="71" spans="1:29" ht="15.75" thickBot="1">
      <c r="A71" s="644"/>
      <c r="B71" s="653"/>
      <c r="C71" s="654">
        <v>100</v>
      </c>
      <c r="D71" s="654">
        <f>C71-$K15</f>
        <v>100</v>
      </c>
      <c r="E71" s="654">
        <f>D71-$K15</f>
        <v>100</v>
      </c>
      <c r="F71" s="654">
        <f>E71-$K15</f>
        <v>100</v>
      </c>
      <c r="G71" s="654">
        <f>F71-$K15</f>
        <v>100</v>
      </c>
      <c r="H71" s="654"/>
      <c r="I71" s="654"/>
      <c r="J71" s="654"/>
      <c r="K71" s="654"/>
      <c r="L71" s="654"/>
      <c r="M71" s="655"/>
      <c r="N71" s="1999"/>
      <c r="O71" s="1999"/>
      <c r="P71" s="1998"/>
      <c r="Q71" s="1991"/>
      <c r="R71" s="1979"/>
      <c r="S71" s="1979"/>
      <c r="T71" s="1979"/>
      <c r="U71" s="1979"/>
      <c r="V71" s="1979"/>
      <c r="W71" s="1979"/>
      <c r="X71" s="1979"/>
      <c r="Y71" s="1979"/>
      <c r="Z71" s="1979"/>
      <c r="AA71" s="1979"/>
      <c r="AB71" s="1979"/>
      <c r="AC71" s="1979"/>
    </row>
    <row r="72" spans="1:29" ht="15.75" thickTop="1">
      <c r="A72" s="644"/>
      <c r="B72" s="648" t="s">
        <v>568</v>
      </c>
      <c r="C72" s="683" t="s">
        <v>561</v>
      </c>
      <c r="D72" s="683" t="s">
        <v>562</v>
      </c>
      <c r="E72" s="683" t="s">
        <v>563</v>
      </c>
      <c r="F72" s="683" t="s">
        <v>564</v>
      </c>
      <c r="G72" s="683" t="s">
        <v>565</v>
      </c>
      <c r="H72" s="649"/>
      <c r="I72" s="649"/>
      <c r="J72" s="649"/>
      <c r="K72" s="650"/>
      <c r="L72" s="651"/>
      <c r="M72" s="652"/>
      <c r="N72" s="1997"/>
      <c r="O72" s="1997"/>
      <c r="P72" s="1998"/>
      <c r="Q72" s="1991"/>
      <c r="R72" s="1979"/>
      <c r="S72" s="1979"/>
      <c r="T72" s="1979"/>
      <c r="U72" s="1979"/>
      <c r="V72" s="1979"/>
      <c r="W72" s="1979"/>
      <c r="X72" s="1979"/>
      <c r="Y72" s="1979"/>
      <c r="Z72" s="1979"/>
      <c r="AA72" s="1979"/>
      <c r="AB72" s="1979"/>
      <c r="AC72" s="1979"/>
    </row>
    <row r="73" spans="1:29" ht="15.75" thickBot="1">
      <c r="A73" s="644"/>
      <c r="B73" s="653"/>
      <c r="C73" s="654">
        <v>100</v>
      </c>
      <c r="D73" s="654">
        <f>C73-$K17</f>
        <v>100</v>
      </c>
      <c r="E73" s="654">
        <f>D73-$K17</f>
        <v>100</v>
      </c>
      <c r="F73" s="654">
        <f>E73-$K17</f>
        <v>100</v>
      </c>
      <c r="G73" s="654">
        <f>F73-$K17</f>
        <v>100</v>
      </c>
      <c r="H73" s="654"/>
      <c r="I73" s="654"/>
      <c r="J73" s="654"/>
      <c r="K73" s="654"/>
      <c r="L73" s="654"/>
      <c r="M73" s="655"/>
      <c r="N73" s="1999"/>
      <c r="O73" s="1999"/>
      <c r="P73" s="1998"/>
      <c r="Q73" s="1991"/>
      <c r="R73" s="1979"/>
      <c r="S73" s="1979"/>
      <c r="T73" s="1979"/>
      <c r="U73" s="1979"/>
      <c r="V73" s="1979"/>
      <c r="W73" s="1979"/>
      <c r="X73" s="1979"/>
      <c r="Y73" s="1979"/>
      <c r="Z73" s="1979"/>
      <c r="AA73" s="1979"/>
      <c r="AB73" s="1979"/>
      <c r="AC73" s="1979"/>
    </row>
    <row r="74" spans="1:29" ht="15.75" thickTop="1">
      <c r="A74" s="644"/>
      <c r="B74" s="1763" t="s">
        <v>2274</v>
      </c>
      <c r="C74" s="683" t="s">
        <v>561</v>
      </c>
      <c r="D74" s="683" t="s">
        <v>562</v>
      </c>
      <c r="E74" s="683" t="s">
        <v>563</v>
      </c>
      <c r="F74" s="683" t="s">
        <v>564</v>
      </c>
      <c r="G74" s="683" t="s">
        <v>565</v>
      </c>
      <c r="H74" s="649"/>
      <c r="I74" s="649"/>
      <c r="J74" s="649"/>
      <c r="K74" s="650"/>
      <c r="L74" s="651"/>
      <c r="M74" s="652"/>
      <c r="N74" s="1997"/>
      <c r="O74" s="1997"/>
      <c r="P74" s="1998"/>
      <c r="Q74" s="1991"/>
      <c r="R74" s="1979"/>
      <c r="S74" s="1979"/>
      <c r="T74" s="1979"/>
      <c r="U74" s="1979"/>
      <c r="V74" s="1979"/>
      <c r="W74" s="1979"/>
      <c r="X74" s="1979"/>
      <c r="Y74" s="1979"/>
      <c r="Z74" s="1979"/>
      <c r="AA74" s="1979"/>
      <c r="AB74" s="1979"/>
      <c r="AC74" s="1979"/>
    </row>
    <row r="75" spans="1:29" ht="15.75" thickBot="1">
      <c r="A75" s="644"/>
      <c r="B75" s="653"/>
      <c r="C75" s="654">
        <v>100</v>
      </c>
      <c r="D75" s="654">
        <f>C75-$K19</f>
        <v>100</v>
      </c>
      <c r="E75" s="654">
        <f>D75-$K19</f>
        <v>100</v>
      </c>
      <c r="F75" s="654">
        <f>E75-$K19</f>
        <v>100</v>
      </c>
      <c r="G75" s="654">
        <f>F75-$K19</f>
        <v>100</v>
      </c>
      <c r="H75" s="654"/>
      <c r="I75" s="654"/>
      <c r="J75" s="654"/>
      <c r="K75" s="654"/>
      <c r="L75" s="654"/>
      <c r="M75" s="655"/>
      <c r="N75" s="1999"/>
      <c r="O75" s="1999"/>
      <c r="P75" s="1998"/>
      <c r="Q75" s="1991"/>
      <c r="R75" s="1979"/>
      <c r="S75" s="1979"/>
      <c r="T75" s="1979"/>
      <c r="U75" s="1979"/>
      <c r="V75" s="1979"/>
      <c r="W75" s="1979"/>
      <c r="X75" s="1979"/>
      <c r="Y75" s="1979"/>
      <c r="Z75" s="1979"/>
      <c r="AA75" s="1979"/>
      <c r="AB75" s="1979"/>
      <c r="AC75" s="1979"/>
    </row>
    <row r="76" spans="1:29" ht="15.75" thickTop="1">
      <c r="A76" s="644"/>
      <c r="B76" s="2361" t="s">
        <v>2275</v>
      </c>
      <c r="C76" s="2362" t="s">
        <v>2276</v>
      </c>
      <c r="D76" s="2362" t="s">
        <v>2277</v>
      </c>
      <c r="E76" s="2362" t="s">
        <v>2278</v>
      </c>
      <c r="F76" s="2362" t="s">
        <v>2279</v>
      </c>
      <c r="G76" s="2362" t="s">
        <v>2280</v>
      </c>
      <c r="H76" s="905"/>
      <c r="I76" s="905"/>
      <c r="J76" s="905"/>
      <c r="K76" s="905"/>
      <c r="L76" s="905"/>
      <c r="M76" s="536"/>
      <c r="N76" s="1999"/>
      <c r="O76" s="1999"/>
      <c r="P76" s="1998"/>
      <c r="Q76" s="1991"/>
      <c r="R76" s="1979"/>
      <c r="S76" s="1979"/>
      <c r="T76" s="1979"/>
      <c r="U76" s="1979"/>
      <c r="V76" s="1979"/>
      <c r="W76" s="1979"/>
      <c r="X76" s="1979"/>
      <c r="Y76" s="1979"/>
      <c r="Z76" s="1979"/>
      <c r="AA76" s="1979"/>
      <c r="AB76" s="1979"/>
      <c r="AC76" s="1979"/>
    </row>
    <row r="77" spans="1:29" ht="15.75" thickBot="1">
      <c r="A77" s="644"/>
      <c r="B77" s="656"/>
      <c r="C77" s="654">
        <v>100</v>
      </c>
      <c r="D77" s="654">
        <f>C77-$K21</f>
        <v>100</v>
      </c>
      <c r="E77" s="654">
        <f>D77-$K21</f>
        <v>100</v>
      </c>
      <c r="F77" s="654">
        <f>E77-$K21</f>
        <v>100</v>
      </c>
      <c r="G77" s="654">
        <f>F77-$K21</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766</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C79-$K23</f>
        <v>100</v>
      </c>
      <c r="E79" s="654">
        <f>D79-$K23</f>
        <v>100</v>
      </c>
      <c r="F79" s="654">
        <f>E79-$K23</f>
        <v>100</v>
      </c>
      <c r="G79" s="654">
        <f>F79-$K23</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s="1165" customFormat="1" ht="15.75" thickTop="1">
      <c r="A80" s="684"/>
      <c r="B80" s="648">
        <f>B25</f>
        <v>111</v>
      </c>
      <c r="C80" s="663"/>
      <c r="D80" s="663"/>
      <c r="E80" s="663"/>
      <c r="F80" s="663"/>
      <c r="G80" s="663"/>
      <c r="H80" s="663"/>
      <c r="I80" s="663"/>
      <c r="J80" s="663"/>
      <c r="K80" s="663"/>
      <c r="L80" s="860"/>
      <c r="M80" s="861"/>
      <c r="N80" s="1995"/>
      <c r="O80" s="1995"/>
      <c r="P80" s="1998"/>
      <c r="Q80" s="1991"/>
      <c r="R80" s="1857"/>
      <c r="S80" s="1857"/>
      <c r="T80" s="1857"/>
      <c r="U80" s="1857"/>
      <c r="V80" s="1857"/>
      <c r="W80" s="1857"/>
      <c r="X80" s="1857"/>
      <c r="Y80" s="1857"/>
      <c r="Z80" s="1857"/>
      <c r="AA80" s="1857"/>
      <c r="AB80" s="1857"/>
      <c r="AC80" s="1857"/>
    </row>
    <row r="81" spans="1:29" s="1165" customFormat="1" ht="15.75" thickBot="1">
      <c r="A81" s="684"/>
      <c r="B81" s="653"/>
      <c r="C81" s="667"/>
      <c r="D81" s="646"/>
      <c r="E81" s="646"/>
      <c r="F81" s="646"/>
      <c r="G81" s="646"/>
      <c r="H81" s="646"/>
      <c r="I81" s="646"/>
      <c r="J81" s="646"/>
      <c r="K81" s="646"/>
      <c r="L81" s="646"/>
      <c r="M81" s="647"/>
      <c r="N81" s="1999"/>
      <c r="O81" s="1999"/>
      <c r="P81" s="1998"/>
      <c r="Q81" s="1991"/>
      <c r="R81" s="1857"/>
      <c r="S81" s="1857"/>
      <c r="T81" s="1857"/>
      <c r="U81" s="1857"/>
      <c r="V81" s="1857"/>
      <c r="W81" s="1857"/>
      <c r="X81" s="1857"/>
      <c r="Y81" s="1857"/>
      <c r="Z81" s="1857"/>
      <c r="AA81" s="1857"/>
      <c r="AB81" s="1857"/>
      <c r="AC81" s="1857"/>
    </row>
    <row r="82" spans="1:29" s="1165" customFormat="1" ht="15.75" thickTop="1">
      <c r="A82" s="684"/>
      <c r="B82" s="648">
        <f>B26</f>
        <v>111</v>
      </c>
      <c r="C82" s="663"/>
      <c r="D82" s="663"/>
      <c r="E82" s="663"/>
      <c r="F82" s="663"/>
      <c r="G82" s="663"/>
      <c r="H82" s="663"/>
      <c r="I82" s="663"/>
      <c r="J82" s="663"/>
      <c r="K82" s="663"/>
      <c r="L82" s="860"/>
      <c r="M82" s="861"/>
      <c r="N82" s="1995"/>
      <c r="O82" s="1995"/>
      <c r="P82" s="1998"/>
      <c r="Q82" s="1991"/>
      <c r="R82" s="1857"/>
      <c r="S82" s="1857"/>
      <c r="T82" s="1857"/>
      <c r="U82" s="1857"/>
      <c r="V82" s="1857"/>
      <c r="W82" s="1857"/>
      <c r="X82" s="1857"/>
      <c r="Y82" s="1857"/>
      <c r="Z82" s="1857"/>
      <c r="AA82" s="1857"/>
      <c r="AB82" s="1857"/>
      <c r="AC82" s="1857"/>
    </row>
    <row r="83" spans="1:29" s="1165" customFormat="1" ht="15.75" thickBot="1">
      <c r="A83" s="684"/>
      <c r="B83" s="653"/>
      <c r="C83" s="667"/>
      <c r="D83" s="646"/>
      <c r="E83" s="646"/>
      <c r="F83" s="646"/>
      <c r="G83" s="646"/>
      <c r="H83" s="646"/>
      <c r="I83" s="646"/>
      <c r="J83" s="646"/>
      <c r="K83" s="646"/>
      <c r="L83" s="646"/>
      <c r="M83" s="647"/>
      <c r="N83" s="1999"/>
      <c r="O83" s="1999"/>
      <c r="P83" s="1998"/>
      <c r="Q83" s="1991"/>
      <c r="R83" s="1857"/>
      <c r="S83" s="1857"/>
      <c r="T83" s="1857"/>
      <c r="U83" s="1857"/>
      <c r="V83" s="1857"/>
      <c r="W83" s="1857"/>
      <c r="X83" s="1857"/>
      <c r="Y83" s="1857"/>
      <c r="Z83" s="1857"/>
      <c r="AA83" s="1857"/>
      <c r="AB83" s="1857"/>
      <c r="AC83" s="1857"/>
    </row>
    <row r="84" spans="1:29" s="1247" customFormat="1" ht="15.75" thickTop="1">
      <c r="A84" s="662"/>
      <c r="B84" s="648">
        <f>B27</f>
        <v>111</v>
      </c>
      <c r="C84" s="663"/>
      <c r="D84" s="663"/>
      <c r="E84" s="663"/>
      <c r="F84" s="663"/>
      <c r="G84" s="663"/>
      <c r="H84" s="663"/>
      <c r="I84" s="663"/>
      <c r="J84" s="663"/>
      <c r="K84" s="663"/>
      <c r="L84" s="860"/>
      <c r="M84" s="861"/>
      <c r="N84" s="2000"/>
      <c r="O84" s="2000"/>
      <c r="P84" s="2001"/>
      <c r="Q84" s="2002"/>
      <c r="R84" s="2003"/>
      <c r="S84" s="2003"/>
      <c r="T84" s="2003"/>
      <c r="U84" s="2003"/>
      <c r="V84" s="2003"/>
      <c r="W84" s="2003"/>
      <c r="X84" s="2003"/>
      <c r="Y84" s="2003"/>
      <c r="Z84" s="2003"/>
      <c r="AA84" s="2003"/>
      <c r="AB84" s="2003"/>
      <c r="AC84" s="2003"/>
    </row>
    <row r="85" spans="1:29" s="1247" customFormat="1" ht="15.75" thickBot="1">
      <c r="A85" s="662"/>
      <c r="B85" s="653"/>
      <c r="C85" s="667"/>
      <c r="D85" s="646"/>
      <c r="E85" s="646"/>
      <c r="F85" s="646"/>
      <c r="G85" s="646"/>
      <c r="H85" s="646"/>
      <c r="I85" s="646"/>
      <c r="J85" s="646"/>
      <c r="K85" s="646"/>
      <c r="L85" s="646"/>
      <c r="M85" s="647"/>
      <c r="N85" s="2000"/>
      <c r="O85" s="2000"/>
      <c r="P85" s="2001"/>
      <c r="Q85" s="2002"/>
      <c r="R85" s="2003"/>
      <c r="S85" s="2003"/>
      <c r="T85" s="2003"/>
      <c r="U85" s="2003"/>
      <c r="V85" s="2003"/>
      <c r="W85" s="2003"/>
      <c r="X85" s="2003"/>
      <c r="Y85" s="2003"/>
      <c r="Z85" s="2003"/>
      <c r="AA85" s="2003"/>
      <c r="AB85" s="2003"/>
      <c r="AC85" s="2003"/>
    </row>
    <row r="86" spans="1:29" ht="15.75" thickTop="1">
      <c r="A86" s="644"/>
      <c r="B86" s="656">
        <f>B28</f>
        <v>111</v>
      </c>
      <c r="C86" s="636"/>
      <c r="D86" s="636"/>
      <c r="E86" s="636"/>
      <c r="F86" s="636"/>
      <c r="G86" s="697"/>
      <c r="H86" s="697"/>
      <c r="I86" s="697"/>
      <c r="J86" s="697"/>
      <c r="K86" s="698"/>
      <c r="L86" s="699"/>
      <c r="M86" s="700"/>
      <c r="N86" s="1997"/>
      <c r="O86" s="1997"/>
      <c r="P86" s="1998"/>
      <c r="Q86" s="1991"/>
      <c r="R86" s="1979"/>
      <c r="S86" s="1979"/>
      <c r="T86" s="1979"/>
      <c r="U86" s="1979"/>
      <c r="V86" s="1979"/>
      <c r="W86" s="1979"/>
      <c r="X86" s="1979"/>
      <c r="Y86" s="1979"/>
      <c r="Z86" s="1979"/>
      <c r="AA86" s="1979"/>
      <c r="AB86" s="1979"/>
      <c r="AC86" s="1979"/>
    </row>
    <row r="87" spans="1:29" ht="15.75" thickBot="1">
      <c r="A87" s="863"/>
      <c r="B87" s="674"/>
      <c r="C87" s="675"/>
      <c r="D87" s="675"/>
      <c r="E87" s="675"/>
      <c r="F87" s="675"/>
      <c r="G87" s="701"/>
      <c r="H87" s="701"/>
      <c r="I87" s="701"/>
      <c r="J87" s="701"/>
      <c r="K87" s="701"/>
      <c r="L87" s="701"/>
      <c r="M87" s="702"/>
      <c r="N87" s="1999"/>
      <c r="O87" s="1999"/>
      <c r="P87" s="1998"/>
      <c r="Q87" s="1991"/>
      <c r="R87" s="1979"/>
      <c r="S87" s="1979"/>
      <c r="T87" s="1979"/>
      <c r="U87" s="1979"/>
      <c r="V87" s="1979"/>
      <c r="W87" s="1979"/>
      <c r="X87" s="1979"/>
      <c r="Y87" s="1979"/>
      <c r="Z87" s="1979"/>
      <c r="AA87" s="1979"/>
      <c r="AB87" s="1979"/>
      <c r="AC87" s="1979"/>
    </row>
    <row r="88" spans="1:29">
      <c r="A88" s="639" t="s">
        <v>534</v>
      </c>
      <c r="B88" s="640" t="s">
        <v>729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1999"/>
      <c r="O89" s="1999"/>
      <c r="P89" s="1998"/>
      <c r="Q89" s="1991"/>
      <c r="R89" s="1979"/>
      <c r="S89" s="1979"/>
      <c r="T89" s="1979"/>
      <c r="U89" s="1979"/>
      <c r="V89" s="1979"/>
      <c r="W89" s="1979"/>
      <c r="X89" s="1979"/>
      <c r="Y89" s="1979"/>
      <c r="Z89" s="1979"/>
      <c r="AA89" s="1979"/>
      <c r="AB89" s="1979"/>
      <c r="AC89" s="1979"/>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5"/>
      <c r="O90" s="1995"/>
      <c r="P90" s="1998"/>
      <c r="Q90" s="1991"/>
      <c r="R90" s="1979"/>
      <c r="S90" s="1979"/>
      <c r="T90" s="1979"/>
      <c r="U90" s="1979"/>
      <c r="V90" s="1979"/>
      <c r="W90" s="1979"/>
      <c r="X90" s="1979"/>
      <c r="Y90" s="1979"/>
      <c r="Z90" s="1979"/>
      <c r="AA90" s="1979"/>
      <c r="AB90" s="1979"/>
      <c r="AC90" s="1979"/>
    </row>
    <row r="91" spans="1:29" s="1247" customFormat="1">
      <c r="A91" s="703"/>
      <c r="B91" s="704"/>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7" customFormat="1" ht="15.75" thickBot="1">
      <c r="A92" s="662"/>
      <c r="B92" s="653"/>
      <c r="C92" s="667"/>
      <c r="D92" s="646"/>
      <c r="E92" s="646"/>
      <c r="F92" s="646"/>
      <c r="G92" s="646"/>
      <c r="H92" s="646"/>
      <c r="I92" s="646"/>
      <c r="J92" s="646"/>
      <c r="K92" s="646"/>
      <c r="L92" s="646"/>
      <c r="M92" s="647"/>
      <c r="N92" s="1999"/>
      <c r="O92" s="1999"/>
      <c r="P92" s="2001"/>
      <c r="Q92" s="2002"/>
      <c r="R92" s="2003"/>
      <c r="S92" s="2003"/>
      <c r="T92" s="2003"/>
      <c r="U92" s="2003"/>
      <c r="V92" s="2003"/>
      <c r="W92" s="2003"/>
      <c r="X92" s="2003"/>
      <c r="Y92" s="2003"/>
      <c r="Z92" s="2003"/>
      <c r="AA92" s="2003"/>
      <c r="AB92" s="2003"/>
      <c r="AC92" s="2003"/>
    </row>
    <row r="93" spans="1:29" ht="15" thickTop="1">
      <c r="A93" s="710"/>
      <c r="B93" s="648" t="s">
        <v>731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733</v>
      </c>
      <c r="C95" s="663"/>
      <c r="D95" s="663"/>
      <c r="E95" s="663"/>
      <c r="F95" s="693"/>
      <c r="G95" s="693"/>
      <c r="H95" s="693"/>
      <c r="I95" s="693"/>
      <c r="J95" s="693"/>
      <c r="K95" s="694"/>
      <c r="L95" s="695"/>
      <c r="M95" s="696"/>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7"/>
      <c r="O97" s="1997"/>
      <c r="P97" s="1998"/>
      <c r="Q97" s="1991"/>
      <c r="R97" s="1979"/>
      <c r="S97" s="1979"/>
      <c r="T97" s="1979"/>
      <c r="U97" s="1979"/>
      <c r="V97" s="1979"/>
      <c r="W97" s="1979"/>
      <c r="X97" s="1979"/>
      <c r="Y97" s="1979"/>
      <c r="Z97" s="1979"/>
      <c r="AA97" s="1979"/>
      <c r="AB97" s="1979"/>
      <c r="AC97" s="1979"/>
    </row>
    <row r="98" spans="1:29">
      <c r="A98" s="710"/>
      <c r="B98" s="656"/>
      <c r="C98" s="864">
        <v>0.5</v>
      </c>
      <c r="D98" s="864">
        <v>0.6</v>
      </c>
      <c r="E98" s="864">
        <v>0.7</v>
      </c>
      <c r="F98" s="864">
        <v>0.8</v>
      </c>
      <c r="G98" s="864">
        <v>0.9</v>
      </c>
      <c r="H98" s="864">
        <v>1.0001</v>
      </c>
      <c r="I98" s="875"/>
      <c r="J98" s="875"/>
      <c r="K98" s="876"/>
      <c r="L98" s="877"/>
      <c r="M98" s="878"/>
      <c r="N98" s="1997"/>
      <c r="O98" s="1997"/>
      <c r="P98" s="1998"/>
      <c r="Q98" s="1991"/>
      <c r="R98" s="1979"/>
      <c r="S98" s="1979"/>
      <c r="T98" s="1979"/>
      <c r="U98" s="1979"/>
      <c r="V98" s="1979"/>
      <c r="W98" s="1979"/>
      <c r="X98" s="1979"/>
      <c r="Y98" s="1979"/>
      <c r="Z98" s="1979"/>
      <c r="AA98" s="1979"/>
      <c r="AB98" s="1979"/>
      <c r="AC98" s="1979"/>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1999"/>
      <c r="O99" s="1999"/>
      <c r="P99" s="1998"/>
      <c r="Q99" s="1991"/>
      <c r="R99" s="1979"/>
      <c r="S99" s="1979"/>
      <c r="T99" s="1979"/>
      <c r="U99" s="1979"/>
      <c r="V99" s="1979"/>
      <c r="W99" s="1979"/>
      <c r="X99" s="1979"/>
      <c r="Y99" s="1979"/>
      <c r="Z99" s="1979"/>
      <c r="AA99" s="1979"/>
      <c r="AB99" s="1979"/>
      <c r="AC99" s="1979"/>
    </row>
    <row r="100" spans="1:29" s="1247" customFormat="1" ht="15" thickTop="1">
      <c r="A100" s="703"/>
      <c r="B100" s="648" t="s">
        <v>735</v>
      </c>
      <c r="C100" s="663"/>
      <c r="D100" s="663"/>
      <c r="E100" s="663"/>
      <c r="F100" s="663"/>
      <c r="G100" s="663"/>
      <c r="H100" s="693"/>
      <c r="I100" s="693"/>
      <c r="J100" s="693"/>
      <c r="K100" s="694"/>
      <c r="L100" s="695"/>
      <c r="M100" s="696"/>
      <c r="N100" s="2000"/>
      <c r="O100" s="2000"/>
      <c r="P100" s="2001"/>
      <c r="Q100" s="2002"/>
      <c r="R100" s="2003"/>
      <c r="S100" s="2003"/>
      <c r="T100" s="2003"/>
      <c r="U100" s="2003"/>
      <c r="V100" s="2003"/>
      <c r="W100" s="2003"/>
      <c r="X100" s="2003"/>
      <c r="Y100" s="2003"/>
      <c r="Z100" s="2003"/>
      <c r="AA100" s="2003"/>
      <c r="AB100" s="2003"/>
      <c r="AC100" s="2003"/>
    </row>
    <row r="101" spans="1:29" s="1247"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10"/>
      <c r="B102" s="1763" t="s">
        <v>2273</v>
      </c>
      <c r="C102" s="663"/>
      <c r="D102" s="663"/>
      <c r="E102" s="663"/>
      <c r="F102" s="663"/>
      <c r="G102" s="663"/>
      <c r="H102" s="693"/>
      <c r="I102" s="693"/>
      <c r="J102" s="693"/>
      <c r="K102" s="694"/>
      <c r="L102" s="695"/>
      <c r="M102" s="696"/>
      <c r="N102" s="1997"/>
      <c r="O102" s="1997"/>
      <c r="P102" s="1998"/>
      <c r="Q102" s="1991"/>
      <c r="R102" s="1979"/>
      <c r="S102" s="1979"/>
      <c r="T102" s="1979"/>
      <c r="U102" s="1979"/>
      <c r="V102" s="1979"/>
      <c r="W102" s="1979"/>
      <c r="X102" s="1979"/>
      <c r="Y102" s="1979"/>
      <c r="Z102" s="1979"/>
      <c r="AA102" s="1979"/>
      <c r="AB102" s="1979"/>
      <c r="AC102" s="1979"/>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10"/>
      <c r="B104" s="648" t="s">
        <v>737</v>
      </c>
      <c r="C104" s="663"/>
      <c r="D104" s="663"/>
      <c r="E104" s="663"/>
      <c r="F104" s="663"/>
      <c r="G104" s="663"/>
      <c r="H104" s="693"/>
      <c r="I104" s="693"/>
      <c r="J104" s="693"/>
      <c r="K104" s="694"/>
      <c r="L104" s="695"/>
      <c r="M104" s="696"/>
      <c r="N104" s="1997"/>
      <c r="O104" s="1997"/>
      <c r="P104" s="1998"/>
      <c r="Q104" s="1991"/>
      <c r="R104" s="1979"/>
      <c r="S104" s="1979"/>
      <c r="T104" s="1979"/>
      <c r="U104" s="1979"/>
      <c r="V104" s="1979"/>
      <c r="W104" s="1979"/>
      <c r="X104" s="1979"/>
      <c r="Y104" s="1979"/>
      <c r="Z104" s="1979"/>
      <c r="AA104" s="1979"/>
      <c r="AB104" s="1979"/>
      <c r="AC104" s="1979"/>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1999"/>
      <c r="O105" s="1999"/>
      <c r="P105" s="1998"/>
      <c r="Q105" s="1991"/>
      <c r="R105" s="1979"/>
      <c r="S105" s="1979"/>
      <c r="T105" s="1979"/>
      <c r="U105" s="1979"/>
      <c r="V105" s="1979"/>
      <c r="W105" s="1979"/>
      <c r="X105" s="1979"/>
      <c r="Y105" s="1979"/>
      <c r="Z105" s="1979"/>
      <c r="AA105" s="1979"/>
      <c r="AB105" s="1979"/>
      <c r="AC105" s="1979"/>
    </row>
    <row r="106" spans="1:29" ht="27.75" thickTop="1">
      <c r="A106" s="710"/>
      <c r="B106" s="887" t="s">
        <v>773</v>
      </c>
      <c r="C106" s="683" t="s">
        <v>561</v>
      </c>
      <c r="D106" s="683" t="s">
        <v>562</v>
      </c>
      <c r="E106" s="683" t="s">
        <v>563</v>
      </c>
      <c r="F106" s="683" t="s">
        <v>564</v>
      </c>
      <c r="G106" s="683" t="s">
        <v>565</v>
      </c>
      <c r="H106" s="649"/>
      <c r="I106" s="649"/>
      <c r="J106" s="649"/>
      <c r="K106" s="650"/>
      <c r="L106" s="651"/>
      <c r="M106" s="652"/>
      <c r="N106" s="1999"/>
      <c r="O106" s="1999"/>
      <c r="P106" s="2038"/>
      <c r="Q106" s="2039"/>
      <c r="R106" s="1979"/>
      <c r="S106" s="1979"/>
      <c r="T106" s="1979"/>
      <c r="U106" s="1979"/>
      <c r="V106" s="1979"/>
      <c r="W106" s="1979"/>
      <c r="X106" s="1979"/>
      <c r="Y106" s="1979"/>
      <c r="Z106" s="1979"/>
      <c r="AA106" s="1979"/>
      <c r="AB106" s="1979"/>
      <c r="AC106" s="1979"/>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1999"/>
      <c r="O107" s="1999"/>
      <c r="P107" s="1998"/>
      <c r="Q107" s="1991"/>
      <c r="R107" s="1979"/>
      <c r="S107" s="1979"/>
      <c r="T107" s="1979"/>
      <c r="U107" s="1979"/>
      <c r="V107" s="1979"/>
      <c r="W107" s="1979"/>
      <c r="X107" s="1979"/>
      <c r="Y107" s="1979"/>
      <c r="Z107" s="1979"/>
      <c r="AA107" s="1979"/>
      <c r="AB107" s="1979"/>
      <c r="AC107" s="1979"/>
    </row>
    <row r="108" spans="1:29" s="1247" customFormat="1" ht="15" thickTop="1">
      <c r="A108" s="703"/>
      <c r="B108" s="648">
        <f>B38</f>
        <v>111</v>
      </c>
      <c r="C108" s="663"/>
      <c r="D108" s="663"/>
      <c r="E108" s="663"/>
      <c r="F108" s="663"/>
      <c r="G108" s="663"/>
      <c r="H108" s="664"/>
      <c r="I108" s="664"/>
      <c r="J108" s="664"/>
      <c r="K108" s="664"/>
      <c r="L108" s="665"/>
      <c r="M108" s="666"/>
      <c r="N108" s="2000"/>
      <c r="O108" s="2000"/>
      <c r="P108" s="2001"/>
      <c r="Q108" s="2002"/>
      <c r="R108" s="2003"/>
      <c r="S108" s="2003"/>
      <c r="T108" s="2003"/>
      <c r="U108" s="2003"/>
      <c r="V108" s="2003"/>
      <c r="W108" s="2003"/>
      <c r="X108" s="2003"/>
      <c r="Y108" s="2003"/>
      <c r="Z108" s="2003"/>
      <c r="AA108" s="2003"/>
      <c r="AB108" s="2003"/>
      <c r="AC108" s="2003"/>
    </row>
    <row r="109" spans="1:29" s="1247" customFormat="1" ht="15.75" thickBot="1">
      <c r="A109" s="662"/>
      <c r="B109" s="645"/>
      <c r="C109" s="667"/>
      <c r="D109" s="646"/>
      <c r="E109" s="646"/>
      <c r="F109" s="646"/>
      <c r="G109" s="667"/>
      <c r="H109" s="668"/>
      <c r="I109" s="668"/>
      <c r="J109" s="668"/>
      <c r="K109" s="668"/>
      <c r="L109" s="668"/>
      <c r="M109" s="669"/>
      <c r="N109" s="2000"/>
      <c r="O109" s="2000"/>
      <c r="P109" s="2001"/>
      <c r="Q109" s="2002"/>
      <c r="R109" s="2003"/>
      <c r="S109" s="2003"/>
      <c r="T109" s="2003"/>
      <c r="U109" s="2003"/>
      <c r="V109" s="2003"/>
      <c r="W109" s="2003"/>
      <c r="X109" s="2003"/>
      <c r="Y109" s="2003"/>
      <c r="Z109" s="2003"/>
      <c r="AA109" s="2003"/>
      <c r="AB109" s="2003"/>
      <c r="AC109" s="2003"/>
    </row>
    <row r="110" spans="1:29" ht="15" thickTop="1">
      <c r="A110" s="710"/>
      <c r="B110" s="648">
        <f>B39</f>
        <v>111</v>
      </c>
      <c r="C110" s="663"/>
      <c r="D110" s="663"/>
      <c r="E110" s="663"/>
      <c r="F110" s="663"/>
      <c r="G110" s="663"/>
      <c r="H110" s="664"/>
      <c r="I110" s="664"/>
      <c r="J110" s="664"/>
      <c r="K110" s="664"/>
      <c r="L110" s="665"/>
      <c r="M110" s="666"/>
      <c r="N110" s="1997"/>
      <c r="O110" s="1997"/>
      <c r="P110" s="1998"/>
      <c r="Q110" s="1991"/>
      <c r="R110" s="1979"/>
      <c r="S110" s="1979"/>
      <c r="T110" s="1979"/>
      <c r="U110" s="1979"/>
      <c r="V110" s="1979"/>
      <c r="W110" s="1979"/>
      <c r="X110" s="1979"/>
      <c r="Y110" s="1979"/>
      <c r="Z110" s="1979"/>
      <c r="AA110" s="1979"/>
      <c r="AB110" s="1979"/>
      <c r="AC110" s="1979"/>
    </row>
    <row r="111" spans="1:29" ht="15.75" thickBot="1">
      <c r="A111" s="644"/>
      <c r="B111" s="653"/>
      <c r="C111" s="667"/>
      <c r="D111" s="646"/>
      <c r="E111" s="646"/>
      <c r="F111" s="646"/>
      <c r="G111" s="667"/>
      <c r="H111" s="668"/>
      <c r="I111" s="668"/>
      <c r="J111" s="668"/>
      <c r="K111" s="668"/>
      <c r="L111" s="668"/>
      <c r="M111" s="669"/>
      <c r="N111" s="1999"/>
      <c r="O111" s="1999"/>
      <c r="P111" s="1998"/>
      <c r="Q111" s="1991"/>
      <c r="R111" s="1979"/>
      <c r="S111" s="1979"/>
      <c r="T111" s="1979"/>
      <c r="U111" s="1979"/>
      <c r="V111" s="1979"/>
      <c r="W111" s="1979"/>
      <c r="X111" s="1979"/>
      <c r="Y111" s="1979"/>
      <c r="Z111" s="1979"/>
      <c r="AA111" s="1979"/>
      <c r="AB111" s="1979"/>
      <c r="AC111" s="1979"/>
    </row>
    <row r="112" spans="1:29" ht="15" thickTop="1">
      <c r="A112" s="710"/>
      <c r="B112" s="656">
        <f>B40</f>
        <v>111</v>
      </c>
      <c r="C112" s="636"/>
      <c r="D112" s="636"/>
      <c r="E112" s="636"/>
      <c r="F112" s="636"/>
      <c r="G112" s="697"/>
      <c r="H112" s="697"/>
      <c r="I112" s="697"/>
      <c r="J112" s="697"/>
      <c r="K112" s="636"/>
      <c r="L112" s="637"/>
      <c r="M112" s="700"/>
      <c r="N112" s="1997"/>
      <c r="O112" s="1997"/>
      <c r="P112" s="1998"/>
      <c r="Q112" s="1991"/>
      <c r="R112" s="1979"/>
      <c r="S112" s="1979"/>
      <c r="T112" s="1979"/>
      <c r="U112" s="1979"/>
      <c r="V112" s="1979"/>
      <c r="W112" s="1979"/>
      <c r="X112" s="1979"/>
      <c r="Y112" s="1979"/>
      <c r="Z112" s="1979"/>
      <c r="AA112" s="1979"/>
      <c r="AB112" s="1979"/>
      <c r="AC112" s="1979"/>
    </row>
    <row r="113" spans="1:29" ht="15.75" thickBot="1">
      <c r="A113" s="863"/>
      <c r="B113" s="674"/>
      <c r="C113" s="675"/>
      <c r="D113" s="675"/>
      <c r="E113" s="675"/>
      <c r="F113" s="675"/>
      <c r="G113" s="701"/>
      <c r="H113" s="701"/>
      <c r="I113" s="701"/>
      <c r="J113" s="701"/>
      <c r="K113" s="701"/>
      <c r="L113" s="701"/>
      <c r="M113" s="702"/>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81" priority="20" stopIfTrue="1" operator="containsText" text="超过">
      <formula>NOT(ISERROR(SEARCH("超过",F46)))</formula>
    </cfRule>
  </conditionalFormatting>
  <conditionalFormatting sqref="H48">
    <cfRule type="containsText" dxfId="80" priority="19" stopIfTrue="1" operator="containsText" text="超过">
      <formula>NOT(ISERROR(SEARCH("超过",H48)))</formula>
    </cfRule>
  </conditionalFormatting>
  <conditionalFormatting sqref="F48">
    <cfRule type="containsText" dxfId="79" priority="18" stopIfTrue="1" operator="containsText" text="超过">
      <formula>NOT(ISERROR(SEARCH("超过",F48)))</formula>
    </cfRule>
  </conditionalFormatting>
  <conditionalFormatting sqref="F47 H47">
    <cfRule type="containsText" dxfId="78" priority="17" stopIfTrue="1" operator="containsText" text="超过">
      <formula>NOT(ISERROR(SEARCH("超过",F47)))</formula>
    </cfRule>
  </conditionalFormatting>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G48">
    <cfRule type="expression" dxfId="74" priority="13" stopIfTrue="1">
      <formula>$H$48="超过30%"</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J46">
    <cfRule type="containsText" dxfId="71" priority="10" stopIfTrue="1" operator="containsText" text="超过">
      <formula>NOT(ISERROR(SEARCH("超过",J46)))</formula>
    </cfRule>
  </conditionalFormatting>
  <conditionalFormatting sqref="J48">
    <cfRule type="containsText" dxfId="70" priority="9" stopIfTrue="1" operator="containsText" text="超过">
      <formula>NOT(ISERROR(SEARCH("超过",J48)))</formula>
    </cfRule>
  </conditionalFormatting>
  <conditionalFormatting sqref="J47">
    <cfRule type="containsText" dxfId="69" priority="8" stopIfTrue="1" operator="containsText" text="超过">
      <formula>NOT(ISERROR(SEARCH("超过",J47)))</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F42">
    <cfRule type="expression" dxfId="65" priority="4">
      <formula>$D$42="简单平均"</formula>
    </cfRule>
  </conditionalFormatting>
  <conditionalFormatting sqref="H42">
    <cfRule type="expression" dxfId="64" priority="3">
      <formula>$D$42="简单平均"</formula>
    </cfRule>
  </conditionalFormatting>
  <conditionalFormatting sqref="J42">
    <cfRule type="expression" dxfId="63" priority="2">
      <formula>$D$42="简单平均"</formula>
    </cfRule>
  </conditionalFormatting>
  <conditionalFormatting sqref="F7:F40 H7:H40 J7:J40">
    <cfRule type="cellIs" dxfId="62"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pane="bottomLeft" activeCell="R25" sqref="R25"/>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8"/>
    <col min="19" max="19" width="9" style="1166"/>
    <col min="20" max="35" width="9" style="255"/>
    <col min="36" max="16384" width="9" style="1166"/>
  </cols>
  <sheetData>
    <row r="1" spans="1:45" s="255" customFormat="1" ht="14.25" customHeight="1" thickBot="1">
      <c r="A1" s="363"/>
      <c r="B1" s="2066" t="s">
        <v>2092</v>
      </c>
      <c r="C1" s="3810" t="s">
        <v>2093</v>
      </c>
      <c r="D1" s="3811"/>
      <c r="E1" s="3811"/>
      <c r="F1" s="3811"/>
      <c r="G1" s="3811"/>
      <c r="H1" s="3811"/>
      <c r="I1" s="3811"/>
      <c r="J1" s="3811"/>
      <c r="K1" s="3811"/>
      <c r="L1" s="3811"/>
      <c r="M1" s="3811"/>
      <c r="N1" s="3811"/>
      <c r="O1" s="3811"/>
      <c r="P1" s="3811"/>
      <c r="Q1" s="3811"/>
      <c r="R1" s="3811"/>
      <c r="S1" s="3812"/>
      <c r="T1" s="2066" t="s">
        <v>2094</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ht="25.5">
      <c r="A2" s="2067"/>
      <c r="B2" s="2775" t="s">
        <v>2095</v>
      </c>
      <c r="C2" s="919" t="str">
        <f t="shared" ref="C2:L2" si="0">C3&amp;"(含)"&amp;"-"&amp;D3</f>
        <v>0(含)-20000</v>
      </c>
      <c r="D2" s="920" t="str">
        <f t="shared" si="0"/>
        <v>20000(含)-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8" t="str">
        <f>S3&amp;"(含)"&amp;"-"</f>
        <v>(含)-</v>
      </c>
      <c r="T2" s="921"/>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7" customFormat="1">
      <c r="A3" s="2070"/>
      <c r="B3" s="922"/>
      <c r="C3" s="923">
        <v>0</v>
      </c>
      <c r="D3" s="924">
        <v>20000</v>
      </c>
      <c r="E3" s="924"/>
      <c r="F3" s="924"/>
      <c r="G3" s="924"/>
      <c r="H3" s="924"/>
      <c r="I3" s="924"/>
      <c r="J3" s="925"/>
      <c r="K3" s="925"/>
      <c r="L3" s="926"/>
      <c r="M3" s="2071"/>
      <c r="N3" s="2072"/>
      <c r="O3" s="924"/>
      <c r="P3" s="924"/>
      <c r="Q3" s="924"/>
      <c r="R3" s="924"/>
      <c r="S3" s="2073"/>
      <c r="T3" s="927"/>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7"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8" customFormat="1">
      <c r="A5" s="2083"/>
      <c r="B5" s="2692" t="s">
        <v>2629</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8" customFormat="1" ht="13.5" thickBot="1">
      <c r="A6" s="2083"/>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8" customFormat="1">
      <c r="A7" s="2083"/>
      <c r="B7" s="2694" t="s">
        <v>2628</v>
      </c>
      <c r="C7" s="1827"/>
      <c r="D7" s="1828"/>
      <c r="E7" s="1828"/>
      <c r="F7" s="1828"/>
      <c r="G7" s="1828"/>
      <c r="H7" s="1828"/>
      <c r="I7" s="1828"/>
      <c r="J7" s="1828"/>
      <c r="K7" s="1828"/>
      <c r="L7" s="1828"/>
      <c r="M7" s="2091"/>
      <c r="N7" s="2092"/>
      <c r="O7" s="2093"/>
      <c r="P7" s="2094"/>
      <c r="Q7" s="2095"/>
      <c r="R7" s="2096"/>
      <c r="S7" s="2097"/>
      <c r="T7" s="928"/>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8" customFormat="1" ht="13.5" thickBot="1">
      <c r="A8" s="2083"/>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8" customFormat="1">
      <c r="A9" s="2083"/>
      <c r="B9" s="2694" t="s">
        <v>2627</v>
      </c>
      <c r="C9" s="1827"/>
      <c r="D9" s="1828"/>
      <c r="E9" s="1828"/>
      <c r="F9" s="1828"/>
      <c r="G9" s="1828"/>
      <c r="H9" s="1828"/>
      <c r="I9" s="1828"/>
      <c r="J9" s="1828"/>
      <c r="K9" s="1828"/>
      <c r="L9" s="1829"/>
      <c r="M9" s="2091"/>
      <c r="N9" s="2092"/>
      <c r="O9" s="2093"/>
      <c r="P9" s="2094"/>
      <c r="Q9" s="2095"/>
      <c r="R9" s="2096"/>
      <c r="S9" s="2097"/>
      <c r="T9" s="928"/>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8" customFormat="1" ht="13.5" thickBot="1">
      <c r="A10" s="2083"/>
      <c r="B10" s="2693"/>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8" customFormat="1">
      <c r="A11" s="2083"/>
      <c r="B11" s="2692" t="s">
        <v>2640</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8" customFormat="1" ht="13.5" thickBot="1">
      <c r="A12" s="2083"/>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8" customFormat="1">
      <c r="A13" s="2083"/>
      <c r="B13" s="2692" t="s">
        <v>2626</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8" customFormat="1" ht="13.5" thickBot="1">
      <c r="A14" s="2083"/>
      <c r="B14" s="1830"/>
      <c r="C14" s="1831"/>
      <c r="D14" s="1832"/>
      <c r="E14" s="1832"/>
      <c r="F14" s="1832"/>
      <c r="G14" s="1832"/>
      <c r="H14" s="1832"/>
      <c r="I14" s="1832"/>
      <c r="J14" s="1832"/>
      <c r="K14" s="1832"/>
      <c r="L14" s="1832"/>
      <c r="M14" s="2107"/>
      <c r="N14" s="2107"/>
      <c r="O14" s="1832"/>
      <c r="P14" s="1832"/>
      <c r="Q14" s="1832"/>
      <c r="R14" s="1832"/>
      <c r="S14" s="2108"/>
      <c r="T14" s="1833"/>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8" customFormat="1">
      <c r="A15" s="2083"/>
      <c r="B15" s="2692" t="s">
        <v>2625</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8"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6" customFormat="1">
      <c r="A17" s="2109" t="s">
        <v>2096</v>
      </c>
      <c r="B17" s="2110" t="s">
        <v>2097</v>
      </c>
      <c r="C17" s="2111">
        <v>1</v>
      </c>
      <c r="D17" s="2112">
        <v>2</v>
      </c>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6" customFormat="1" ht="13.5" thickBot="1">
      <c r="A18" s="2121"/>
      <c r="B18" s="2122"/>
      <c r="C18" s="2123">
        <v>100</v>
      </c>
      <c r="D18" s="2124">
        <v>70</v>
      </c>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9"/>
      <c r="B19" s="918"/>
      <c r="C19" s="1854"/>
      <c r="D19" s="1854"/>
      <c r="E19" s="1854"/>
      <c r="F19" s="1854"/>
      <c r="G19" s="1854"/>
      <c r="H19" s="1854"/>
      <c r="I19" s="1854"/>
      <c r="J19" s="1854"/>
      <c r="K19" s="1854"/>
      <c r="L19" s="1854"/>
      <c r="M19" s="1854"/>
      <c r="N19" s="1854"/>
      <c r="O19" s="1854"/>
      <c r="P19" s="1854"/>
      <c r="Q19" s="1854"/>
      <c r="R19" s="2057"/>
      <c r="S19" s="1863"/>
    </row>
    <row r="20" spans="1:45" ht="15.75">
      <c r="A20" s="929" t="s">
        <v>810</v>
      </c>
      <c r="B20" s="748">
        <f>S22</f>
        <v>5003</v>
      </c>
      <c r="C20" s="1854"/>
      <c r="D20" s="1854"/>
      <c r="E20" s="1854"/>
      <c r="F20" s="1854"/>
      <c r="G20" s="1854"/>
      <c r="H20" s="1854"/>
      <c r="I20" s="1854"/>
      <c r="J20" s="1854"/>
      <c r="K20" s="1854"/>
      <c r="L20" s="1854"/>
      <c r="M20" s="1854"/>
      <c r="N20" s="1854"/>
      <c r="O20" s="1854"/>
      <c r="P20" s="1854"/>
      <c r="Q20" s="1854"/>
      <c r="R20" s="2057"/>
      <c r="S20" s="1863"/>
    </row>
    <row r="21" spans="1:45" ht="15.75">
      <c r="A21" s="929" t="str">
        <f>IF(B23="土地面积","地面单价","楼面单价")</f>
        <v>楼面单价</v>
      </c>
      <c r="B21" s="748">
        <f>R22</f>
        <v>18924</v>
      </c>
      <c r="C21" s="1854"/>
      <c r="D21" s="1854"/>
      <c r="E21" s="1854"/>
      <c r="F21" s="1854"/>
      <c r="G21" s="1854"/>
      <c r="H21" s="1854"/>
      <c r="I21" s="1854"/>
      <c r="J21" s="1854"/>
      <c r="K21" s="1854"/>
      <c r="L21" s="1854"/>
      <c r="M21" s="1854"/>
      <c r="N21" s="1854"/>
      <c r="O21" s="1854"/>
      <c r="P21" s="1854"/>
      <c r="Q21" s="1854"/>
      <c r="R21" s="2057"/>
      <c r="S21" s="1863"/>
    </row>
    <row r="22" spans="1:45">
      <c r="A22" s="772" t="s">
        <v>811</v>
      </c>
      <c r="B22" s="53">
        <f>SUM(B24:B10000)</f>
        <v>2643.8</v>
      </c>
      <c r="C22" s="3807" t="s">
        <v>20</v>
      </c>
      <c r="D22" s="3808"/>
      <c r="E22" s="3808"/>
      <c r="F22" s="3808"/>
      <c r="G22" s="3808"/>
      <c r="H22" s="3808"/>
      <c r="I22" s="3808"/>
      <c r="J22" s="3808"/>
      <c r="K22" s="3808"/>
      <c r="L22" s="3808"/>
      <c r="M22" s="3808"/>
      <c r="N22" s="3808"/>
      <c r="O22" s="3808"/>
      <c r="P22" s="3808"/>
      <c r="Q22" s="3809"/>
      <c r="R22" s="474">
        <f>ROUND(S22*10000/B22,0)</f>
        <v>18924</v>
      </c>
      <c r="S22" s="53">
        <f>SUM(S24:S10000)</f>
        <v>5003</v>
      </c>
    </row>
    <row r="23" spans="1:45" s="1496" customFormat="1" ht="24">
      <c r="A23" s="17" t="s">
        <v>812</v>
      </c>
      <c r="B23" s="2776" t="s">
        <v>2648</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7" customFormat="1">
      <c r="A24" s="930" t="s">
        <v>3447</v>
      </c>
      <c r="B24" s="930">
        <f>'数据-汇总表'!F20/2</f>
        <v>1321.9</v>
      </c>
      <c r="C24" s="3181">
        <v>1</v>
      </c>
      <c r="D24" s="3182"/>
      <c r="E24" s="3181">
        <v>1</v>
      </c>
      <c r="F24" s="3182"/>
      <c r="G24" s="3181">
        <v>1</v>
      </c>
      <c r="H24" s="3182"/>
      <c r="I24" s="3181">
        <v>1</v>
      </c>
      <c r="J24" s="3182"/>
      <c r="K24" s="3181">
        <v>1</v>
      </c>
      <c r="L24" s="3182"/>
      <c r="M24" s="3181">
        <v>1</v>
      </c>
      <c r="N24" s="3182"/>
      <c r="O24" s="3181">
        <v>1</v>
      </c>
      <c r="P24" s="3182">
        <v>1</v>
      </c>
      <c r="Q24" s="3181">
        <v>1</v>
      </c>
      <c r="R24" s="933">
        <f>'不动产比较法-商业'!B3</f>
        <v>22260</v>
      </c>
      <c r="S24" s="931">
        <f t="shared" ref="S24:S54" si="11">ROUND(R24*B24/10000,0)</f>
        <v>2943</v>
      </c>
      <c r="T24" s="1839"/>
      <c r="U24" s="1839"/>
      <c r="V24" s="1839"/>
      <c r="W24" s="1839"/>
      <c r="X24" s="1839"/>
      <c r="Y24" s="1839"/>
      <c r="Z24" s="1839"/>
      <c r="AA24" s="1839"/>
      <c r="AB24" s="1839"/>
      <c r="AC24" s="1839"/>
      <c r="AD24" s="1839"/>
      <c r="AE24" s="1839"/>
      <c r="AF24" s="1839"/>
      <c r="AG24" s="1839"/>
      <c r="AH24" s="1839"/>
      <c r="AI24" s="1839"/>
    </row>
    <row r="25" spans="1:45">
      <c r="A25" s="934" t="s">
        <v>3448</v>
      </c>
      <c r="B25" s="136">
        <f>B24</f>
        <v>1321.9</v>
      </c>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v>2</v>
      </c>
      <c r="Q25" s="53">
        <f>(SUMIF($17:$17,P25,$18:$18)-SUMIF($17:$17,$P$24,$18:$18)+100)/100</f>
        <v>0.7</v>
      </c>
      <c r="R25" s="474">
        <f>IF(B25="",0,ROUND($R$24*C25*E25*G25*I25*K25*M25*O25*Q25,0))</f>
        <v>15582</v>
      </c>
      <c r="S25" s="772">
        <f t="shared" si="11"/>
        <v>2060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0</v>
      </c>
      <c r="R26" s="474">
        <f t="shared" ref="R26:R89" si="20">IF(B26="",0,ROUND($R$24*C26*E26*G26*I26*K26*M26*O26*Q26,0))</f>
        <v>0</v>
      </c>
      <c r="S26" s="772">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0</v>
      </c>
      <c r="R27" s="474">
        <f t="shared" si="20"/>
        <v>0</v>
      </c>
      <c r="S27" s="772">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0</v>
      </c>
      <c r="R28" s="474">
        <f t="shared" si="20"/>
        <v>0</v>
      </c>
      <c r="S28" s="772">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0</v>
      </c>
      <c r="R29" s="474">
        <f t="shared" si="20"/>
        <v>0</v>
      </c>
      <c r="S29" s="772">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0</v>
      </c>
      <c r="R30" s="474">
        <f t="shared" si="20"/>
        <v>0</v>
      </c>
      <c r="S30" s="772">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0</v>
      </c>
      <c r="R31" s="474">
        <f t="shared" si="20"/>
        <v>0</v>
      </c>
      <c r="S31" s="772">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0</v>
      </c>
      <c r="R32" s="474">
        <f t="shared" si="20"/>
        <v>0</v>
      </c>
      <c r="S32" s="772">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0</v>
      </c>
      <c r="R33" s="474">
        <f t="shared" si="20"/>
        <v>0</v>
      </c>
      <c r="S33" s="772">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0</v>
      </c>
      <c r="R34" s="474">
        <f t="shared" si="20"/>
        <v>0</v>
      </c>
      <c r="S34" s="772">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0</v>
      </c>
      <c r="R35" s="474">
        <f t="shared" si="20"/>
        <v>0</v>
      </c>
      <c r="S35" s="772">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0</v>
      </c>
      <c r="R36" s="474">
        <f t="shared" si="20"/>
        <v>0</v>
      </c>
      <c r="S36" s="772">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0</v>
      </c>
      <c r="R37" s="474">
        <f t="shared" si="20"/>
        <v>0</v>
      </c>
      <c r="S37" s="772">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0</v>
      </c>
      <c r="R38" s="474">
        <f t="shared" si="20"/>
        <v>0</v>
      </c>
      <c r="S38" s="772">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0</v>
      </c>
      <c r="R39" s="474">
        <f t="shared" si="20"/>
        <v>0</v>
      </c>
      <c r="S39" s="772">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0</v>
      </c>
      <c r="R40" s="474">
        <f t="shared" si="20"/>
        <v>0</v>
      </c>
      <c r="S40" s="772">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0</v>
      </c>
      <c r="R41" s="474">
        <f t="shared" si="20"/>
        <v>0</v>
      </c>
      <c r="S41" s="772">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0</v>
      </c>
      <c r="R42" s="474">
        <f t="shared" si="20"/>
        <v>0</v>
      </c>
      <c r="S42" s="772">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0</v>
      </c>
      <c r="R43" s="474">
        <f t="shared" si="20"/>
        <v>0</v>
      </c>
      <c r="S43" s="772">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0</v>
      </c>
      <c r="R44" s="474">
        <f t="shared" si="20"/>
        <v>0</v>
      </c>
      <c r="S44" s="772">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0</v>
      </c>
      <c r="R45" s="474">
        <f t="shared" si="20"/>
        <v>0</v>
      </c>
      <c r="S45" s="772">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0</v>
      </c>
      <c r="R46" s="474">
        <f t="shared" si="20"/>
        <v>0</v>
      </c>
      <c r="S46" s="772">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0</v>
      </c>
      <c r="R47" s="474">
        <f t="shared" si="20"/>
        <v>0</v>
      </c>
      <c r="S47" s="772">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0</v>
      </c>
      <c r="R48" s="474">
        <f t="shared" si="20"/>
        <v>0</v>
      </c>
      <c r="S48" s="772">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0</v>
      </c>
      <c r="R49" s="474">
        <f t="shared" si="20"/>
        <v>0</v>
      </c>
      <c r="S49" s="772">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0</v>
      </c>
      <c r="R50" s="474">
        <f t="shared" si="20"/>
        <v>0</v>
      </c>
      <c r="S50" s="772">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0</v>
      </c>
      <c r="R51" s="474">
        <f t="shared" si="20"/>
        <v>0</v>
      </c>
      <c r="S51" s="772">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0</v>
      </c>
      <c r="R52" s="474">
        <f t="shared" si="20"/>
        <v>0</v>
      </c>
      <c r="S52" s="772">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0</v>
      </c>
      <c r="R53" s="474">
        <f t="shared" si="20"/>
        <v>0</v>
      </c>
      <c r="S53" s="772">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0</v>
      </c>
      <c r="R54" s="474">
        <f t="shared" si="20"/>
        <v>0</v>
      </c>
      <c r="S54" s="772">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0</v>
      </c>
      <c r="R55" s="474">
        <f t="shared" si="20"/>
        <v>0</v>
      </c>
      <c r="S55" s="772">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0</v>
      </c>
      <c r="R56" s="474">
        <f t="shared" si="20"/>
        <v>0</v>
      </c>
      <c r="S56" s="772">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0</v>
      </c>
      <c r="R57" s="474">
        <f t="shared" si="20"/>
        <v>0</v>
      </c>
      <c r="S57" s="772">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0</v>
      </c>
      <c r="R58" s="474">
        <f t="shared" si="20"/>
        <v>0</v>
      </c>
      <c r="S58" s="772">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0</v>
      </c>
      <c r="R59" s="474">
        <f t="shared" si="20"/>
        <v>0</v>
      </c>
      <c r="S59" s="772">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0</v>
      </c>
      <c r="R60" s="474">
        <f t="shared" si="20"/>
        <v>0</v>
      </c>
      <c r="S60" s="772">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0</v>
      </c>
      <c r="R61" s="474">
        <f t="shared" si="20"/>
        <v>0</v>
      </c>
      <c r="S61" s="772">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0</v>
      </c>
      <c r="R62" s="474">
        <f t="shared" si="20"/>
        <v>0</v>
      </c>
      <c r="S62" s="772">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0</v>
      </c>
      <c r="R63" s="474">
        <f t="shared" si="20"/>
        <v>0</v>
      </c>
      <c r="S63" s="772">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0</v>
      </c>
      <c r="R64" s="474">
        <f t="shared" si="20"/>
        <v>0</v>
      </c>
      <c r="S64" s="772">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0</v>
      </c>
      <c r="R65" s="474">
        <f t="shared" si="20"/>
        <v>0</v>
      </c>
      <c r="S65" s="772">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0</v>
      </c>
      <c r="R66" s="474">
        <f t="shared" si="20"/>
        <v>0</v>
      </c>
      <c r="S66" s="772">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0</v>
      </c>
      <c r="R67" s="474">
        <f t="shared" si="20"/>
        <v>0</v>
      </c>
      <c r="S67" s="772">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0</v>
      </c>
      <c r="R68" s="474">
        <f t="shared" si="20"/>
        <v>0</v>
      </c>
      <c r="S68" s="772">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0</v>
      </c>
      <c r="R69" s="474">
        <f t="shared" si="20"/>
        <v>0</v>
      </c>
      <c r="S69" s="772">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0</v>
      </c>
      <c r="R70" s="474">
        <f t="shared" si="20"/>
        <v>0</v>
      </c>
      <c r="S70" s="772">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0</v>
      </c>
      <c r="R71" s="474">
        <f t="shared" si="20"/>
        <v>0</v>
      </c>
      <c r="S71" s="772">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0</v>
      </c>
      <c r="R72" s="474">
        <f t="shared" si="20"/>
        <v>0</v>
      </c>
      <c r="S72" s="772">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0</v>
      </c>
      <c r="R73" s="474">
        <f t="shared" si="20"/>
        <v>0</v>
      </c>
      <c r="S73" s="772">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0</v>
      </c>
      <c r="R74" s="474">
        <f t="shared" si="20"/>
        <v>0</v>
      </c>
      <c r="S74" s="772">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0</v>
      </c>
      <c r="R75" s="474">
        <f t="shared" si="20"/>
        <v>0</v>
      </c>
      <c r="S75" s="772">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0</v>
      </c>
      <c r="R76" s="474">
        <f t="shared" si="20"/>
        <v>0</v>
      </c>
      <c r="S76" s="772">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0</v>
      </c>
      <c r="R77" s="474">
        <f t="shared" si="20"/>
        <v>0</v>
      </c>
      <c r="S77" s="772">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0</v>
      </c>
      <c r="R78" s="474">
        <f t="shared" si="20"/>
        <v>0</v>
      </c>
      <c r="S78" s="772">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0</v>
      </c>
      <c r="R79" s="474">
        <f t="shared" si="20"/>
        <v>0</v>
      </c>
      <c r="S79" s="772">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0</v>
      </c>
      <c r="R80" s="474">
        <f t="shared" si="20"/>
        <v>0</v>
      </c>
      <c r="S80" s="772">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0</v>
      </c>
      <c r="R81" s="474">
        <f t="shared" si="20"/>
        <v>0</v>
      </c>
      <c r="S81" s="772">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0</v>
      </c>
      <c r="R82" s="474">
        <f t="shared" si="20"/>
        <v>0</v>
      </c>
      <c r="S82" s="772">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0</v>
      </c>
      <c r="R83" s="474">
        <f t="shared" si="20"/>
        <v>0</v>
      </c>
      <c r="S83" s="772">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0</v>
      </c>
      <c r="R84" s="474">
        <f t="shared" si="20"/>
        <v>0</v>
      </c>
      <c r="S84" s="772">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0</v>
      </c>
      <c r="R85" s="474">
        <f t="shared" si="20"/>
        <v>0</v>
      </c>
      <c r="S85" s="772">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0</v>
      </c>
      <c r="R86" s="474">
        <f t="shared" si="20"/>
        <v>0</v>
      </c>
      <c r="S86" s="772">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0</v>
      </c>
      <c r="R87" s="474">
        <f t="shared" si="20"/>
        <v>0</v>
      </c>
      <c r="S87" s="772">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0</v>
      </c>
      <c r="R88" s="474">
        <f t="shared" si="20"/>
        <v>0</v>
      </c>
      <c r="S88" s="772">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0</v>
      </c>
      <c r="R89" s="474">
        <f t="shared" si="20"/>
        <v>0</v>
      </c>
      <c r="S89" s="772">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0</v>
      </c>
      <c r="R90" s="474">
        <f t="shared" ref="R90:R153" si="31">IF(B90="",0,ROUND($R$24*C90*E90*G90*I90*K90*M90*O90*Q90,0))</f>
        <v>0</v>
      </c>
      <c r="S90" s="772">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0</v>
      </c>
      <c r="R91" s="474">
        <f t="shared" si="31"/>
        <v>0</v>
      </c>
      <c r="S91" s="772">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0</v>
      </c>
      <c r="R92" s="474">
        <f t="shared" si="31"/>
        <v>0</v>
      </c>
      <c r="S92" s="772">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0</v>
      </c>
      <c r="R93" s="474">
        <f t="shared" si="31"/>
        <v>0</v>
      </c>
      <c r="S93" s="772">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0</v>
      </c>
      <c r="R94" s="474">
        <f t="shared" si="31"/>
        <v>0</v>
      </c>
      <c r="S94" s="772">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0</v>
      </c>
      <c r="R95" s="474">
        <f t="shared" si="31"/>
        <v>0</v>
      </c>
      <c r="S95" s="772">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0</v>
      </c>
      <c r="R96" s="474">
        <f t="shared" si="31"/>
        <v>0</v>
      </c>
      <c r="S96" s="772">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0</v>
      </c>
      <c r="R97" s="474">
        <f t="shared" si="31"/>
        <v>0</v>
      </c>
      <c r="S97" s="772">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0</v>
      </c>
      <c r="R98" s="474">
        <f t="shared" si="31"/>
        <v>0</v>
      </c>
      <c r="S98" s="772">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0</v>
      </c>
      <c r="R99" s="474">
        <f t="shared" si="31"/>
        <v>0</v>
      </c>
      <c r="S99" s="772">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0</v>
      </c>
      <c r="R100" s="474">
        <f t="shared" si="31"/>
        <v>0</v>
      </c>
      <c r="S100" s="772">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0</v>
      </c>
      <c r="R101" s="474">
        <f t="shared" si="31"/>
        <v>0</v>
      </c>
      <c r="S101" s="772">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0</v>
      </c>
      <c r="R102" s="474">
        <f t="shared" si="31"/>
        <v>0</v>
      </c>
      <c r="S102" s="772">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0</v>
      </c>
      <c r="R103" s="474">
        <f t="shared" si="31"/>
        <v>0</v>
      </c>
      <c r="S103" s="772">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0</v>
      </c>
      <c r="R104" s="474">
        <f t="shared" si="31"/>
        <v>0</v>
      </c>
      <c r="S104" s="772">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0</v>
      </c>
      <c r="R105" s="474">
        <f t="shared" si="31"/>
        <v>0</v>
      </c>
      <c r="S105" s="772">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0</v>
      </c>
      <c r="R106" s="474">
        <f t="shared" si="31"/>
        <v>0</v>
      </c>
      <c r="S106" s="772">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0</v>
      </c>
      <c r="R107" s="474">
        <f t="shared" si="31"/>
        <v>0</v>
      </c>
      <c r="S107" s="772">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0</v>
      </c>
      <c r="R108" s="474">
        <f t="shared" si="31"/>
        <v>0</v>
      </c>
      <c r="S108" s="772">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0</v>
      </c>
      <c r="R109" s="474">
        <f t="shared" si="31"/>
        <v>0</v>
      </c>
      <c r="S109" s="772">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0</v>
      </c>
      <c r="R110" s="474">
        <f t="shared" si="31"/>
        <v>0</v>
      </c>
      <c r="S110" s="772">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0</v>
      </c>
      <c r="R111" s="474">
        <f t="shared" si="31"/>
        <v>0</v>
      </c>
      <c r="S111" s="772">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0</v>
      </c>
      <c r="R112" s="474">
        <f t="shared" si="31"/>
        <v>0</v>
      </c>
      <c r="S112" s="772">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0</v>
      </c>
      <c r="R113" s="474">
        <f t="shared" si="31"/>
        <v>0</v>
      </c>
      <c r="S113" s="772">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0</v>
      </c>
      <c r="R114" s="474">
        <f t="shared" si="31"/>
        <v>0</v>
      </c>
      <c r="S114" s="772">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0</v>
      </c>
      <c r="R115" s="474">
        <f t="shared" si="31"/>
        <v>0</v>
      </c>
      <c r="S115" s="772">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0</v>
      </c>
      <c r="R116" s="474">
        <f t="shared" si="31"/>
        <v>0</v>
      </c>
      <c r="S116" s="772">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0</v>
      </c>
      <c r="R117" s="474">
        <f t="shared" si="31"/>
        <v>0</v>
      </c>
      <c r="S117" s="772">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0</v>
      </c>
      <c r="R118" s="474">
        <f t="shared" si="31"/>
        <v>0</v>
      </c>
      <c r="S118" s="772">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0</v>
      </c>
      <c r="R119" s="474">
        <f t="shared" si="31"/>
        <v>0</v>
      </c>
      <c r="S119" s="772">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0</v>
      </c>
      <c r="R120" s="474">
        <f t="shared" si="31"/>
        <v>0</v>
      </c>
      <c r="S120" s="772">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0</v>
      </c>
      <c r="R121" s="474">
        <f t="shared" si="31"/>
        <v>0</v>
      </c>
      <c r="S121" s="772">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0</v>
      </c>
      <c r="R122" s="474">
        <f t="shared" si="31"/>
        <v>0</v>
      </c>
      <c r="S122" s="772">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0</v>
      </c>
      <c r="R123" s="474">
        <f t="shared" si="31"/>
        <v>0</v>
      </c>
      <c r="S123" s="772">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0</v>
      </c>
      <c r="R124" s="474">
        <f t="shared" si="31"/>
        <v>0</v>
      </c>
      <c r="S124" s="772">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0</v>
      </c>
      <c r="R125" s="474">
        <f t="shared" si="31"/>
        <v>0</v>
      </c>
      <c r="S125" s="772">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0</v>
      </c>
      <c r="R126" s="474">
        <f t="shared" si="31"/>
        <v>0</v>
      </c>
      <c r="S126" s="772">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0</v>
      </c>
      <c r="R127" s="474">
        <f t="shared" si="31"/>
        <v>0</v>
      </c>
      <c r="S127" s="772">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0</v>
      </c>
      <c r="R128" s="474">
        <f t="shared" si="31"/>
        <v>0</v>
      </c>
      <c r="S128" s="772">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0</v>
      </c>
      <c r="R129" s="474">
        <f t="shared" si="31"/>
        <v>0</v>
      </c>
      <c r="S129" s="772">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0</v>
      </c>
      <c r="R130" s="474">
        <f t="shared" si="31"/>
        <v>0</v>
      </c>
      <c r="S130" s="772">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0</v>
      </c>
      <c r="R131" s="474">
        <f t="shared" si="31"/>
        <v>0</v>
      </c>
      <c r="S131" s="772">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0</v>
      </c>
      <c r="R132" s="474">
        <f t="shared" si="31"/>
        <v>0</v>
      </c>
      <c r="S132" s="772">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0</v>
      </c>
      <c r="R133" s="474">
        <f t="shared" si="31"/>
        <v>0</v>
      </c>
      <c r="S133" s="772">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0</v>
      </c>
      <c r="R134" s="474">
        <f t="shared" si="31"/>
        <v>0</v>
      </c>
      <c r="S134" s="772">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0</v>
      </c>
      <c r="R135" s="474">
        <f t="shared" si="31"/>
        <v>0</v>
      </c>
      <c r="S135" s="772">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0</v>
      </c>
      <c r="R136" s="474">
        <f t="shared" si="31"/>
        <v>0</v>
      </c>
      <c r="S136" s="772">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0</v>
      </c>
      <c r="R137" s="474">
        <f t="shared" si="31"/>
        <v>0</v>
      </c>
      <c r="S137" s="772">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0</v>
      </c>
      <c r="R138" s="474">
        <f t="shared" si="31"/>
        <v>0</v>
      </c>
      <c r="S138" s="772">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0</v>
      </c>
      <c r="R139" s="474">
        <f t="shared" si="31"/>
        <v>0</v>
      </c>
      <c r="S139" s="772">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0</v>
      </c>
      <c r="R140" s="474">
        <f t="shared" si="31"/>
        <v>0</v>
      </c>
      <c r="S140" s="772">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0</v>
      </c>
      <c r="R141" s="474">
        <f t="shared" si="31"/>
        <v>0</v>
      </c>
      <c r="S141" s="772">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0</v>
      </c>
      <c r="R142" s="474">
        <f t="shared" si="31"/>
        <v>0</v>
      </c>
      <c r="S142" s="772">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0</v>
      </c>
      <c r="R143" s="474">
        <f t="shared" si="31"/>
        <v>0</v>
      </c>
      <c r="S143" s="772">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0</v>
      </c>
      <c r="R144" s="474">
        <f t="shared" si="31"/>
        <v>0</v>
      </c>
      <c r="S144" s="772">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0</v>
      </c>
      <c r="R145" s="474">
        <f t="shared" si="31"/>
        <v>0</v>
      </c>
      <c r="S145" s="772">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0</v>
      </c>
      <c r="R146" s="474">
        <f t="shared" si="31"/>
        <v>0</v>
      </c>
      <c r="S146" s="772">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0</v>
      </c>
      <c r="R147" s="474">
        <f t="shared" si="31"/>
        <v>0</v>
      </c>
      <c r="S147" s="772">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0</v>
      </c>
      <c r="R148" s="474">
        <f t="shared" si="31"/>
        <v>0</v>
      </c>
      <c r="S148" s="772">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0</v>
      </c>
      <c r="R149" s="474">
        <f t="shared" si="31"/>
        <v>0</v>
      </c>
      <c r="S149" s="772">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0</v>
      </c>
      <c r="R150" s="474">
        <f t="shared" si="31"/>
        <v>0</v>
      </c>
      <c r="S150" s="772">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0</v>
      </c>
      <c r="R151" s="474">
        <f t="shared" si="31"/>
        <v>0</v>
      </c>
      <c r="S151" s="772">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0</v>
      </c>
      <c r="R152" s="474">
        <f t="shared" si="31"/>
        <v>0</v>
      </c>
      <c r="S152" s="772">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0</v>
      </c>
      <c r="R153" s="474">
        <f t="shared" si="31"/>
        <v>0</v>
      </c>
      <c r="S153" s="772">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0</v>
      </c>
      <c r="R154" s="474">
        <f t="shared" ref="R154:R217" si="41">IF(B154="",0,ROUND($R$24*C154*E154*G154*I154*K154*M154*O154*Q154,0))</f>
        <v>0</v>
      </c>
      <c r="S154" s="772">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0</v>
      </c>
      <c r="R155" s="474">
        <f t="shared" si="41"/>
        <v>0</v>
      </c>
      <c r="S155" s="772">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0</v>
      </c>
      <c r="R156" s="474">
        <f t="shared" si="41"/>
        <v>0</v>
      </c>
      <c r="S156" s="772">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0</v>
      </c>
      <c r="R157" s="474">
        <f t="shared" si="41"/>
        <v>0</v>
      </c>
      <c r="S157" s="772">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0</v>
      </c>
      <c r="R158" s="474">
        <f t="shared" si="41"/>
        <v>0</v>
      </c>
      <c r="S158" s="772">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0</v>
      </c>
      <c r="R159" s="474">
        <f t="shared" si="41"/>
        <v>0</v>
      </c>
      <c r="S159" s="772">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0</v>
      </c>
      <c r="R160" s="474">
        <f t="shared" si="41"/>
        <v>0</v>
      </c>
      <c r="S160" s="772">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0</v>
      </c>
      <c r="R161" s="474">
        <f t="shared" si="41"/>
        <v>0</v>
      </c>
      <c r="S161" s="772">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0</v>
      </c>
      <c r="R162" s="474">
        <f t="shared" si="41"/>
        <v>0</v>
      </c>
      <c r="S162" s="772">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0</v>
      </c>
      <c r="R163" s="474">
        <f t="shared" si="41"/>
        <v>0</v>
      </c>
      <c r="S163" s="772">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0</v>
      </c>
      <c r="R164" s="474">
        <f t="shared" si="41"/>
        <v>0</v>
      </c>
      <c r="S164" s="772">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0</v>
      </c>
      <c r="R165" s="474">
        <f t="shared" si="41"/>
        <v>0</v>
      </c>
      <c r="S165" s="772">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0</v>
      </c>
      <c r="R166" s="474">
        <f t="shared" si="41"/>
        <v>0</v>
      </c>
      <c r="S166" s="772">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0</v>
      </c>
      <c r="R167" s="474">
        <f t="shared" si="41"/>
        <v>0</v>
      </c>
      <c r="S167" s="772">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0</v>
      </c>
      <c r="R168" s="474">
        <f t="shared" si="41"/>
        <v>0</v>
      </c>
      <c r="S168" s="772">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0</v>
      </c>
      <c r="R169" s="474">
        <f t="shared" si="41"/>
        <v>0</v>
      </c>
      <c r="S169" s="772">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0</v>
      </c>
      <c r="R170" s="474">
        <f t="shared" si="41"/>
        <v>0</v>
      </c>
      <c r="S170" s="772">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0</v>
      </c>
      <c r="R171" s="474">
        <f t="shared" si="41"/>
        <v>0</v>
      </c>
      <c r="S171" s="772">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0</v>
      </c>
      <c r="R172" s="474">
        <f t="shared" si="41"/>
        <v>0</v>
      </c>
      <c r="S172" s="772">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0</v>
      </c>
      <c r="R173" s="474">
        <f t="shared" si="41"/>
        <v>0</v>
      </c>
      <c r="S173" s="772">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0</v>
      </c>
      <c r="R174" s="474">
        <f t="shared" si="41"/>
        <v>0</v>
      </c>
      <c r="S174" s="772">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0</v>
      </c>
      <c r="R175" s="474">
        <f t="shared" si="41"/>
        <v>0</v>
      </c>
      <c r="S175" s="772">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0</v>
      </c>
      <c r="R176" s="474">
        <f t="shared" si="41"/>
        <v>0</v>
      </c>
      <c r="S176" s="772">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0</v>
      </c>
      <c r="R177" s="474">
        <f t="shared" si="41"/>
        <v>0</v>
      </c>
      <c r="S177" s="772">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0</v>
      </c>
      <c r="R178" s="474">
        <f t="shared" si="41"/>
        <v>0</v>
      </c>
      <c r="S178" s="772">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0</v>
      </c>
      <c r="R179" s="474">
        <f t="shared" si="41"/>
        <v>0</v>
      </c>
      <c r="S179" s="772">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0</v>
      </c>
      <c r="R180" s="474">
        <f t="shared" si="41"/>
        <v>0</v>
      </c>
      <c r="S180" s="772">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0</v>
      </c>
      <c r="R181" s="474">
        <f t="shared" si="41"/>
        <v>0</v>
      </c>
      <c r="S181" s="772">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0</v>
      </c>
      <c r="R182" s="474">
        <f t="shared" si="41"/>
        <v>0</v>
      </c>
      <c r="S182" s="772">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0</v>
      </c>
      <c r="R183" s="474">
        <f t="shared" si="41"/>
        <v>0</v>
      </c>
      <c r="S183" s="772">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0</v>
      </c>
      <c r="R184" s="474">
        <f t="shared" si="41"/>
        <v>0</v>
      </c>
      <c r="S184" s="772">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0</v>
      </c>
      <c r="R185" s="474">
        <f t="shared" si="41"/>
        <v>0</v>
      </c>
      <c r="S185" s="772">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0</v>
      </c>
      <c r="R186" s="474">
        <f t="shared" si="41"/>
        <v>0</v>
      </c>
      <c r="S186" s="772">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0</v>
      </c>
      <c r="R187" s="474">
        <f t="shared" si="41"/>
        <v>0</v>
      </c>
      <c r="S187" s="772">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0</v>
      </c>
      <c r="R188" s="474">
        <f t="shared" si="41"/>
        <v>0</v>
      </c>
      <c r="S188" s="772">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0</v>
      </c>
      <c r="R189" s="474">
        <f t="shared" si="41"/>
        <v>0</v>
      </c>
      <c r="S189" s="772">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0</v>
      </c>
      <c r="R190" s="474">
        <f t="shared" si="41"/>
        <v>0</v>
      </c>
      <c r="S190" s="772">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0</v>
      </c>
      <c r="R191" s="474">
        <f t="shared" si="41"/>
        <v>0</v>
      </c>
      <c r="S191" s="772">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0</v>
      </c>
      <c r="R192" s="474">
        <f t="shared" si="41"/>
        <v>0</v>
      </c>
      <c r="S192" s="772">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0</v>
      </c>
      <c r="R193" s="474">
        <f t="shared" si="41"/>
        <v>0</v>
      </c>
      <c r="S193" s="772">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0</v>
      </c>
      <c r="R194" s="474">
        <f t="shared" si="41"/>
        <v>0</v>
      </c>
      <c r="S194" s="772">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0</v>
      </c>
      <c r="R195" s="474">
        <f t="shared" si="41"/>
        <v>0</v>
      </c>
      <c r="S195" s="772">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0</v>
      </c>
      <c r="R196" s="474">
        <f t="shared" si="41"/>
        <v>0</v>
      </c>
      <c r="S196" s="772">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0</v>
      </c>
      <c r="R197" s="474">
        <f t="shared" si="41"/>
        <v>0</v>
      </c>
      <c r="S197" s="772">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0</v>
      </c>
      <c r="R198" s="474">
        <f t="shared" si="41"/>
        <v>0</v>
      </c>
      <c r="S198" s="772">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0</v>
      </c>
      <c r="R199" s="474">
        <f t="shared" si="41"/>
        <v>0</v>
      </c>
      <c r="S199" s="772">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0</v>
      </c>
      <c r="R200" s="474">
        <f t="shared" si="41"/>
        <v>0</v>
      </c>
      <c r="S200" s="772">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0</v>
      </c>
      <c r="R201" s="474">
        <f t="shared" si="41"/>
        <v>0</v>
      </c>
      <c r="S201" s="772">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0</v>
      </c>
      <c r="R202" s="474">
        <f t="shared" si="41"/>
        <v>0</v>
      </c>
      <c r="S202" s="772">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0</v>
      </c>
      <c r="R203" s="474">
        <f t="shared" si="41"/>
        <v>0</v>
      </c>
      <c r="S203" s="772">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0</v>
      </c>
      <c r="R204" s="474">
        <f t="shared" si="41"/>
        <v>0</v>
      </c>
      <c r="S204" s="772">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0</v>
      </c>
      <c r="R205" s="474">
        <f t="shared" si="41"/>
        <v>0</v>
      </c>
      <c r="S205" s="772">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0</v>
      </c>
      <c r="R206" s="474">
        <f t="shared" si="41"/>
        <v>0</v>
      </c>
      <c r="S206" s="772">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0</v>
      </c>
      <c r="R207" s="474">
        <f t="shared" si="41"/>
        <v>0</v>
      </c>
      <c r="S207" s="772">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0</v>
      </c>
      <c r="R208" s="474">
        <f t="shared" si="41"/>
        <v>0</v>
      </c>
      <c r="S208" s="772">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0</v>
      </c>
      <c r="R209" s="474">
        <f t="shared" si="41"/>
        <v>0</v>
      </c>
      <c r="S209" s="772">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0</v>
      </c>
      <c r="R210" s="474">
        <f t="shared" si="41"/>
        <v>0</v>
      </c>
      <c r="S210" s="772">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0</v>
      </c>
      <c r="R211" s="474">
        <f t="shared" si="41"/>
        <v>0</v>
      </c>
      <c r="S211" s="772">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0</v>
      </c>
      <c r="R212" s="474">
        <f t="shared" si="41"/>
        <v>0</v>
      </c>
      <c r="S212" s="772">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0</v>
      </c>
      <c r="R213" s="474">
        <f t="shared" si="41"/>
        <v>0</v>
      </c>
      <c r="S213" s="772">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0</v>
      </c>
      <c r="R214" s="474">
        <f t="shared" si="41"/>
        <v>0</v>
      </c>
      <c r="S214" s="772">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0</v>
      </c>
      <c r="R215" s="474">
        <f t="shared" si="41"/>
        <v>0</v>
      </c>
      <c r="S215" s="772">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0</v>
      </c>
      <c r="R216" s="474">
        <f t="shared" si="41"/>
        <v>0</v>
      </c>
      <c r="S216" s="772">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0</v>
      </c>
      <c r="R217" s="474">
        <f t="shared" si="41"/>
        <v>0</v>
      </c>
      <c r="S217" s="772">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0</v>
      </c>
      <c r="R218" s="474">
        <f t="shared" ref="R218:R281" si="51">IF(B218="",0,ROUND($R$24*C218*E218*G218*I218*K218*M218*O218*Q218,0))</f>
        <v>0</v>
      </c>
      <c r="S218" s="772">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0</v>
      </c>
      <c r="R219" s="474">
        <f t="shared" si="51"/>
        <v>0</v>
      </c>
      <c r="S219" s="772">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0</v>
      </c>
      <c r="R220" s="474">
        <f t="shared" si="51"/>
        <v>0</v>
      </c>
      <c r="S220" s="772">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0</v>
      </c>
      <c r="R221" s="474">
        <f t="shared" si="51"/>
        <v>0</v>
      </c>
      <c r="S221" s="772">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0</v>
      </c>
      <c r="R222" s="474">
        <f t="shared" si="51"/>
        <v>0</v>
      </c>
      <c r="S222" s="772">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0</v>
      </c>
      <c r="R223" s="474">
        <f t="shared" si="51"/>
        <v>0</v>
      </c>
      <c r="S223" s="772">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0</v>
      </c>
      <c r="R224" s="474">
        <f t="shared" si="51"/>
        <v>0</v>
      </c>
      <c r="S224" s="772">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0</v>
      </c>
      <c r="R225" s="474">
        <f t="shared" si="51"/>
        <v>0</v>
      </c>
      <c r="S225" s="772">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0</v>
      </c>
      <c r="R226" s="474">
        <f t="shared" si="51"/>
        <v>0</v>
      </c>
      <c r="S226" s="772">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0</v>
      </c>
      <c r="R227" s="474">
        <f t="shared" si="51"/>
        <v>0</v>
      </c>
      <c r="S227" s="772">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0</v>
      </c>
      <c r="R228" s="474">
        <f t="shared" si="51"/>
        <v>0</v>
      </c>
      <c r="S228" s="772">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0</v>
      </c>
      <c r="R229" s="474">
        <f t="shared" si="51"/>
        <v>0</v>
      </c>
      <c r="S229" s="772">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0</v>
      </c>
      <c r="R230" s="474">
        <f t="shared" si="51"/>
        <v>0</v>
      </c>
      <c r="S230" s="772">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0</v>
      </c>
      <c r="R231" s="474">
        <f t="shared" si="51"/>
        <v>0</v>
      </c>
      <c r="S231" s="772">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0</v>
      </c>
      <c r="R232" s="474">
        <f t="shared" si="51"/>
        <v>0</v>
      </c>
      <c r="S232" s="772">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0</v>
      </c>
      <c r="R233" s="474">
        <f t="shared" si="51"/>
        <v>0</v>
      </c>
      <c r="S233" s="772">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0</v>
      </c>
      <c r="R234" s="474">
        <f t="shared" si="51"/>
        <v>0</v>
      </c>
      <c r="S234" s="772">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0</v>
      </c>
      <c r="R235" s="474">
        <f t="shared" si="51"/>
        <v>0</v>
      </c>
      <c r="S235" s="772">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0</v>
      </c>
      <c r="R236" s="474">
        <f t="shared" si="51"/>
        <v>0</v>
      </c>
      <c r="S236" s="772">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0</v>
      </c>
      <c r="R237" s="474">
        <f t="shared" si="51"/>
        <v>0</v>
      </c>
      <c r="S237" s="772">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0</v>
      </c>
      <c r="R238" s="474">
        <f t="shared" si="51"/>
        <v>0</v>
      </c>
      <c r="S238" s="772">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0</v>
      </c>
      <c r="R239" s="474">
        <f t="shared" si="51"/>
        <v>0</v>
      </c>
      <c r="S239" s="772">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0</v>
      </c>
      <c r="R240" s="474">
        <f t="shared" si="51"/>
        <v>0</v>
      </c>
      <c r="S240" s="772">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0</v>
      </c>
      <c r="R241" s="474">
        <f t="shared" si="51"/>
        <v>0</v>
      </c>
      <c r="S241" s="772">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0</v>
      </c>
      <c r="R242" s="474">
        <f t="shared" si="51"/>
        <v>0</v>
      </c>
      <c r="S242" s="772">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0</v>
      </c>
      <c r="R243" s="474">
        <f t="shared" si="51"/>
        <v>0</v>
      </c>
      <c r="S243" s="772">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0</v>
      </c>
      <c r="R244" s="474">
        <f t="shared" si="51"/>
        <v>0</v>
      </c>
      <c r="S244" s="772">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0</v>
      </c>
      <c r="R245" s="474">
        <f t="shared" si="51"/>
        <v>0</v>
      </c>
      <c r="S245" s="772">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0</v>
      </c>
      <c r="R246" s="474">
        <f t="shared" si="51"/>
        <v>0</v>
      </c>
      <c r="S246" s="772">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0</v>
      </c>
      <c r="R247" s="474">
        <f t="shared" si="51"/>
        <v>0</v>
      </c>
      <c r="S247" s="772">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0</v>
      </c>
      <c r="R248" s="474">
        <f t="shared" si="51"/>
        <v>0</v>
      </c>
      <c r="S248" s="772">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0</v>
      </c>
      <c r="R249" s="474">
        <f t="shared" si="51"/>
        <v>0</v>
      </c>
      <c r="S249" s="772">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0</v>
      </c>
      <c r="R250" s="474">
        <f t="shared" si="51"/>
        <v>0</v>
      </c>
      <c r="S250" s="772">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0</v>
      </c>
      <c r="R251" s="474">
        <f t="shared" si="51"/>
        <v>0</v>
      </c>
      <c r="S251" s="772">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0</v>
      </c>
      <c r="R252" s="474">
        <f t="shared" si="51"/>
        <v>0</v>
      </c>
      <c r="S252" s="772">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0</v>
      </c>
      <c r="R253" s="474">
        <f t="shared" si="51"/>
        <v>0</v>
      </c>
      <c r="S253" s="772">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0</v>
      </c>
      <c r="R254" s="474">
        <f t="shared" si="51"/>
        <v>0</v>
      </c>
      <c r="S254" s="772">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0</v>
      </c>
      <c r="R255" s="474">
        <f t="shared" si="51"/>
        <v>0</v>
      </c>
      <c r="S255" s="772">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0</v>
      </c>
      <c r="R256" s="474">
        <f t="shared" si="51"/>
        <v>0</v>
      </c>
      <c r="S256" s="772">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0</v>
      </c>
      <c r="R257" s="474">
        <f t="shared" si="51"/>
        <v>0</v>
      </c>
      <c r="S257" s="772">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0</v>
      </c>
      <c r="R258" s="474">
        <f t="shared" si="51"/>
        <v>0</v>
      </c>
      <c r="S258" s="772">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0</v>
      </c>
      <c r="R259" s="474">
        <f t="shared" si="51"/>
        <v>0</v>
      </c>
      <c r="S259" s="772">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0</v>
      </c>
      <c r="R260" s="474">
        <f t="shared" si="51"/>
        <v>0</v>
      </c>
      <c r="S260" s="772">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0</v>
      </c>
      <c r="R261" s="474">
        <f t="shared" si="51"/>
        <v>0</v>
      </c>
      <c r="S261" s="772">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0</v>
      </c>
      <c r="R262" s="474">
        <f t="shared" si="51"/>
        <v>0</v>
      </c>
      <c r="S262" s="772">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0</v>
      </c>
      <c r="R263" s="474">
        <f t="shared" si="51"/>
        <v>0</v>
      </c>
      <c r="S263" s="772">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0</v>
      </c>
      <c r="R264" s="474">
        <f t="shared" si="51"/>
        <v>0</v>
      </c>
      <c r="S264" s="772">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0</v>
      </c>
      <c r="R265" s="474">
        <f t="shared" si="51"/>
        <v>0</v>
      </c>
      <c r="S265" s="772">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0</v>
      </c>
      <c r="R266" s="474">
        <f t="shared" si="51"/>
        <v>0</v>
      </c>
      <c r="S266" s="772">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0</v>
      </c>
      <c r="R267" s="474">
        <f t="shared" si="51"/>
        <v>0</v>
      </c>
      <c r="S267" s="772">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0</v>
      </c>
      <c r="R268" s="474">
        <f t="shared" si="51"/>
        <v>0</v>
      </c>
      <c r="S268" s="772">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0</v>
      </c>
      <c r="R269" s="474">
        <f t="shared" si="51"/>
        <v>0</v>
      </c>
      <c r="S269" s="772">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0</v>
      </c>
      <c r="R270" s="474">
        <f t="shared" si="51"/>
        <v>0</v>
      </c>
      <c r="S270" s="772">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0</v>
      </c>
      <c r="R271" s="474">
        <f t="shared" si="51"/>
        <v>0</v>
      </c>
      <c r="S271" s="772">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0</v>
      </c>
      <c r="R272" s="474">
        <f t="shared" si="51"/>
        <v>0</v>
      </c>
      <c r="S272" s="772">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0</v>
      </c>
      <c r="R273" s="474">
        <f t="shared" si="51"/>
        <v>0</v>
      </c>
      <c r="S273" s="772">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0</v>
      </c>
      <c r="R274" s="474">
        <f t="shared" si="51"/>
        <v>0</v>
      </c>
      <c r="S274" s="772">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0</v>
      </c>
      <c r="R275" s="474">
        <f t="shared" si="51"/>
        <v>0</v>
      </c>
      <c r="S275" s="772">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0</v>
      </c>
      <c r="R276" s="474">
        <f t="shared" si="51"/>
        <v>0</v>
      </c>
      <c r="S276" s="772">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0</v>
      </c>
      <c r="R277" s="474">
        <f t="shared" si="51"/>
        <v>0</v>
      </c>
      <c r="S277" s="772">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0</v>
      </c>
      <c r="R278" s="474">
        <f t="shared" si="51"/>
        <v>0</v>
      </c>
      <c r="S278" s="772">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0</v>
      </c>
      <c r="R279" s="474">
        <f t="shared" si="51"/>
        <v>0</v>
      </c>
      <c r="S279" s="772">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0</v>
      </c>
      <c r="R280" s="474">
        <f t="shared" si="51"/>
        <v>0</v>
      </c>
      <c r="S280" s="772">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0</v>
      </c>
      <c r="R281" s="474">
        <f t="shared" si="51"/>
        <v>0</v>
      </c>
      <c r="S281" s="772">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0</v>
      </c>
      <c r="R282" s="474">
        <f t="shared" ref="R282:R345" si="61">IF(B282="",0,ROUND($R$24*C282*E282*G282*I282*K282*M282*O282*Q282,0))</f>
        <v>0</v>
      </c>
      <c r="S282" s="772">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0</v>
      </c>
      <c r="R283" s="474">
        <f t="shared" si="61"/>
        <v>0</v>
      </c>
      <c r="S283" s="772">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0</v>
      </c>
      <c r="R284" s="474">
        <f t="shared" si="61"/>
        <v>0</v>
      </c>
      <c r="S284" s="772">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0</v>
      </c>
      <c r="R285" s="474">
        <f t="shared" si="61"/>
        <v>0</v>
      </c>
      <c r="S285" s="772">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0</v>
      </c>
      <c r="R286" s="474">
        <f t="shared" si="61"/>
        <v>0</v>
      </c>
      <c r="S286" s="772">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0</v>
      </c>
      <c r="R287" s="474">
        <f t="shared" si="61"/>
        <v>0</v>
      </c>
      <c r="S287" s="772">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0</v>
      </c>
      <c r="R288" s="474">
        <f t="shared" si="61"/>
        <v>0</v>
      </c>
      <c r="S288" s="772">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0</v>
      </c>
      <c r="R289" s="474">
        <f t="shared" si="61"/>
        <v>0</v>
      </c>
      <c r="S289" s="772">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0</v>
      </c>
      <c r="R290" s="474">
        <f t="shared" si="61"/>
        <v>0</v>
      </c>
      <c r="S290" s="772">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0</v>
      </c>
      <c r="R291" s="474">
        <f t="shared" si="61"/>
        <v>0</v>
      </c>
      <c r="S291" s="772">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0</v>
      </c>
      <c r="R292" s="474">
        <f t="shared" si="61"/>
        <v>0</v>
      </c>
      <c r="S292" s="772">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0</v>
      </c>
      <c r="R293" s="474">
        <f t="shared" si="61"/>
        <v>0</v>
      </c>
      <c r="S293" s="772">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0</v>
      </c>
      <c r="R294" s="474">
        <f t="shared" si="61"/>
        <v>0</v>
      </c>
      <c r="S294" s="772">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0</v>
      </c>
      <c r="R295" s="474">
        <f t="shared" si="61"/>
        <v>0</v>
      </c>
      <c r="S295" s="772">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0</v>
      </c>
      <c r="R296" s="474">
        <f t="shared" si="61"/>
        <v>0</v>
      </c>
      <c r="S296" s="772">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0</v>
      </c>
      <c r="R297" s="474">
        <f t="shared" si="61"/>
        <v>0</v>
      </c>
      <c r="S297" s="772">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0</v>
      </c>
      <c r="R298" s="474">
        <f t="shared" si="61"/>
        <v>0</v>
      </c>
      <c r="S298" s="772">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0</v>
      </c>
      <c r="R299" s="474">
        <f t="shared" si="61"/>
        <v>0</v>
      </c>
      <c r="S299" s="772">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0</v>
      </c>
      <c r="R300" s="474">
        <f t="shared" si="61"/>
        <v>0</v>
      </c>
      <c r="S300" s="772">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0</v>
      </c>
      <c r="R301" s="474">
        <f t="shared" si="61"/>
        <v>0</v>
      </c>
      <c r="S301" s="772">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0</v>
      </c>
      <c r="R302" s="474">
        <f t="shared" si="61"/>
        <v>0</v>
      </c>
      <c r="S302" s="772">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0</v>
      </c>
      <c r="R303" s="474">
        <f t="shared" si="61"/>
        <v>0</v>
      </c>
      <c r="S303" s="772">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0</v>
      </c>
      <c r="R304" s="474">
        <f t="shared" si="61"/>
        <v>0</v>
      </c>
      <c r="S304" s="772">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0</v>
      </c>
      <c r="R305" s="474">
        <f t="shared" si="61"/>
        <v>0</v>
      </c>
      <c r="S305" s="772">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0</v>
      </c>
      <c r="R306" s="474">
        <f t="shared" si="61"/>
        <v>0</v>
      </c>
      <c r="S306" s="772">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0</v>
      </c>
      <c r="R307" s="474">
        <f t="shared" si="61"/>
        <v>0</v>
      </c>
      <c r="S307" s="772">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0</v>
      </c>
      <c r="R308" s="474">
        <f t="shared" si="61"/>
        <v>0</v>
      </c>
      <c r="S308" s="772">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0</v>
      </c>
      <c r="R309" s="474">
        <f t="shared" si="61"/>
        <v>0</v>
      </c>
      <c r="S309" s="772">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0</v>
      </c>
      <c r="R310" s="474">
        <f t="shared" si="61"/>
        <v>0</v>
      </c>
      <c r="S310" s="772">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0</v>
      </c>
      <c r="R311" s="474">
        <f t="shared" si="61"/>
        <v>0</v>
      </c>
      <c r="S311" s="772">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0</v>
      </c>
      <c r="R312" s="474">
        <f t="shared" si="61"/>
        <v>0</v>
      </c>
      <c r="S312" s="772">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0</v>
      </c>
      <c r="R313" s="474">
        <f t="shared" si="61"/>
        <v>0</v>
      </c>
      <c r="S313" s="772">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0</v>
      </c>
      <c r="R314" s="474">
        <f t="shared" si="61"/>
        <v>0</v>
      </c>
      <c r="S314" s="772">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0</v>
      </c>
      <c r="R315" s="474">
        <f t="shared" si="61"/>
        <v>0</v>
      </c>
      <c r="S315" s="772">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0</v>
      </c>
      <c r="R316" s="474">
        <f t="shared" si="61"/>
        <v>0</v>
      </c>
      <c r="S316" s="772">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0</v>
      </c>
      <c r="R317" s="474">
        <f t="shared" si="61"/>
        <v>0</v>
      </c>
      <c r="S317" s="772">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0</v>
      </c>
      <c r="R318" s="474">
        <f t="shared" si="61"/>
        <v>0</v>
      </c>
      <c r="S318" s="772">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0</v>
      </c>
      <c r="R319" s="474">
        <f t="shared" si="61"/>
        <v>0</v>
      </c>
      <c r="S319" s="772">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0</v>
      </c>
      <c r="R320" s="474">
        <f t="shared" si="61"/>
        <v>0</v>
      </c>
      <c r="S320" s="772">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0</v>
      </c>
      <c r="R321" s="474">
        <f t="shared" si="61"/>
        <v>0</v>
      </c>
      <c r="S321" s="772">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0</v>
      </c>
      <c r="R322" s="474">
        <f t="shared" si="61"/>
        <v>0</v>
      </c>
      <c r="S322" s="772">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0</v>
      </c>
      <c r="R323" s="474">
        <f t="shared" si="61"/>
        <v>0</v>
      </c>
      <c r="S323" s="772">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0</v>
      </c>
      <c r="R324" s="474">
        <f t="shared" si="61"/>
        <v>0</v>
      </c>
      <c r="S324" s="772">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0</v>
      </c>
      <c r="R325" s="474">
        <f t="shared" si="61"/>
        <v>0</v>
      </c>
      <c r="S325" s="772">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0</v>
      </c>
      <c r="R326" s="474">
        <f t="shared" si="61"/>
        <v>0</v>
      </c>
      <c r="S326" s="772">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0</v>
      </c>
      <c r="R327" s="474">
        <f t="shared" si="61"/>
        <v>0</v>
      </c>
      <c r="S327" s="772">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0</v>
      </c>
      <c r="R328" s="474">
        <f t="shared" si="61"/>
        <v>0</v>
      </c>
      <c r="S328" s="772">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0</v>
      </c>
      <c r="R329" s="474">
        <f t="shared" si="61"/>
        <v>0</v>
      </c>
      <c r="S329" s="772">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0</v>
      </c>
      <c r="R330" s="474">
        <f t="shared" si="61"/>
        <v>0</v>
      </c>
      <c r="S330" s="772">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0</v>
      </c>
      <c r="R331" s="474">
        <f t="shared" si="61"/>
        <v>0</v>
      </c>
      <c r="S331" s="772">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0</v>
      </c>
      <c r="R332" s="474">
        <f t="shared" si="61"/>
        <v>0</v>
      </c>
      <c r="S332" s="772">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0</v>
      </c>
      <c r="R333" s="474">
        <f t="shared" si="61"/>
        <v>0</v>
      </c>
      <c r="S333" s="772">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0</v>
      </c>
      <c r="R334" s="474">
        <f t="shared" si="61"/>
        <v>0</v>
      </c>
      <c r="S334" s="772">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0</v>
      </c>
      <c r="R335" s="474">
        <f t="shared" si="61"/>
        <v>0</v>
      </c>
      <c r="S335" s="772">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0</v>
      </c>
      <c r="R336" s="474">
        <f t="shared" si="61"/>
        <v>0</v>
      </c>
      <c r="S336" s="772">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0</v>
      </c>
      <c r="R337" s="474">
        <f t="shared" si="61"/>
        <v>0</v>
      </c>
      <c r="S337" s="772">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0</v>
      </c>
      <c r="R338" s="474">
        <f t="shared" si="61"/>
        <v>0</v>
      </c>
      <c r="S338" s="772">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0</v>
      </c>
      <c r="R339" s="474">
        <f t="shared" si="61"/>
        <v>0</v>
      </c>
      <c r="S339" s="772">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0</v>
      </c>
      <c r="R340" s="474">
        <f t="shared" si="61"/>
        <v>0</v>
      </c>
      <c r="S340" s="772">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0</v>
      </c>
      <c r="R341" s="474">
        <f t="shared" si="61"/>
        <v>0</v>
      </c>
      <c r="S341" s="772">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0</v>
      </c>
      <c r="R342" s="474">
        <f t="shared" si="61"/>
        <v>0</v>
      </c>
      <c r="S342" s="772">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0</v>
      </c>
      <c r="R343" s="474">
        <f t="shared" si="61"/>
        <v>0</v>
      </c>
      <c r="S343" s="772">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0</v>
      </c>
      <c r="R344" s="474">
        <f t="shared" si="61"/>
        <v>0</v>
      </c>
      <c r="S344" s="772">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0</v>
      </c>
      <c r="R345" s="474">
        <f t="shared" si="61"/>
        <v>0</v>
      </c>
      <c r="S345" s="772">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0</v>
      </c>
      <c r="R346" s="474">
        <f t="shared" ref="R346:R409" si="72">IF(B346="",0,ROUND($R$24*C346*E346*G346*I346*K346*M346*O346*Q346,0))</f>
        <v>0</v>
      </c>
      <c r="S346" s="772">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0</v>
      </c>
      <c r="R347" s="474">
        <f t="shared" si="72"/>
        <v>0</v>
      </c>
      <c r="S347" s="772">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0</v>
      </c>
      <c r="R348" s="474">
        <f t="shared" si="72"/>
        <v>0</v>
      </c>
      <c r="S348" s="772">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0</v>
      </c>
      <c r="R349" s="474">
        <f t="shared" si="72"/>
        <v>0</v>
      </c>
      <c r="S349" s="772">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0</v>
      </c>
      <c r="R350" s="474">
        <f t="shared" si="72"/>
        <v>0</v>
      </c>
      <c r="S350" s="772">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0</v>
      </c>
      <c r="R351" s="474">
        <f t="shared" si="72"/>
        <v>0</v>
      </c>
      <c r="S351" s="772">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0</v>
      </c>
      <c r="R352" s="474">
        <f t="shared" si="72"/>
        <v>0</v>
      </c>
      <c r="S352" s="772">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0</v>
      </c>
      <c r="R353" s="474">
        <f t="shared" si="72"/>
        <v>0</v>
      </c>
      <c r="S353" s="772">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0</v>
      </c>
      <c r="R354" s="474">
        <f t="shared" si="72"/>
        <v>0</v>
      </c>
      <c r="S354" s="772">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0</v>
      </c>
      <c r="R355" s="474">
        <f t="shared" si="72"/>
        <v>0</v>
      </c>
      <c r="S355" s="772">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0</v>
      </c>
      <c r="R356" s="474">
        <f t="shared" si="72"/>
        <v>0</v>
      </c>
      <c r="S356" s="772">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0</v>
      </c>
      <c r="R357" s="474">
        <f t="shared" si="72"/>
        <v>0</v>
      </c>
      <c r="S357" s="772">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0</v>
      </c>
      <c r="R358" s="474">
        <f t="shared" si="72"/>
        <v>0</v>
      </c>
      <c r="S358" s="772">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0</v>
      </c>
      <c r="R359" s="474">
        <f t="shared" si="72"/>
        <v>0</v>
      </c>
      <c r="S359" s="772">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0</v>
      </c>
      <c r="R360" s="474">
        <f t="shared" si="72"/>
        <v>0</v>
      </c>
      <c r="S360" s="772">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0</v>
      </c>
      <c r="R361" s="474">
        <f t="shared" si="72"/>
        <v>0</v>
      </c>
      <c r="S361" s="772">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0</v>
      </c>
      <c r="R362" s="474">
        <f t="shared" si="72"/>
        <v>0</v>
      </c>
      <c r="S362" s="772">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0</v>
      </c>
      <c r="R363" s="474">
        <f t="shared" si="72"/>
        <v>0</v>
      </c>
      <c r="S363" s="772">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0</v>
      </c>
      <c r="R364" s="474">
        <f t="shared" si="72"/>
        <v>0</v>
      </c>
      <c r="S364" s="772">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0</v>
      </c>
      <c r="R365" s="474">
        <f t="shared" si="72"/>
        <v>0</v>
      </c>
      <c r="S365" s="772">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0</v>
      </c>
      <c r="R366" s="474">
        <f t="shared" si="72"/>
        <v>0</v>
      </c>
      <c r="S366" s="772">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0</v>
      </c>
      <c r="R367" s="474">
        <f t="shared" si="72"/>
        <v>0</v>
      </c>
      <c r="S367" s="772">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0</v>
      </c>
      <c r="R368" s="474">
        <f t="shared" si="72"/>
        <v>0</v>
      </c>
      <c r="S368" s="772">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0</v>
      </c>
      <c r="R369" s="474">
        <f t="shared" si="72"/>
        <v>0</v>
      </c>
      <c r="S369" s="772">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0</v>
      </c>
      <c r="R370" s="474">
        <f t="shared" si="72"/>
        <v>0</v>
      </c>
      <c r="S370" s="772">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0</v>
      </c>
      <c r="R371" s="474">
        <f t="shared" si="72"/>
        <v>0</v>
      </c>
      <c r="S371" s="772">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0</v>
      </c>
      <c r="R372" s="474">
        <f t="shared" si="72"/>
        <v>0</v>
      </c>
      <c r="S372" s="772">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0</v>
      </c>
      <c r="R373" s="474">
        <f t="shared" si="72"/>
        <v>0</v>
      </c>
      <c r="S373" s="772">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0</v>
      </c>
      <c r="R374" s="474">
        <f t="shared" si="72"/>
        <v>0</v>
      </c>
      <c r="S374" s="772">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0</v>
      </c>
      <c r="R375" s="474">
        <f t="shared" si="72"/>
        <v>0</v>
      </c>
      <c r="S375" s="772">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0</v>
      </c>
      <c r="R376" s="474">
        <f t="shared" si="72"/>
        <v>0</v>
      </c>
      <c r="S376" s="772">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0</v>
      </c>
      <c r="R377" s="474">
        <f t="shared" si="72"/>
        <v>0</v>
      </c>
      <c r="S377" s="772">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0</v>
      </c>
      <c r="R378" s="474">
        <f t="shared" si="72"/>
        <v>0</v>
      </c>
      <c r="S378" s="772">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0</v>
      </c>
      <c r="R379" s="474">
        <f t="shared" si="72"/>
        <v>0</v>
      </c>
      <c r="S379" s="772">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0</v>
      </c>
      <c r="R380" s="474">
        <f t="shared" si="72"/>
        <v>0</v>
      </c>
      <c r="S380" s="772">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0</v>
      </c>
      <c r="R381" s="474">
        <f t="shared" si="72"/>
        <v>0</v>
      </c>
      <c r="S381" s="772">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0</v>
      </c>
      <c r="R382" s="474">
        <f t="shared" si="72"/>
        <v>0</v>
      </c>
      <c r="S382" s="772">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0</v>
      </c>
      <c r="R383" s="474">
        <f t="shared" si="72"/>
        <v>0</v>
      </c>
      <c r="S383" s="772">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0</v>
      </c>
      <c r="R384" s="474">
        <f t="shared" si="72"/>
        <v>0</v>
      </c>
      <c r="S384" s="772">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0</v>
      </c>
      <c r="R385" s="474">
        <f t="shared" si="72"/>
        <v>0</v>
      </c>
      <c r="S385" s="772">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0</v>
      </c>
      <c r="R386" s="474">
        <f t="shared" si="72"/>
        <v>0</v>
      </c>
      <c r="S386" s="772">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0</v>
      </c>
      <c r="R387" s="474">
        <f t="shared" si="72"/>
        <v>0</v>
      </c>
      <c r="S387" s="772">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0</v>
      </c>
      <c r="R388" s="474">
        <f t="shared" si="72"/>
        <v>0</v>
      </c>
      <c r="S388" s="772">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0</v>
      </c>
      <c r="R389" s="474">
        <f t="shared" si="72"/>
        <v>0</v>
      </c>
      <c r="S389" s="772">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0</v>
      </c>
      <c r="R390" s="474">
        <f t="shared" si="72"/>
        <v>0</v>
      </c>
      <c r="S390" s="772">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0</v>
      </c>
      <c r="R391" s="474">
        <f t="shared" si="72"/>
        <v>0</v>
      </c>
      <c r="S391" s="772">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0</v>
      </c>
      <c r="R392" s="474">
        <f t="shared" si="72"/>
        <v>0</v>
      </c>
      <c r="S392" s="772">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0</v>
      </c>
      <c r="R393" s="474">
        <f t="shared" si="72"/>
        <v>0</v>
      </c>
      <c r="S393" s="772">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0</v>
      </c>
      <c r="R394" s="474">
        <f t="shared" si="72"/>
        <v>0</v>
      </c>
      <c r="S394" s="772">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0</v>
      </c>
      <c r="R395" s="474">
        <f t="shared" si="72"/>
        <v>0</v>
      </c>
      <c r="S395" s="772">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0</v>
      </c>
      <c r="R396" s="474">
        <f t="shared" si="72"/>
        <v>0</v>
      </c>
      <c r="S396" s="772">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0</v>
      </c>
      <c r="R397" s="474">
        <f t="shared" si="72"/>
        <v>0</v>
      </c>
      <c r="S397" s="772">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0</v>
      </c>
      <c r="R398" s="474">
        <f t="shared" si="72"/>
        <v>0</v>
      </c>
      <c r="S398" s="772">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0</v>
      </c>
      <c r="R399" s="474">
        <f t="shared" si="72"/>
        <v>0</v>
      </c>
      <c r="S399" s="772">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0</v>
      </c>
      <c r="R400" s="474">
        <f t="shared" si="72"/>
        <v>0</v>
      </c>
      <c r="S400" s="772">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0</v>
      </c>
      <c r="R401" s="474">
        <f t="shared" si="72"/>
        <v>0</v>
      </c>
      <c r="S401" s="772">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0</v>
      </c>
      <c r="R402" s="474">
        <f t="shared" si="72"/>
        <v>0</v>
      </c>
      <c r="S402" s="772">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0</v>
      </c>
      <c r="R403" s="474">
        <f t="shared" si="72"/>
        <v>0</v>
      </c>
      <c r="S403" s="772">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0</v>
      </c>
      <c r="R404" s="474">
        <f t="shared" si="72"/>
        <v>0</v>
      </c>
      <c r="S404" s="772">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0</v>
      </c>
      <c r="R405" s="474">
        <f t="shared" si="72"/>
        <v>0</v>
      </c>
      <c r="S405" s="772">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0</v>
      </c>
      <c r="R406" s="474">
        <f t="shared" si="72"/>
        <v>0</v>
      </c>
      <c r="S406" s="772">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0</v>
      </c>
      <c r="R407" s="474">
        <f t="shared" si="72"/>
        <v>0</v>
      </c>
      <c r="S407" s="772">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0</v>
      </c>
      <c r="R408" s="474">
        <f t="shared" si="72"/>
        <v>0</v>
      </c>
      <c r="S408" s="772">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0</v>
      </c>
      <c r="R409" s="474">
        <f t="shared" si="72"/>
        <v>0</v>
      </c>
      <c r="S409" s="772">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0</v>
      </c>
      <c r="R410" s="474">
        <f t="shared" ref="R410:R473" si="82">IF(B410="",0,ROUND($R$24*C410*E410*G410*I410*K410*M410*O410*Q410,0))</f>
        <v>0</v>
      </c>
      <c r="S410" s="772">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0</v>
      </c>
      <c r="R411" s="474">
        <f t="shared" si="82"/>
        <v>0</v>
      </c>
      <c r="S411" s="772">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0</v>
      </c>
      <c r="R412" s="474">
        <f t="shared" si="82"/>
        <v>0</v>
      </c>
      <c r="S412" s="772">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0</v>
      </c>
      <c r="R413" s="474">
        <f t="shared" si="82"/>
        <v>0</v>
      </c>
      <c r="S413" s="772">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0</v>
      </c>
      <c r="R414" s="474">
        <f t="shared" si="82"/>
        <v>0</v>
      </c>
      <c r="S414" s="772">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0</v>
      </c>
      <c r="R415" s="474">
        <f t="shared" si="82"/>
        <v>0</v>
      </c>
      <c r="S415" s="772">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0</v>
      </c>
      <c r="R416" s="474">
        <f t="shared" si="82"/>
        <v>0</v>
      </c>
      <c r="S416" s="772">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0</v>
      </c>
      <c r="R417" s="474">
        <f t="shared" si="82"/>
        <v>0</v>
      </c>
      <c r="S417" s="772">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0</v>
      </c>
      <c r="R418" s="474">
        <f t="shared" si="82"/>
        <v>0</v>
      </c>
      <c r="S418" s="772">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0</v>
      </c>
      <c r="R419" s="474">
        <f t="shared" si="82"/>
        <v>0</v>
      </c>
      <c r="S419" s="772">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0</v>
      </c>
      <c r="R420" s="474">
        <f t="shared" si="82"/>
        <v>0</v>
      </c>
      <c r="S420" s="772">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0</v>
      </c>
      <c r="R421" s="474">
        <f t="shared" si="82"/>
        <v>0</v>
      </c>
      <c r="S421" s="772">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0</v>
      </c>
      <c r="R422" s="474">
        <f t="shared" si="82"/>
        <v>0</v>
      </c>
      <c r="S422" s="772">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0</v>
      </c>
      <c r="R423" s="474">
        <f t="shared" si="82"/>
        <v>0</v>
      </c>
      <c r="S423" s="772">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0</v>
      </c>
      <c r="R424" s="474">
        <f t="shared" si="82"/>
        <v>0</v>
      </c>
      <c r="S424" s="772">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0</v>
      </c>
      <c r="R425" s="474">
        <f t="shared" si="82"/>
        <v>0</v>
      </c>
      <c r="S425" s="772">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0</v>
      </c>
      <c r="R426" s="474">
        <f t="shared" si="82"/>
        <v>0</v>
      </c>
      <c r="S426" s="772">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0</v>
      </c>
      <c r="R427" s="474">
        <f t="shared" si="82"/>
        <v>0</v>
      </c>
      <c r="S427" s="772">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0</v>
      </c>
      <c r="R428" s="474">
        <f t="shared" si="82"/>
        <v>0</v>
      </c>
      <c r="S428" s="772">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0</v>
      </c>
      <c r="R429" s="474">
        <f t="shared" si="82"/>
        <v>0</v>
      </c>
      <c r="S429" s="772">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0</v>
      </c>
      <c r="R430" s="474">
        <f t="shared" si="82"/>
        <v>0</v>
      </c>
      <c r="S430" s="772">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0</v>
      </c>
      <c r="R431" s="474">
        <f t="shared" si="82"/>
        <v>0</v>
      </c>
      <c r="S431" s="772">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0</v>
      </c>
      <c r="R432" s="474">
        <f t="shared" si="82"/>
        <v>0</v>
      </c>
      <c r="S432" s="772">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0</v>
      </c>
      <c r="R433" s="474">
        <f t="shared" si="82"/>
        <v>0</v>
      </c>
      <c r="S433" s="772">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0</v>
      </c>
      <c r="R434" s="474">
        <f t="shared" si="82"/>
        <v>0</v>
      </c>
      <c r="S434" s="772">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0</v>
      </c>
      <c r="R435" s="474">
        <f t="shared" si="82"/>
        <v>0</v>
      </c>
      <c r="S435" s="772">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0</v>
      </c>
      <c r="R436" s="474">
        <f t="shared" si="82"/>
        <v>0</v>
      </c>
      <c r="S436" s="772">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0</v>
      </c>
      <c r="R437" s="474">
        <f t="shared" si="82"/>
        <v>0</v>
      </c>
      <c r="S437" s="772">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0</v>
      </c>
      <c r="R438" s="474">
        <f t="shared" si="82"/>
        <v>0</v>
      </c>
      <c r="S438" s="772">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0</v>
      </c>
      <c r="R439" s="474">
        <f t="shared" si="82"/>
        <v>0</v>
      </c>
      <c r="S439" s="772">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0</v>
      </c>
      <c r="R440" s="474">
        <f t="shared" si="82"/>
        <v>0</v>
      </c>
      <c r="S440" s="772">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0</v>
      </c>
      <c r="R441" s="474">
        <f t="shared" si="82"/>
        <v>0</v>
      </c>
      <c r="S441" s="772">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0</v>
      </c>
      <c r="R442" s="474">
        <f t="shared" si="82"/>
        <v>0</v>
      </c>
      <c r="S442" s="772">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0</v>
      </c>
      <c r="R443" s="474">
        <f t="shared" si="82"/>
        <v>0</v>
      </c>
      <c r="S443" s="772">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0</v>
      </c>
      <c r="R444" s="474">
        <f t="shared" si="82"/>
        <v>0</v>
      </c>
      <c r="S444" s="772">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0</v>
      </c>
      <c r="R445" s="474">
        <f t="shared" si="82"/>
        <v>0</v>
      </c>
      <c r="S445" s="772">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0</v>
      </c>
      <c r="R446" s="474">
        <f t="shared" si="82"/>
        <v>0</v>
      </c>
      <c r="S446" s="772">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0</v>
      </c>
      <c r="R447" s="474">
        <f t="shared" si="82"/>
        <v>0</v>
      </c>
      <c r="S447" s="772">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0</v>
      </c>
      <c r="R448" s="474">
        <f t="shared" si="82"/>
        <v>0</v>
      </c>
      <c r="S448" s="772">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0</v>
      </c>
      <c r="R449" s="474">
        <f t="shared" si="82"/>
        <v>0</v>
      </c>
      <c r="S449" s="772">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0</v>
      </c>
      <c r="R450" s="474">
        <f t="shared" si="82"/>
        <v>0</v>
      </c>
      <c r="S450" s="772">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0</v>
      </c>
      <c r="R451" s="474">
        <f t="shared" si="82"/>
        <v>0</v>
      </c>
      <c r="S451" s="772">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0</v>
      </c>
      <c r="R452" s="474">
        <f t="shared" si="82"/>
        <v>0</v>
      </c>
      <c r="S452" s="772">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0</v>
      </c>
      <c r="R453" s="474">
        <f t="shared" si="82"/>
        <v>0</v>
      </c>
      <c r="S453" s="772">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0</v>
      </c>
      <c r="R454" s="474">
        <f t="shared" si="82"/>
        <v>0</v>
      </c>
      <c r="S454" s="772">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0</v>
      </c>
      <c r="R455" s="474">
        <f t="shared" si="82"/>
        <v>0</v>
      </c>
      <c r="S455" s="772">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0</v>
      </c>
      <c r="R456" s="474">
        <f t="shared" si="82"/>
        <v>0</v>
      </c>
      <c r="S456" s="772">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0</v>
      </c>
      <c r="R457" s="474">
        <f t="shared" si="82"/>
        <v>0</v>
      </c>
      <c r="S457" s="772">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0</v>
      </c>
      <c r="R458" s="474">
        <f t="shared" si="82"/>
        <v>0</v>
      </c>
      <c r="S458" s="772">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0</v>
      </c>
      <c r="R459" s="474">
        <f t="shared" si="82"/>
        <v>0</v>
      </c>
      <c r="S459" s="772">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0</v>
      </c>
      <c r="R460" s="474">
        <f t="shared" si="82"/>
        <v>0</v>
      </c>
      <c r="S460" s="772">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0</v>
      </c>
      <c r="R461" s="474">
        <f t="shared" si="82"/>
        <v>0</v>
      </c>
      <c r="S461" s="772">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0</v>
      </c>
      <c r="R462" s="474">
        <f t="shared" si="82"/>
        <v>0</v>
      </c>
      <c r="S462" s="772">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0</v>
      </c>
      <c r="R463" s="474">
        <f t="shared" si="82"/>
        <v>0</v>
      </c>
      <c r="S463" s="772">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0</v>
      </c>
      <c r="R464" s="474">
        <f t="shared" si="82"/>
        <v>0</v>
      </c>
      <c r="S464" s="772">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0</v>
      </c>
      <c r="R465" s="474">
        <f t="shared" si="82"/>
        <v>0</v>
      </c>
      <c r="S465" s="772">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0</v>
      </c>
      <c r="R466" s="474">
        <f t="shared" si="82"/>
        <v>0</v>
      </c>
      <c r="S466" s="772">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0</v>
      </c>
      <c r="R467" s="474">
        <f t="shared" si="82"/>
        <v>0</v>
      </c>
      <c r="S467" s="772">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0</v>
      </c>
      <c r="R468" s="474">
        <f t="shared" si="82"/>
        <v>0</v>
      </c>
      <c r="S468" s="772">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0</v>
      </c>
      <c r="R469" s="474">
        <f t="shared" si="82"/>
        <v>0</v>
      </c>
      <c r="S469" s="772">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0</v>
      </c>
      <c r="R470" s="474">
        <f t="shared" si="82"/>
        <v>0</v>
      </c>
      <c r="S470" s="772">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0</v>
      </c>
      <c r="R471" s="474">
        <f t="shared" si="82"/>
        <v>0</v>
      </c>
      <c r="S471" s="772">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0</v>
      </c>
      <c r="R472" s="474">
        <f t="shared" si="82"/>
        <v>0</v>
      </c>
      <c r="S472" s="772">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0</v>
      </c>
      <c r="R473" s="474">
        <f t="shared" si="82"/>
        <v>0</v>
      </c>
      <c r="S473" s="772">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0</v>
      </c>
      <c r="R474" s="474">
        <f t="shared" ref="R474:R524" si="93">IF(B474="",0,ROUND($R$24*C474*E474*G474*I474*K474*M474*O474*Q474,0))</f>
        <v>0</v>
      </c>
      <c r="S474" s="772">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0</v>
      </c>
      <c r="R475" s="474">
        <f t="shared" si="93"/>
        <v>0</v>
      </c>
      <c r="S475" s="772">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0</v>
      </c>
      <c r="R476" s="474">
        <f t="shared" si="93"/>
        <v>0</v>
      </c>
      <c r="S476" s="772">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0</v>
      </c>
      <c r="R477" s="474">
        <f t="shared" si="93"/>
        <v>0</v>
      </c>
      <c r="S477" s="772">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0</v>
      </c>
      <c r="R478" s="474">
        <f t="shared" si="93"/>
        <v>0</v>
      </c>
      <c r="S478" s="772">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0</v>
      </c>
      <c r="R479" s="474">
        <f t="shared" si="93"/>
        <v>0</v>
      </c>
      <c r="S479" s="772">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0</v>
      </c>
      <c r="R480" s="474">
        <f t="shared" si="93"/>
        <v>0</v>
      </c>
      <c r="S480" s="772">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0</v>
      </c>
      <c r="R481" s="474">
        <f t="shared" si="93"/>
        <v>0</v>
      </c>
      <c r="S481" s="772">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0</v>
      </c>
      <c r="R482" s="474">
        <f t="shared" si="93"/>
        <v>0</v>
      </c>
      <c r="S482" s="772">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0</v>
      </c>
      <c r="R483" s="474">
        <f t="shared" si="93"/>
        <v>0</v>
      </c>
      <c r="S483" s="772">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0</v>
      </c>
      <c r="R484" s="474">
        <f t="shared" si="93"/>
        <v>0</v>
      </c>
      <c r="S484" s="772">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0</v>
      </c>
      <c r="R485" s="474">
        <f t="shared" si="93"/>
        <v>0</v>
      </c>
      <c r="S485" s="772">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0</v>
      </c>
      <c r="R486" s="474">
        <f t="shared" si="93"/>
        <v>0</v>
      </c>
      <c r="S486" s="772">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0</v>
      </c>
      <c r="R487" s="474">
        <f t="shared" si="93"/>
        <v>0</v>
      </c>
      <c r="S487" s="772">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0</v>
      </c>
      <c r="R488" s="474">
        <f t="shared" si="93"/>
        <v>0</v>
      </c>
      <c r="S488" s="772">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0</v>
      </c>
      <c r="R489" s="474">
        <f t="shared" si="93"/>
        <v>0</v>
      </c>
      <c r="S489" s="772">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0</v>
      </c>
      <c r="R490" s="474">
        <f t="shared" si="93"/>
        <v>0</v>
      </c>
      <c r="S490" s="772">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0</v>
      </c>
      <c r="R491" s="474">
        <f t="shared" si="93"/>
        <v>0</v>
      </c>
      <c r="S491" s="772">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0</v>
      </c>
      <c r="R492" s="474">
        <f t="shared" si="93"/>
        <v>0</v>
      </c>
      <c r="S492" s="772">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0</v>
      </c>
      <c r="R493" s="474">
        <f t="shared" si="93"/>
        <v>0</v>
      </c>
      <c r="S493" s="772">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0</v>
      </c>
      <c r="R494" s="474">
        <f t="shared" si="93"/>
        <v>0</v>
      </c>
      <c r="S494" s="772">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0</v>
      </c>
      <c r="R495" s="474">
        <f t="shared" si="93"/>
        <v>0</v>
      </c>
      <c r="S495" s="772">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0</v>
      </c>
      <c r="R496" s="474">
        <f t="shared" si="93"/>
        <v>0</v>
      </c>
      <c r="S496" s="772">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0</v>
      </c>
      <c r="R497" s="474">
        <f t="shared" si="93"/>
        <v>0</v>
      </c>
      <c r="S497" s="772">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0</v>
      </c>
      <c r="R498" s="474">
        <f t="shared" si="93"/>
        <v>0</v>
      </c>
      <c r="S498" s="772">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0</v>
      </c>
      <c r="R499" s="474">
        <f t="shared" si="93"/>
        <v>0</v>
      </c>
      <c r="S499" s="772">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0</v>
      </c>
      <c r="R500" s="474">
        <f t="shared" si="93"/>
        <v>0</v>
      </c>
      <c r="S500" s="772">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0</v>
      </c>
      <c r="R501" s="474">
        <f t="shared" si="93"/>
        <v>0</v>
      </c>
      <c r="S501" s="772">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0</v>
      </c>
      <c r="R502" s="474">
        <f t="shared" si="93"/>
        <v>0</v>
      </c>
      <c r="S502" s="772">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0</v>
      </c>
      <c r="R503" s="474">
        <f t="shared" si="93"/>
        <v>0</v>
      </c>
      <c r="S503" s="772">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0</v>
      </c>
      <c r="R504" s="474">
        <f t="shared" si="93"/>
        <v>0</v>
      </c>
      <c r="S504" s="772">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0</v>
      </c>
      <c r="R505" s="474">
        <f t="shared" si="93"/>
        <v>0</v>
      </c>
      <c r="S505" s="772">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0</v>
      </c>
      <c r="R506" s="474">
        <f t="shared" si="93"/>
        <v>0</v>
      </c>
      <c r="S506" s="772">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0</v>
      </c>
      <c r="R507" s="474">
        <f t="shared" si="93"/>
        <v>0</v>
      </c>
      <c r="S507" s="772">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0</v>
      </c>
      <c r="R508" s="474">
        <f t="shared" si="93"/>
        <v>0</v>
      </c>
      <c r="S508" s="772">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0</v>
      </c>
      <c r="R509" s="474">
        <f t="shared" si="93"/>
        <v>0</v>
      </c>
      <c r="S509" s="772">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0</v>
      </c>
      <c r="R510" s="474">
        <f t="shared" si="93"/>
        <v>0</v>
      </c>
      <c r="S510" s="772">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0</v>
      </c>
      <c r="R511" s="474">
        <f t="shared" si="93"/>
        <v>0</v>
      </c>
      <c r="S511" s="772">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0</v>
      </c>
      <c r="R512" s="474">
        <f t="shared" si="93"/>
        <v>0</v>
      </c>
      <c r="S512" s="772">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0</v>
      </c>
      <c r="R513" s="474">
        <f t="shared" si="93"/>
        <v>0</v>
      </c>
      <c r="S513" s="772">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0</v>
      </c>
      <c r="R514" s="474">
        <f t="shared" si="93"/>
        <v>0</v>
      </c>
      <c r="S514" s="772">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0</v>
      </c>
      <c r="R515" s="474">
        <f t="shared" si="93"/>
        <v>0</v>
      </c>
      <c r="S515" s="772">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0</v>
      </c>
      <c r="R516" s="474">
        <f t="shared" si="93"/>
        <v>0</v>
      </c>
      <c r="S516" s="772">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0</v>
      </c>
      <c r="R517" s="474">
        <f t="shared" si="93"/>
        <v>0</v>
      </c>
      <c r="S517" s="772">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0</v>
      </c>
      <c r="R518" s="474">
        <f t="shared" si="93"/>
        <v>0</v>
      </c>
      <c r="S518" s="772">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0</v>
      </c>
      <c r="R519" s="474">
        <f t="shared" si="93"/>
        <v>0</v>
      </c>
      <c r="S519" s="772">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0</v>
      </c>
      <c r="R520" s="474">
        <f t="shared" si="93"/>
        <v>0</v>
      </c>
      <c r="S520" s="772">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0</v>
      </c>
      <c r="R521" s="474">
        <f t="shared" si="93"/>
        <v>0</v>
      </c>
      <c r="S521" s="772">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0</v>
      </c>
      <c r="R522" s="474">
        <f t="shared" si="93"/>
        <v>0</v>
      </c>
      <c r="S522" s="772">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0</v>
      </c>
      <c r="R523" s="474">
        <f t="shared" si="93"/>
        <v>0</v>
      </c>
      <c r="S523" s="772">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0</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58"/>
      <c r="S525" s="255"/>
    </row>
    <row r="526" spans="1:19">
      <c r="A526" s="255"/>
      <c r="B526" s="57"/>
      <c r="C526" s="57"/>
      <c r="D526" s="57"/>
      <c r="E526" s="57"/>
      <c r="F526" s="57"/>
      <c r="G526" s="57"/>
      <c r="H526" s="57"/>
      <c r="I526" s="57"/>
      <c r="J526" s="57"/>
      <c r="K526" s="57"/>
      <c r="L526" s="57"/>
      <c r="M526" s="57"/>
      <c r="N526" s="57"/>
      <c r="O526" s="57"/>
      <c r="P526" s="57"/>
      <c r="Q526" s="57"/>
      <c r="R526" s="2058"/>
      <c r="S526" s="255"/>
    </row>
    <row r="527" spans="1:19">
      <c r="A527" s="255"/>
      <c r="B527" s="57"/>
      <c r="C527" s="57"/>
      <c r="D527" s="57"/>
      <c r="E527" s="57"/>
      <c r="F527" s="57"/>
      <c r="G527" s="57"/>
      <c r="H527" s="57"/>
      <c r="I527" s="57"/>
      <c r="J527" s="57"/>
      <c r="K527" s="57"/>
      <c r="L527" s="57"/>
      <c r="M527" s="57"/>
      <c r="N527" s="57"/>
      <c r="O527" s="57"/>
      <c r="P527" s="57"/>
      <c r="Q527" s="57"/>
      <c r="R527" s="2058"/>
      <c r="S527" s="255"/>
    </row>
    <row r="528" spans="1:19">
      <c r="A528" s="255"/>
      <c r="B528" s="57"/>
      <c r="C528" s="57"/>
      <c r="D528" s="57"/>
      <c r="E528" s="57"/>
      <c r="F528" s="57"/>
      <c r="G528" s="57"/>
      <c r="H528" s="57"/>
      <c r="I528" s="57"/>
      <c r="J528" s="57"/>
      <c r="K528" s="57"/>
      <c r="L528" s="57"/>
      <c r="M528" s="57"/>
      <c r="N528" s="57"/>
      <c r="O528" s="57"/>
      <c r="P528" s="57"/>
      <c r="Q528" s="57"/>
      <c r="R528" s="2058"/>
      <c r="S528" s="255"/>
    </row>
    <row r="529" spans="1:19">
      <c r="A529" s="255"/>
      <c r="B529" s="57"/>
      <c r="C529" s="57"/>
      <c r="D529" s="57"/>
      <c r="E529" s="57"/>
      <c r="F529" s="57"/>
      <c r="G529" s="57"/>
      <c r="H529" s="57"/>
      <c r="I529" s="57"/>
      <c r="J529" s="57"/>
      <c r="K529" s="57"/>
      <c r="L529" s="57"/>
      <c r="M529" s="57"/>
      <c r="N529" s="57"/>
      <c r="O529" s="57"/>
      <c r="P529" s="57"/>
      <c r="Q529" s="57"/>
      <c r="R529" s="2058"/>
      <c r="S529" s="255"/>
    </row>
    <row r="530" spans="1:19">
      <c r="A530" s="255"/>
      <c r="B530" s="57"/>
      <c r="C530" s="57"/>
      <c r="D530" s="57"/>
      <c r="E530" s="57"/>
      <c r="F530" s="57"/>
      <c r="G530" s="57"/>
      <c r="H530" s="57"/>
      <c r="I530" s="57"/>
      <c r="J530" s="57"/>
      <c r="K530" s="57"/>
      <c r="L530" s="57"/>
      <c r="M530" s="57"/>
      <c r="N530" s="57"/>
      <c r="O530" s="57"/>
      <c r="P530" s="57"/>
      <c r="Q530" s="57"/>
      <c r="R530" s="2058"/>
      <c r="S530" s="255"/>
    </row>
    <row r="531" spans="1:19">
      <c r="A531" s="255"/>
      <c r="B531" s="57"/>
      <c r="C531" s="57"/>
      <c r="D531" s="57"/>
      <c r="E531" s="57"/>
      <c r="F531" s="57"/>
      <c r="G531" s="57"/>
      <c r="H531" s="57"/>
      <c r="I531" s="57"/>
      <c r="J531" s="57"/>
      <c r="K531" s="57"/>
      <c r="L531" s="57"/>
      <c r="M531" s="57"/>
      <c r="N531" s="57"/>
      <c r="O531" s="57"/>
      <c r="P531" s="57"/>
      <c r="Q531" s="57"/>
      <c r="R531" s="2058"/>
      <c r="S531" s="255"/>
    </row>
    <row r="532" spans="1:19">
      <c r="A532" s="255"/>
      <c r="B532" s="57"/>
      <c r="C532" s="57"/>
      <c r="D532" s="57"/>
      <c r="E532" s="57"/>
      <c r="F532" s="57"/>
      <c r="G532" s="57"/>
      <c r="H532" s="57"/>
      <c r="I532" s="57"/>
      <c r="J532" s="57"/>
      <c r="K532" s="57"/>
      <c r="L532" s="57"/>
      <c r="M532" s="57"/>
      <c r="N532" s="57"/>
      <c r="O532" s="57"/>
      <c r="P532" s="57"/>
      <c r="Q532" s="57"/>
      <c r="R532" s="2058"/>
      <c r="S532" s="255"/>
    </row>
    <row r="533" spans="1:19">
      <c r="A533" s="255"/>
      <c r="B533" s="57"/>
      <c r="C533" s="57"/>
      <c r="D533" s="57"/>
      <c r="E533" s="57"/>
      <c r="F533" s="57"/>
      <c r="G533" s="57"/>
      <c r="H533" s="57"/>
      <c r="I533" s="57"/>
      <c r="J533" s="57"/>
      <c r="K533" s="57"/>
      <c r="L533" s="57"/>
      <c r="M533" s="57"/>
      <c r="N533" s="57"/>
      <c r="O533" s="57"/>
      <c r="P533" s="57"/>
      <c r="Q533" s="57"/>
      <c r="R533" s="2058"/>
      <c r="S533" s="255"/>
    </row>
    <row r="534" spans="1:19">
      <c r="A534" s="255"/>
      <c r="B534" s="57"/>
      <c r="C534" s="57"/>
      <c r="D534" s="57"/>
      <c r="E534" s="57"/>
      <c r="F534" s="57"/>
      <c r="G534" s="57"/>
      <c r="H534" s="57"/>
      <c r="I534" s="57"/>
      <c r="J534" s="57"/>
      <c r="K534" s="57"/>
      <c r="L534" s="57"/>
      <c r="M534" s="57"/>
      <c r="N534" s="57"/>
      <c r="O534" s="57"/>
      <c r="P534" s="57"/>
      <c r="Q534" s="57"/>
      <c r="R534" s="2058"/>
      <c r="S534" s="255"/>
    </row>
    <row r="535" spans="1:19">
      <c r="A535" s="255"/>
      <c r="B535" s="57"/>
      <c r="C535" s="57"/>
      <c r="D535" s="57"/>
      <c r="E535" s="57"/>
      <c r="F535" s="57"/>
      <c r="G535" s="57"/>
      <c r="H535" s="57"/>
      <c r="I535" s="57"/>
      <c r="J535" s="57"/>
      <c r="K535" s="57"/>
      <c r="L535" s="57"/>
      <c r="M535" s="57"/>
      <c r="N535" s="57"/>
      <c r="O535" s="57"/>
      <c r="P535" s="57"/>
      <c r="Q535" s="57"/>
      <c r="R535" s="2058"/>
      <c r="S535" s="255"/>
    </row>
    <row r="536" spans="1:19">
      <c r="A536" s="255"/>
      <c r="B536" s="57"/>
      <c r="C536" s="57"/>
      <c r="D536" s="57"/>
      <c r="E536" s="57"/>
      <c r="F536" s="57"/>
      <c r="G536" s="57"/>
      <c r="H536" s="57"/>
      <c r="I536" s="57"/>
      <c r="J536" s="57"/>
      <c r="K536" s="57"/>
      <c r="L536" s="57"/>
      <c r="M536" s="57"/>
      <c r="N536" s="57"/>
      <c r="O536" s="57"/>
      <c r="P536" s="57"/>
      <c r="Q536" s="57"/>
      <c r="R536" s="2058"/>
      <c r="S536" s="255"/>
    </row>
    <row r="537" spans="1:19">
      <c r="A537" s="255"/>
      <c r="B537" s="57"/>
      <c r="C537" s="57"/>
      <c r="D537" s="57"/>
      <c r="E537" s="57"/>
      <c r="F537" s="57"/>
      <c r="G537" s="57"/>
      <c r="H537" s="57"/>
      <c r="I537" s="57"/>
      <c r="J537" s="57"/>
      <c r="K537" s="57"/>
      <c r="L537" s="57"/>
      <c r="M537" s="57"/>
      <c r="N537" s="57"/>
      <c r="O537" s="57"/>
      <c r="P537" s="57"/>
      <c r="Q537" s="57"/>
      <c r="R537" s="2058"/>
      <c r="S537" s="255"/>
    </row>
    <row r="538" spans="1:19">
      <c r="A538" s="255"/>
      <c r="B538" s="57"/>
      <c r="C538" s="57"/>
      <c r="D538" s="57"/>
      <c r="E538" s="57"/>
      <c r="F538" s="57"/>
      <c r="G538" s="57"/>
      <c r="H538" s="57"/>
      <c r="I538" s="57"/>
      <c r="J538" s="57"/>
      <c r="K538" s="57"/>
      <c r="L538" s="57"/>
      <c r="M538" s="57"/>
      <c r="N538" s="57"/>
      <c r="O538" s="57"/>
      <c r="P538" s="57"/>
      <c r="Q538" s="57"/>
      <c r="R538" s="2058"/>
      <c r="S538" s="255"/>
    </row>
    <row r="539" spans="1:19">
      <c r="A539" s="255"/>
      <c r="B539" s="57"/>
      <c r="C539" s="57"/>
      <c r="D539" s="57"/>
      <c r="E539" s="57"/>
      <c r="F539" s="57"/>
      <c r="G539" s="57"/>
      <c r="H539" s="57"/>
      <c r="I539" s="57"/>
      <c r="J539" s="57"/>
      <c r="K539" s="57"/>
      <c r="L539" s="57"/>
      <c r="M539" s="57"/>
      <c r="N539" s="57"/>
      <c r="O539" s="57"/>
      <c r="P539" s="57"/>
      <c r="Q539" s="57"/>
      <c r="R539" s="2058"/>
      <c r="S539" s="255"/>
    </row>
    <row r="540" spans="1:19">
      <c r="A540" s="255"/>
      <c r="B540" s="57"/>
      <c r="C540" s="57"/>
      <c r="D540" s="57"/>
      <c r="E540" s="57"/>
      <c r="F540" s="57"/>
      <c r="G540" s="57"/>
      <c r="H540" s="57"/>
      <c r="I540" s="57"/>
      <c r="J540" s="57"/>
      <c r="K540" s="57"/>
      <c r="L540" s="57"/>
      <c r="M540" s="57"/>
      <c r="N540" s="57"/>
      <c r="O540" s="57"/>
      <c r="P540" s="57"/>
      <c r="Q540" s="57"/>
      <c r="R540" s="2058"/>
      <c r="S540" s="255"/>
    </row>
    <row r="541" spans="1:19">
      <c r="A541" s="255"/>
      <c r="B541" s="57"/>
      <c r="C541" s="57"/>
      <c r="D541" s="57"/>
      <c r="E541" s="57"/>
      <c r="F541" s="57"/>
      <c r="G541" s="57"/>
      <c r="H541" s="57"/>
      <c r="I541" s="57"/>
      <c r="J541" s="57"/>
      <c r="K541" s="57"/>
      <c r="L541" s="57"/>
      <c r="M541" s="57"/>
      <c r="N541" s="57"/>
      <c r="O541" s="57"/>
      <c r="P541" s="57"/>
      <c r="Q541" s="57"/>
      <c r="R541" s="2058"/>
      <c r="S541" s="255"/>
    </row>
    <row r="542" spans="1:19">
      <c r="A542" s="255"/>
      <c r="B542" s="57"/>
      <c r="C542" s="57"/>
      <c r="D542" s="57"/>
      <c r="E542" s="57"/>
      <c r="F542" s="57"/>
      <c r="G542" s="57"/>
      <c r="H542" s="57"/>
      <c r="I542" s="57"/>
      <c r="J542" s="57"/>
      <c r="K542" s="57"/>
      <c r="L542" s="57"/>
      <c r="M542" s="57"/>
      <c r="N542" s="57"/>
      <c r="O542" s="57"/>
      <c r="P542" s="57"/>
      <c r="Q542" s="57"/>
      <c r="R542" s="2058"/>
      <c r="S542" s="255"/>
    </row>
    <row r="543" spans="1:19">
      <c r="A543" s="255"/>
      <c r="B543" s="57"/>
      <c r="C543" s="57"/>
      <c r="D543" s="57"/>
      <c r="E543" s="57"/>
      <c r="F543" s="57"/>
      <c r="G543" s="57"/>
      <c r="H543" s="57"/>
      <c r="I543" s="57"/>
      <c r="J543" s="57"/>
      <c r="K543" s="57"/>
      <c r="L543" s="57"/>
      <c r="M543" s="57"/>
      <c r="N543" s="57"/>
      <c r="O543" s="57"/>
      <c r="P543" s="57"/>
      <c r="Q543" s="57"/>
      <c r="R543" s="2058"/>
      <c r="S543" s="255"/>
    </row>
    <row r="544" spans="1:19">
      <c r="A544" s="255"/>
      <c r="B544" s="57"/>
      <c r="C544" s="57"/>
      <c r="D544" s="57"/>
      <c r="E544" s="57"/>
      <c r="F544" s="57"/>
      <c r="G544" s="57"/>
      <c r="H544" s="57"/>
      <c r="I544" s="57"/>
      <c r="J544" s="57"/>
      <c r="K544" s="57"/>
      <c r="L544" s="57"/>
      <c r="M544" s="57"/>
      <c r="N544" s="57"/>
      <c r="O544" s="57"/>
      <c r="P544" s="57"/>
      <c r="Q544" s="57"/>
      <c r="R544" s="2058"/>
      <c r="S544" s="255"/>
    </row>
    <row r="545" spans="1:19">
      <c r="A545" s="255"/>
      <c r="B545" s="57"/>
      <c r="C545" s="57"/>
      <c r="D545" s="57"/>
      <c r="E545" s="57"/>
      <c r="F545" s="57"/>
      <c r="G545" s="57"/>
      <c r="H545" s="57"/>
      <c r="I545" s="57"/>
      <c r="J545" s="57"/>
      <c r="K545" s="57"/>
      <c r="L545" s="57"/>
      <c r="M545" s="57"/>
      <c r="N545" s="57"/>
      <c r="O545" s="57"/>
      <c r="P545" s="57"/>
      <c r="Q545" s="57"/>
      <c r="R545" s="2058"/>
      <c r="S545" s="255"/>
    </row>
    <row r="546" spans="1:19">
      <c r="A546" s="255"/>
      <c r="B546" s="57"/>
      <c r="C546" s="57"/>
      <c r="D546" s="57"/>
      <c r="E546" s="57"/>
      <c r="F546" s="57"/>
      <c r="G546" s="57"/>
      <c r="H546" s="57"/>
      <c r="I546" s="57"/>
      <c r="J546" s="57"/>
      <c r="K546" s="57"/>
      <c r="L546" s="57"/>
      <c r="M546" s="57"/>
      <c r="N546" s="57"/>
      <c r="O546" s="57"/>
      <c r="P546" s="57"/>
      <c r="Q546" s="57"/>
      <c r="R546" s="2058"/>
      <c r="S546" s="255"/>
    </row>
    <row r="547" spans="1:19">
      <c r="A547" s="255"/>
      <c r="B547" s="57"/>
      <c r="C547" s="57"/>
      <c r="D547" s="57"/>
      <c r="E547" s="57"/>
      <c r="F547" s="57"/>
      <c r="G547" s="57"/>
      <c r="H547" s="57"/>
      <c r="I547" s="57"/>
      <c r="J547" s="57"/>
      <c r="K547" s="57"/>
      <c r="L547" s="57"/>
      <c r="M547" s="57"/>
      <c r="N547" s="57"/>
      <c r="O547" s="57"/>
      <c r="P547" s="57"/>
      <c r="Q547" s="57"/>
      <c r="R547" s="2058"/>
      <c r="S547" s="255"/>
    </row>
    <row r="548" spans="1:19">
      <c r="A548" s="255"/>
      <c r="B548" s="57"/>
      <c r="C548" s="57"/>
      <c r="D548" s="57"/>
      <c r="E548" s="57"/>
      <c r="F548" s="57"/>
      <c r="G548" s="57"/>
      <c r="H548" s="57"/>
      <c r="I548" s="57"/>
      <c r="J548" s="57"/>
      <c r="K548" s="57"/>
      <c r="L548" s="57"/>
      <c r="M548" s="57"/>
      <c r="N548" s="57"/>
      <c r="O548" s="57"/>
      <c r="P548" s="57"/>
      <c r="Q548" s="57"/>
      <c r="R548" s="2058"/>
      <c r="S548" s="255"/>
    </row>
    <row r="549" spans="1:19">
      <c r="A549" s="255"/>
      <c r="B549" s="57"/>
      <c r="C549" s="57"/>
      <c r="D549" s="57"/>
      <c r="E549" s="57"/>
      <c r="F549" s="57"/>
      <c r="G549" s="57"/>
      <c r="H549" s="57"/>
      <c r="I549" s="57"/>
      <c r="J549" s="57"/>
      <c r="K549" s="57"/>
      <c r="L549" s="57"/>
      <c r="M549" s="57"/>
      <c r="N549" s="57"/>
      <c r="O549" s="57"/>
      <c r="P549" s="57"/>
      <c r="Q549" s="57"/>
      <c r="R549" s="2058"/>
      <c r="S549" s="255"/>
    </row>
    <row r="550" spans="1:19">
      <c r="A550" s="255"/>
      <c r="B550" s="57"/>
      <c r="C550" s="57"/>
      <c r="D550" s="57"/>
      <c r="E550" s="57"/>
      <c r="F550" s="57"/>
      <c r="G550" s="57"/>
      <c r="H550" s="57"/>
      <c r="I550" s="57"/>
      <c r="J550" s="57"/>
      <c r="K550" s="57"/>
      <c r="L550" s="57"/>
      <c r="M550" s="57"/>
      <c r="N550" s="57"/>
      <c r="O550" s="57"/>
      <c r="P550" s="57"/>
      <c r="Q550" s="57"/>
      <c r="R550" s="2058"/>
      <c r="S550" s="255"/>
    </row>
    <row r="551" spans="1:19">
      <c r="A551" s="255"/>
      <c r="B551" s="57"/>
      <c r="C551" s="57"/>
      <c r="D551" s="57"/>
      <c r="E551" s="57"/>
      <c r="F551" s="57"/>
      <c r="G551" s="57"/>
      <c r="H551" s="57"/>
      <c r="I551" s="57"/>
      <c r="J551" s="57"/>
      <c r="K551" s="57"/>
      <c r="L551" s="57"/>
      <c r="M551" s="57"/>
      <c r="N551" s="57"/>
      <c r="O551" s="57"/>
      <c r="P551" s="57"/>
      <c r="Q551" s="57"/>
      <c r="R551" s="2058"/>
      <c r="S551" s="255"/>
    </row>
    <row r="552" spans="1:19">
      <c r="A552" s="255"/>
      <c r="B552" s="57"/>
      <c r="C552" s="57"/>
      <c r="D552" s="57"/>
      <c r="E552" s="57"/>
      <c r="F552" s="57"/>
      <c r="G552" s="57"/>
      <c r="H552" s="57"/>
      <c r="I552" s="57"/>
      <c r="J552" s="57"/>
      <c r="K552" s="57"/>
      <c r="L552" s="57"/>
      <c r="M552" s="57"/>
      <c r="N552" s="57"/>
      <c r="O552" s="57"/>
      <c r="P552" s="57"/>
      <c r="Q552" s="57"/>
      <c r="R552" s="2058"/>
      <c r="S552" s="255"/>
    </row>
    <row r="553" spans="1:19">
      <c r="A553" s="255"/>
      <c r="B553" s="57"/>
      <c r="C553" s="57"/>
      <c r="D553" s="57"/>
      <c r="E553" s="57"/>
      <c r="F553" s="57"/>
      <c r="G553" s="57"/>
      <c r="H553" s="57"/>
      <c r="I553" s="57"/>
      <c r="J553" s="57"/>
      <c r="K553" s="57"/>
      <c r="L553" s="57"/>
      <c r="M553" s="57"/>
      <c r="N553" s="57"/>
      <c r="O553" s="57"/>
      <c r="P553" s="57"/>
      <c r="Q553" s="57"/>
      <c r="R553" s="2058"/>
      <c r="S553" s="255"/>
    </row>
    <row r="554" spans="1:19">
      <c r="A554" s="255"/>
      <c r="B554" s="57"/>
      <c r="C554" s="57"/>
      <c r="D554" s="57"/>
      <c r="E554" s="57"/>
      <c r="F554" s="57"/>
      <c r="G554" s="57"/>
      <c r="H554" s="57"/>
      <c r="I554" s="57"/>
      <c r="J554" s="57"/>
      <c r="K554" s="57"/>
      <c r="L554" s="57"/>
      <c r="M554" s="57"/>
      <c r="N554" s="57"/>
      <c r="O554" s="57"/>
      <c r="P554" s="57"/>
      <c r="Q554" s="57"/>
      <c r="R554" s="2058"/>
      <c r="S554" s="255"/>
    </row>
    <row r="555" spans="1:19">
      <c r="A555" s="255"/>
      <c r="B555" s="57"/>
      <c r="C555" s="57"/>
      <c r="D555" s="57"/>
      <c r="E555" s="57"/>
      <c r="F555" s="57"/>
      <c r="G555" s="57"/>
      <c r="H555" s="57"/>
      <c r="I555" s="57"/>
      <c r="J555" s="57"/>
      <c r="K555" s="57"/>
      <c r="L555" s="57"/>
      <c r="M555" s="57"/>
      <c r="N555" s="57"/>
      <c r="O555" s="57"/>
      <c r="P555" s="57"/>
      <c r="Q555" s="57"/>
      <c r="R555" s="2058"/>
      <c r="S555" s="255"/>
    </row>
    <row r="556" spans="1:19">
      <c r="A556" s="255"/>
      <c r="B556" s="57"/>
      <c r="C556" s="57"/>
      <c r="D556" s="57"/>
      <c r="E556" s="57"/>
      <c r="F556" s="57"/>
      <c r="G556" s="57"/>
      <c r="H556" s="57"/>
      <c r="I556" s="57"/>
      <c r="J556" s="57"/>
      <c r="K556" s="57"/>
      <c r="L556" s="57"/>
      <c r="M556" s="57"/>
      <c r="N556" s="57"/>
      <c r="O556" s="57"/>
      <c r="P556" s="57"/>
      <c r="Q556" s="57"/>
      <c r="R556" s="2058"/>
      <c r="S556" s="255"/>
    </row>
    <row r="557" spans="1:19">
      <c r="A557" s="255"/>
      <c r="B557" s="57"/>
      <c r="C557" s="57"/>
      <c r="D557" s="57"/>
      <c r="E557" s="57"/>
      <c r="F557" s="57"/>
      <c r="G557" s="57"/>
      <c r="H557" s="57"/>
      <c r="I557" s="57"/>
      <c r="J557" s="57"/>
      <c r="K557" s="57"/>
      <c r="L557" s="57"/>
      <c r="M557" s="57"/>
      <c r="N557" s="57"/>
      <c r="O557" s="57"/>
      <c r="P557" s="57"/>
      <c r="Q557" s="57"/>
      <c r="R557" s="2058"/>
      <c r="S557" s="255"/>
    </row>
    <row r="558" spans="1:19">
      <c r="A558" s="255"/>
      <c r="B558" s="57"/>
      <c r="C558" s="57"/>
      <c r="D558" s="57"/>
      <c r="E558" s="57"/>
      <c r="F558" s="57"/>
      <c r="G558" s="57"/>
      <c r="H558" s="57"/>
      <c r="I558" s="57"/>
      <c r="J558" s="57"/>
      <c r="K558" s="57"/>
      <c r="L558" s="57"/>
      <c r="M558" s="57"/>
      <c r="N558" s="57"/>
      <c r="O558" s="57"/>
      <c r="P558" s="57"/>
      <c r="Q558" s="57"/>
      <c r="R558" s="2058"/>
      <c r="S558" s="255"/>
    </row>
    <row r="559" spans="1:19">
      <c r="A559" s="255"/>
      <c r="B559" s="57"/>
      <c r="C559" s="57"/>
      <c r="D559" s="57"/>
      <c r="E559" s="57"/>
      <c r="F559" s="57"/>
      <c r="G559" s="57"/>
      <c r="H559" s="57"/>
      <c r="I559" s="57"/>
      <c r="J559" s="57"/>
      <c r="K559" s="57"/>
      <c r="L559" s="57"/>
      <c r="M559" s="57"/>
      <c r="N559" s="57"/>
      <c r="O559" s="57"/>
      <c r="P559" s="57"/>
      <c r="Q559" s="57"/>
      <c r="R559" s="2058"/>
      <c r="S559" s="255"/>
    </row>
    <row r="560" spans="1:19">
      <c r="A560" s="255"/>
      <c r="B560" s="57"/>
      <c r="C560" s="57"/>
      <c r="D560" s="57"/>
      <c r="E560" s="57"/>
      <c r="F560" s="57"/>
      <c r="G560" s="57"/>
      <c r="H560" s="57"/>
      <c r="I560" s="57"/>
      <c r="J560" s="57"/>
      <c r="K560" s="57"/>
      <c r="L560" s="57"/>
      <c r="M560" s="57"/>
      <c r="N560" s="57"/>
      <c r="O560" s="57"/>
      <c r="P560" s="57"/>
      <c r="Q560" s="57"/>
      <c r="R560" s="2058"/>
      <c r="S560" s="255"/>
    </row>
    <row r="561" spans="1:19">
      <c r="A561" s="255"/>
      <c r="B561" s="57"/>
      <c r="C561" s="57"/>
      <c r="D561" s="57"/>
      <c r="E561" s="57"/>
      <c r="F561" s="57"/>
      <c r="G561" s="57"/>
      <c r="H561" s="57"/>
      <c r="I561" s="57"/>
      <c r="J561" s="57"/>
      <c r="K561" s="57"/>
      <c r="L561" s="57"/>
      <c r="M561" s="57"/>
      <c r="N561" s="57"/>
      <c r="O561" s="57"/>
      <c r="P561" s="57"/>
      <c r="Q561" s="57"/>
      <c r="R561" s="2058"/>
      <c r="S561" s="255"/>
    </row>
    <row r="562" spans="1:19">
      <c r="A562" s="255"/>
      <c r="B562" s="57"/>
      <c r="C562" s="57"/>
      <c r="D562" s="57"/>
      <c r="E562" s="57"/>
      <c r="F562" s="57"/>
      <c r="G562" s="57"/>
      <c r="H562" s="57"/>
      <c r="I562" s="57"/>
      <c r="J562" s="57"/>
      <c r="K562" s="57"/>
      <c r="L562" s="57"/>
      <c r="M562" s="57"/>
      <c r="N562" s="57"/>
      <c r="O562" s="57"/>
      <c r="P562" s="57"/>
      <c r="Q562" s="57"/>
      <c r="R562" s="2058"/>
      <c r="S562" s="255"/>
    </row>
    <row r="563" spans="1:19">
      <c r="A563" s="255"/>
      <c r="B563" s="57"/>
      <c r="C563" s="57"/>
      <c r="D563" s="57"/>
      <c r="E563" s="57"/>
      <c r="F563" s="57"/>
      <c r="G563" s="57"/>
      <c r="H563" s="57"/>
      <c r="I563" s="57"/>
      <c r="J563" s="57"/>
      <c r="K563" s="57"/>
      <c r="L563" s="57"/>
      <c r="M563" s="57"/>
      <c r="N563" s="57"/>
      <c r="O563" s="57"/>
      <c r="P563" s="57"/>
      <c r="Q563" s="57"/>
      <c r="R563" s="2058"/>
      <c r="S563" s="255"/>
    </row>
    <row r="564" spans="1:19">
      <c r="A564" s="255"/>
      <c r="B564" s="57"/>
      <c r="C564" s="57"/>
      <c r="D564" s="57"/>
      <c r="E564" s="57"/>
      <c r="F564" s="57"/>
      <c r="G564" s="57"/>
      <c r="H564" s="57"/>
      <c r="I564" s="57"/>
      <c r="J564" s="57"/>
      <c r="K564" s="57"/>
      <c r="L564" s="57"/>
      <c r="M564" s="57"/>
      <c r="N564" s="57"/>
      <c r="O564" s="57"/>
      <c r="P564" s="57"/>
      <c r="Q564" s="57"/>
      <c r="R564" s="2058"/>
      <c r="S564" s="255"/>
    </row>
    <row r="565" spans="1:19">
      <c r="A565" s="255"/>
      <c r="B565" s="57"/>
      <c r="C565" s="57"/>
      <c r="D565" s="57"/>
      <c r="E565" s="57"/>
      <c r="F565" s="57"/>
      <c r="G565" s="57"/>
      <c r="H565" s="57"/>
      <c r="I565" s="57"/>
      <c r="J565" s="57"/>
      <c r="K565" s="57"/>
      <c r="L565" s="57"/>
      <c r="M565" s="57"/>
      <c r="N565" s="57"/>
      <c r="O565" s="57"/>
      <c r="P565" s="57"/>
      <c r="Q565" s="57"/>
      <c r="R565" s="2058"/>
      <c r="S565" s="255"/>
    </row>
    <row r="566" spans="1:19">
      <c r="A566" s="255"/>
      <c r="B566" s="57"/>
      <c r="C566" s="57"/>
      <c r="D566" s="57"/>
      <c r="E566" s="57"/>
      <c r="F566" s="57"/>
      <c r="G566" s="57"/>
      <c r="H566" s="57"/>
      <c r="I566" s="57"/>
      <c r="J566" s="57"/>
      <c r="K566" s="57"/>
      <c r="L566" s="57"/>
      <c r="M566" s="57"/>
      <c r="N566" s="57"/>
      <c r="O566" s="57"/>
      <c r="P566" s="57"/>
      <c r="Q566" s="57"/>
      <c r="R566" s="2058"/>
      <c r="S566" s="255"/>
    </row>
    <row r="567" spans="1:19">
      <c r="A567" s="255"/>
      <c r="B567" s="57"/>
      <c r="C567" s="57"/>
      <c r="D567" s="57"/>
      <c r="E567" s="57"/>
      <c r="F567" s="57"/>
      <c r="G567" s="57"/>
      <c r="H567" s="57"/>
      <c r="I567" s="57"/>
      <c r="J567" s="57"/>
      <c r="K567" s="57"/>
      <c r="L567" s="57"/>
      <c r="M567" s="57"/>
      <c r="N567" s="57"/>
      <c r="O567" s="57"/>
      <c r="P567" s="57"/>
      <c r="Q567" s="57"/>
      <c r="R567" s="2058"/>
      <c r="S567" s="255"/>
    </row>
    <row r="568" spans="1:19">
      <c r="A568" s="255"/>
      <c r="B568" s="57"/>
      <c r="C568" s="57"/>
      <c r="D568" s="57"/>
      <c r="E568" s="57"/>
      <c r="F568" s="57"/>
      <c r="G568" s="57"/>
      <c r="H568" s="57"/>
      <c r="I568" s="57"/>
      <c r="J568" s="57"/>
      <c r="K568" s="57"/>
      <c r="L568" s="57"/>
      <c r="M568" s="57"/>
      <c r="N568" s="57"/>
      <c r="O568" s="57"/>
      <c r="P568" s="57"/>
      <c r="Q568" s="57"/>
      <c r="R568" s="2058"/>
      <c r="S568" s="255"/>
    </row>
    <row r="569" spans="1:19">
      <c r="A569" s="255"/>
      <c r="B569" s="57"/>
      <c r="C569" s="57"/>
      <c r="D569" s="57"/>
      <c r="E569" s="57"/>
      <c r="F569" s="57"/>
      <c r="G569" s="57"/>
      <c r="H569" s="57"/>
      <c r="I569" s="57"/>
      <c r="J569" s="57"/>
      <c r="K569" s="57"/>
      <c r="L569" s="57"/>
      <c r="M569" s="57"/>
      <c r="N569" s="57"/>
      <c r="O569" s="57"/>
      <c r="P569" s="57"/>
      <c r="Q569" s="57"/>
      <c r="R569" s="2058"/>
      <c r="S569" s="255"/>
    </row>
    <row r="570" spans="1:19">
      <c r="A570" s="255"/>
      <c r="B570" s="57"/>
      <c r="C570" s="57"/>
      <c r="D570" s="57"/>
      <c r="E570" s="57"/>
      <c r="F570" s="57"/>
      <c r="G570" s="57"/>
      <c r="H570" s="57"/>
      <c r="I570" s="57"/>
      <c r="J570" s="57"/>
      <c r="K570" s="57"/>
      <c r="L570" s="57"/>
      <c r="M570" s="57"/>
      <c r="N570" s="57"/>
      <c r="O570" s="57"/>
      <c r="P570" s="57"/>
      <c r="Q570" s="57"/>
      <c r="R570" s="2058"/>
      <c r="S570" s="255"/>
    </row>
    <row r="571" spans="1:19">
      <c r="A571" s="255"/>
      <c r="B571" s="57"/>
      <c r="C571" s="57"/>
      <c r="D571" s="57"/>
      <c r="E571" s="57"/>
      <c r="F571" s="57"/>
      <c r="G571" s="57"/>
      <c r="H571" s="57"/>
      <c r="I571" s="57"/>
      <c r="J571" s="57"/>
      <c r="K571" s="57"/>
      <c r="L571" s="57"/>
      <c r="M571" s="57"/>
      <c r="N571" s="57"/>
      <c r="O571" s="57"/>
      <c r="P571" s="57"/>
      <c r="Q571" s="57"/>
      <c r="R571" s="2058"/>
      <c r="S571" s="255"/>
    </row>
    <row r="572" spans="1:19">
      <c r="A572" s="255"/>
      <c r="B572" s="57"/>
      <c r="C572" s="57"/>
      <c r="D572" s="57"/>
      <c r="E572" s="57"/>
      <c r="F572" s="57"/>
      <c r="G572" s="57"/>
      <c r="H572" s="57"/>
      <c r="I572" s="57"/>
      <c r="J572" s="57"/>
      <c r="K572" s="57"/>
      <c r="L572" s="57"/>
      <c r="M572" s="57"/>
      <c r="N572" s="57"/>
      <c r="O572" s="57"/>
      <c r="P572" s="57"/>
      <c r="Q572" s="57"/>
      <c r="R572" s="2058"/>
      <c r="S572" s="255"/>
    </row>
    <row r="573" spans="1:19">
      <c r="A573" s="255"/>
      <c r="B573" s="57"/>
      <c r="C573" s="57"/>
      <c r="D573" s="57"/>
      <c r="E573" s="57"/>
      <c r="F573" s="57"/>
      <c r="G573" s="57"/>
      <c r="H573" s="57"/>
      <c r="I573" s="57"/>
      <c r="J573" s="57"/>
      <c r="K573" s="57"/>
      <c r="L573" s="57"/>
      <c r="M573" s="57"/>
      <c r="N573" s="57"/>
      <c r="O573" s="57"/>
      <c r="P573" s="57"/>
      <c r="Q573" s="57"/>
      <c r="R573" s="2058"/>
      <c r="S573" s="255"/>
    </row>
    <row r="574" spans="1:19">
      <c r="A574" s="255"/>
      <c r="B574" s="57"/>
      <c r="C574" s="57"/>
      <c r="D574" s="57"/>
      <c r="E574" s="57"/>
      <c r="F574" s="57"/>
      <c r="G574" s="57"/>
      <c r="H574" s="57"/>
      <c r="I574" s="57"/>
      <c r="J574" s="57"/>
      <c r="K574" s="57"/>
      <c r="L574" s="57"/>
      <c r="M574" s="57"/>
      <c r="N574" s="57"/>
      <c r="O574" s="57"/>
      <c r="P574" s="57"/>
      <c r="Q574" s="57"/>
      <c r="R574" s="2058"/>
      <c r="S574" s="255"/>
    </row>
    <row r="575" spans="1:19">
      <c r="A575" s="255"/>
      <c r="B575" s="57"/>
      <c r="C575" s="57"/>
      <c r="D575" s="57"/>
      <c r="E575" s="57"/>
      <c r="F575" s="57"/>
      <c r="G575" s="57"/>
      <c r="H575" s="57"/>
      <c r="I575" s="57"/>
      <c r="J575" s="57"/>
      <c r="K575" s="57"/>
      <c r="L575" s="57"/>
      <c r="M575" s="57"/>
      <c r="N575" s="57"/>
      <c r="O575" s="57"/>
      <c r="P575" s="57"/>
      <c r="Q575" s="57"/>
      <c r="R575" s="2058"/>
      <c r="S575" s="255"/>
    </row>
    <row r="576" spans="1:19">
      <c r="A576" s="255"/>
      <c r="B576" s="57"/>
      <c r="C576" s="57"/>
      <c r="D576" s="57"/>
      <c r="E576" s="57"/>
      <c r="F576" s="57"/>
      <c r="G576" s="57"/>
      <c r="H576" s="57"/>
      <c r="I576" s="57"/>
      <c r="J576" s="57"/>
      <c r="K576" s="57"/>
      <c r="L576" s="57"/>
      <c r="M576" s="57"/>
      <c r="N576" s="57"/>
      <c r="O576" s="57"/>
      <c r="P576" s="57"/>
      <c r="Q576" s="57"/>
      <c r="R576" s="2058"/>
      <c r="S576" s="255"/>
    </row>
    <row r="577" spans="1:19">
      <c r="A577" s="255"/>
      <c r="B577" s="57"/>
      <c r="C577" s="57"/>
      <c r="D577" s="57"/>
      <c r="E577" s="57"/>
      <c r="F577" s="57"/>
      <c r="G577" s="57"/>
      <c r="H577" s="57"/>
      <c r="I577" s="57"/>
      <c r="J577" s="57"/>
      <c r="K577" s="57"/>
      <c r="L577" s="57"/>
      <c r="M577" s="57"/>
      <c r="N577" s="57"/>
      <c r="O577" s="57"/>
      <c r="P577" s="57"/>
      <c r="Q577" s="57"/>
      <c r="R577" s="2058"/>
      <c r="S577" s="255"/>
    </row>
    <row r="578" spans="1:19">
      <c r="A578" s="255"/>
      <c r="B578" s="57"/>
      <c r="C578" s="57"/>
      <c r="D578" s="57"/>
      <c r="E578" s="57"/>
      <c r="F578" s="57"/>
      <c r="G578" s="57"/>
      <c r="H578" s="57"/>
      <c r="I578" s="57"/>
      <c r="J578" s="57"/>
      <c r="K578" s="57"/>
      <c r="L578" s="57"/>
      <c r="M578" s="57"/>
      <c r="N578" s="57"/>
      <c r="O578" s="57"/>
      <c r="P578" s="57"/>
      <c r="Q578" s="57"/>
      <c r="R578" s="2058"/>
      <c r="S578" s="255"/>
    </row>
    <row r="579" spans="1:19">
      <c r="A579" s="255"/>
      <c r="B579" s="57"/>
      <c r="C579" s="57"/>
      <c r="D579" s="57"/>
      <c r="E579" s="57"/>
      <c r="F579" s="57"/>
      <c r="G579" s="57"/>
      <c r="H579" s="57"/>
      <c r="I579" s="57"/>
      <c r="J579" s="57"/>
      <c r="K579" s="57"/>
      <c r="L579" s="57"/>
      <c r="M579" s="57"/>
      <c r="N579" s="57"/>
      <c r="O579" s="57"/>
      <c r="P579" s="57"/>
      <c r="Q579" s="57"/>
      <c r="R579" s="2058"/>
      <c r="S579" s="255"/>
    </row>
    <row r="580" spans="1:19">
      <c r="A580" s="255"/>
      <c r="B580" s="57"/>
      <c r="C580" s="57"/>
      <c r="D580" s="57"/>
      <c r="E580" s="57"/>
      <c r="F580" s="57"/>
      <c r="G580" s="57"/>
      <c r="H580" s="57"/>
      <c r="I580" s="57"/>
      <c r="J580" s="57"/>
      <c r="K580" s="57"/>
      <c r="L580" s="57"/>
      <c r="M580" s="57"/>
      <c r="N580" s="57"/>
      <c r="O580" s="57"/>
      <c r="P580" s="57"/>
      <c r="Q580" s="57"/>
      <c r="R580" s="2058"/>
      <c r="S580" s="255"/>
    </row>
    <row r="581" spans="1:19">
      <c r="A581" s="255"/>
      <c r="B581" s="57"/>
      <c r="C581" s="57"/>
      <c r="D581" s="57"/>
      <c r="E581" s="57"/>
      <c r="F581" s="57"/>
      <c r="G581" s="57"/>
      <c r="H581" s="57"/>
      <c r="I581" s="57"/>
      <c r="J581" s="57"/>
      <c r="K581" s="57"/>
      <c r="L581" s="57"/>
      <c r="M581" s="57"/>
      <c r="N581" s="57"/>
      <c r="O581" s="57"/>
      <c r="P581" s="57"/>
      <c r="Q581" s="57"/>
      <c r="R581" s="2058"/>
      <c r="S581" s="255"/>
    </row>
    <row r="582" spans="1:19">
      <c r="A582" s="255"/>
      <c r="B582" s="57"/>
      <c r="C582" s="57"/>
      <c r="D582" s="57"/>
      <c r="E582" s="57"/>
      <c r="F582" s="57"/>
      <c r="G582" s="57"/>
      <c r="H582" s="57"/>
      <c r="I582" s="57"/>
      <c r="J582" s="57"/>
      <c r="K582" s="57"/>
      <c r="L582" s="57"/>
      <c r="M582" s="57"/>
      <c r="N582" s="57"/>
      <c r="O582" s="57"/>
      <c r="P582" s="57"/>
      <c r="Q582" s="57"/>
      <c r="R582" s="2058"/>
      <c r="S582" s="255"/>
    </row>
    <row r="583" spans="1:19">
      <c r="A583" s="255"/>
      <c r="B583" s="57"/>
      <c r="C583" s="57"/>
      <c r="D583" s="57"/>
      <c r="E583" s="57"/>
      <c r="F583" s="57"/>
      <c r="G583" s="57"/>
      <c r="H583" s="57"/>
      <c r="I583" s="57"/>
      <c r="J583" s="57"/>
      <c r="K583" s="57"/>
      <c r="L583" s="57"/>
      <c r="M583" s="57"/>
      <c r="N583" s="57"/>
      <c r="O583" s="57"/>
      <c r="P583" s="57"/>
      <c r="Q583" s="57"/>
      <c r="R583" s="2058"/>
      <c r="S583" s="255"/>
    </row>
    <row r="584" spans="1:19">
      <c r="A584" s="255"/>
      <c r="B584" s="57"/>
      <c r="C584" s="57"/>
      <c r="D584" s="57"/>
      <c r="E584" s="57"/>
      <c r="F584" s="57"/>
      <c r="G584" s="57"/>
      <c r="H584" s="57"/>
      <c r="I584" s="57"/>
      <c r="J584" s="57"/>
      <c r="K584" s="57"/>
      <c r="L584" s="57"/>
      <c r="M584" s="57"/>
      <c r="N584" s="57"/>
      <c r="O584" s="57"/>
      <c r="P584" s="57"/>
      <c r="Q584" s="57"/>
      <c r="R584" s="2058"/>
      <c r="S584" s="255"/>
    </row>
    <row r="585" spans="1:19">
      <c r="A585" s="255"/>
      <c r="B585" s="57"/>
      <c r="C585" s="57"/>
      <c r="D585" s="57"/>
      <c r="E585" s="57"/>
      <c r="F585" s="57"/>
      <c r="G585" s="57"/>
      <c r="H585" s="57"/>
      <c r="I585" s="57"/>
      <c r="J585" s="57"/>
      <c r="K585" s="57"/>
      <c r="L585" s="57"/>
      <c r="M585" s="57"/>
      <c r="N585" s="57"/>
      <c r="O585" s="57"/>
      <c r="P585" s="57"/>
      <c r="Q585" s="57"/>
      <c r="R585" s="2058"/>
      <c r="S585" s="255"/>
    </row>
    <row r="586" spans="1:19">
      <c r="A586" s="255"/>
      <c r="B586" s="57"/>
      <c r="C586" s="57"/>
      <c r="D586" s="57"/>
      <c r="E586" s="57"/>
      <c r="F586" s="57"/>
      <c r="G586" s="57"/>
      <c r="H586" s="57"/>
      <c r="I586" s="57"/>
      <c r="J586" s="57"/>
      <c r="K586" s="57"/>
      <c r="L586" s="57"/>
      <c r="M586" s="57"/>
      <c r="N586" s="57"/>
      <c r="O586" s="57"/>
      <c r="P586" s="57"/>
      <c r="Q586" s="57"/>
      <c r="R586" s="2058"/>
      <c r="S586" s="255"/>
    </row>
    <row r="587" spans="1:19">
      <c r="A587" s="255"/>
      <c r="B587" s="57"/>
      <c r="C587" s="57"/>
      <c r="D587" s="57"/>
      <c r="E587" s="57"/>
      <c r="F587" s="57"/>
      <c r="G587" s="57"/>
      <c r="H587" s="57"/>
      <c r="I587" s="57"/>
      <c r="J587" s="57"/>
      <c r="K587" s="57"/>
      <c r="L587" s="57"/>
      <c r="M587" s="57"/>
      <c r="N587" s="57"/>
      <c r="O587" s="57"/>
      <c r="P587" s="57"/>
      <c r="Q587" s="57"/>
      <c r="R587" s="2058"/>
      <c r="S587" s="255"/>
    </row>
    <row r="588" spans="1:19">
      <c r="A588" s="255"/>
      <c r="B588" s="57"/>
      <c r="C588" s="57"/>
      <c r="D588" s="57"/>
      <c r="E588" s="57"/>
      <c r="F588" s="57"/>
      <c r="G588" s="57"/>
      <c r="H588" s="57"/>
      <c r="I588" s="57"/>
      <c r="J588" s="57"/>
      <c r="K588" s="57"/>
      <c r="L588" s="57"/>
      <c r="M588" s="57"/>
      <c r="N588" s="57"/>
      <c r="O588" s="57"/>
      <c r="P588" s="57"/>
      <c r="Q588" s="57"/>
      <c r="R588" s="2058"/>
      <c r="S588" s="255"/>
    </row>
    <row r="589" spans="1:19">
      <c r="A589" s="255"/>
      <c r="B589" s="57"/>
      <c r="C589" s="57"/>
      <c r="D589" s="57"/>
      <c r="E589" s="57"/>
      <c r="F589" s="57"/>
      <c r="G589" s="57"/>
      <c r="H589" s="57"/>
      <c r="I589" s="57"/>
      <c r="J589" s="57"/>
      <c r="K589" s="57"/>
      <c r="L589" s="57"/>
      <c r="M589" s="57"/>
      <c r="N589" s="57"/>
      <c r="O589" s="57"/>
      <c r="P589" s="57"/>
      <c r="Q589" s="57"/>
      <c r="R589" s="2058"/>
      <c r="S589" s="255"/>
    </row>
    <row r="590" spans="1:19">
      <c r="A590" s="255"/>
      <c r="B590" s="57"/>
      <c r="C590" s="57"/>
      <c r="D590" s="57"/>
      <c r="E590" s="57"/>
      <c r="F590" s="57"/>
      <c r="G590" s="57"/>
      <c r="H590" s="57"/>
      <c r="I590" s="57"/>
      <c r="J590" s="57"/>
      <c r="K590" s="57"/>
      <c r="L590" s="57"/>
      <c r="M590" s="57"/>
      <c r="N590" s="57"/>
      <c r="O590" s="57"/>
      <c r="P590" s="57"/>
      <c r="Q590" s="57"/>
      <c r="R590" s="2058"/>
      <c r="S590" s="255"/>
    </row>
    <row r="591" spans="1:19">
      <c r="A591" s="255"/>
      <c r="B591" s="57"/>
      <c r="C591" s="57"/>
      <c r="D591" s="57"/>
      <c r="E591" s="57"/>
      <c r="F591" s="57"/>
      <c r="G591" s="57"/>
      <c r="H591" s="57"/>
      <c r="I591" s="57"/>
      <c r="J591" s="57"/>
      <c r="K591" s="57"/>
      <c r="L591" s="57"/>
      <c r="M591" s="57"/>
      <c r="N591" s="57"/>
      <c r="O591" s="57"/>
      <c r="P591" s="57"/>
      <c r="Q591" s="57"/>
      <c r="R591" s="2058"/>
      <c r="S591" s="255"/>
    </row>
    <row r="592" spans="1:19">
      <c r="A592" s="255"/>
      <c r="B592" s="57"/>
      <c r="C592" s="57"/>
      <c r="D592" s="57"/>
      <c r="E592" s="57"/>
      <c r="F592" s="57"/>
      <c r="G592" s="57"/>
      <c r="H592" s="57"/>
      <c r="I592" s="57"/>
      <c r="J592" s="57"/>
      <c r="K592" s="57"/>
      <c r="L592" s="57"/>
      <c r="M592" s="57"/>
      <c r="N592" s="57"/>
      <c r="O592" s="57"/>
      <c r="P592" s="57"/>
      <c r="Q592" s="57"/>
      <c r="R592" s="2058"/>
      <c r="S592" s="255"/>
    </row>
    <row r="593" spans="1:19">
      <c r="A593" s="255"/>
      <c r="B593" s="57"/>
      <c r="C593" s="57"/>
      <c r="D593" s="57"/>
      <c r="E593" s="57"/>
      <c r="F593" s="57"/>
      <c r="G593" s="57"/>
      <c r="H593" s="57"/>
      <c r="I593" s="57"/>
      <c r="J593" s="57"/>
      <c r="K593" s="57"/>
      <c r="L593" s="57"/>
      <c r="M593" s="57"/>
      <c r="N593" s="57"/>
      <c r="O593" s="57"/>
      <c r="P593" s="57"/>
      <c r="Q593" s="57"/>
      <c r="R593" s="2058"/>
      <c r="S593" s="255"/>
    </row>
    <row r="594" spans="1:19">
      <c r="A594" s="255"/>
      <c r="B594" s="57"/>
      <c r="C594" s="57"/>
      <c r="D594" s="57"/>
      <c r="E594" s="57"/>
      <c r="F594" s="57"/>
      <c r="G594" s="57"/>
      <c r="H594" s="57"/>
      <c r="I594" s="57"/>
      <c r="J594" s="57"/>
      <c r="K594" s="57"/>
      <c r="L594" s="57"/>
      <c r="M594" s="57"/>
      <c r="N594" s="57"/>
      <c r="O594" s="57"/>
      <c r="P594" s="57"/>
      <c r="Q594" s="57"/>
      <c r="R594" s="2058"/>
      <c r="S594" s="255"/>
    </row>
    <row r="595" spans="1:19">
      <c r="A595" s="255"/>
      <c r="B595" s="57"/>
      <c r="C595" s="57"/>
      <c r="D595" s="57"/>
      <c r="E595" s="57"/>
      <c r="F595" s="57"/>
      <c r="G595" s="57"/>
      <c r="H595" s="57"/>
      <c r="I595" s="57"/>
      <c r="J595" s="57"/>
      <c r="K595" s="57"/>
      <c r="L595" s="57"/>
      <c r="M595" s="57"/>
      <c r="N595" s="57"/>
      <c r="O595" s="57"/>
      <c r="P595" s="57"/>
      <c r="Q595" s="57"/>
      <c r="R595" s="2058"/>
      <c r="S595" s="255"/>
    </row>
    <row r="596" spans="1:19">
      <c r="A596" s="255"/>
      <c r="B596" s="57"/>
      <c r="C596" s="57"/>
      <c r="D596" s="57"/>
      <c r="E596" s="57"/>
      <c r="F596" s="57"/>
      <c r="G596" s="57"/>
      <c r="H596" s="57"/>
      <c r="I596" s="57"/>
      <c r="J596" s="57"/>
      <c r="K596" s="57"/>
      <c r="L596" s="57"/>
      <c r="M596" s="57"/>
      <c r="N596" s="57"/>
      <c r="O596" s="57"/>
      <c r="P596" s="57"/>
      <c r="Q596" s="57"/>
      <c r="R596" s="2058"/>
      <c r="S596" s="255"/>
    </row>
    <row r="597" spans="1:19">
      <c r="A597" s="255"/>
      <c r="B597" s="57"/>
      <c r="C597" s="57"/>
      <c r="D597" s="57"/>
      <c r="E597" s="57"/>
      <c r="F597" s="57"/>
      <c r="G597" s="57"/>
      <c r="H597" s="57"/>
      <c r="I597" s="57"/>
      <c r="J597" s="57"/>
      <c r="K597" s="57"/>
      <c r="L597" s="57"/>
      <c r="M597" s="57"/>
      <c r="N597" s="57"/>
      <c r="O597" s="57"/>
      <c r="P597" s="57"/>
      <c r="Q597" s="57"/>
      <c r="R597" s="2058"/>
      <c r="S597" s="255"/>
    </row>
    <row r="598" spans="1:19">
      <c r="A598" s="255"/>
      <c r="B598" s="57"/>
      <c r="C598" s="57"/>
      <c r="D598" s="57"/>
      <c r="E598" s="57"/>
      <c r="F598" s="57"/>
      <c r="G598" s="57"/>
      <c r="H598" s="57"/>
      <c r="I598" s="57"/>
      <c r="J598" s="57"/>
      <c r="K598" s="57"/>
      <c r="L598" s="57"/>
      <c r="M598" s="57"/>
      <c r="N598" s="57"/>
      <c r="O598" s="57"/>
      <c r="P598" s="57"/>
      <c r="Q598" s="57"/>
      <c r="R598" s="2058"/>
      <c r="S598" s="255"/>
    </row>
    <row r="599" spans="1:19">
      <c r="A599" s="255"/>
      <c r="B599" s="57"/>
      <c r="C599" s="57"/>
      <c r="D599" s="57"/>
      <c r="E599" s="57"/>
      <c r="F599" s="57"/>
      <c r="G599" s="57"/>
      <c r="H599" s="57"/>
      <c r="I599" s="57"/>
      <c r="J599" s="57"/>
      <c r="K599" s="57"/>
      <c r="L599" s="57"/>
      <c r="M599" s="57"/>
      <c r="N599" s="57"/>
      <c r="O599" s="57"/>
      <c r="P599" s="57"/>
      <c r="Q599" s="57"/>
      <c r="R599" s="2058"/>
      <c r="S599" s="255"/>
    </row>
    <row r="600" spans="1:19">
      <c r="A600" s="255"/>
      <c r="B600" s="57"/>
      <c r="C600" s="57"/>
      <c r="D600" s="57"/>
      <c r="E600" s="57"/>
      <c r="F600" s="57"/>
      <c r="G600" s="57"/>
      <c r="H600" s="57"/>
      <c r="I600" s="57"/>
      <c r="J600" s="57"/>
      <c r="K600" s="57"/>
      <c r="L600" s="57"/>
      <c r="M600" s="57"/>
      <c r="N600" s="57"/>
      <c r="O600" s="57"/>
      <c r="P600" s="57"/>
      <c r="Q600" s="57"/>
      <c r="R600" s="2058"/>
      <c r="S600" s="255"/>
    </row>
    <row r="601" spans="1:19">
      <c r="A601" s="255"/>
      <c r="B601" s="57"/>
      <c r="C601" s="57"/>
      <c r="D601" s="57"/>
      <c r="E601" s="57"/>
      <c r="F601" s="57"/>
      <c r="G601" s="57"/>
      <c r="H601" s="57"/>
      <c r="I601" s="57"/>
      <c r="J601" s="57"/>
      <c r="K601" s="57"/>
      <c r="L601" s="57"/>
      <c r="M601" s="57"/>
      <c r="N601" s="57"/>
      <c r="O601" s="57"/>
      <c r="P601" s="57"/>
      <c r="Q601" s="57"/>
      <c r="R601" s="2058"/>
      <c r="S601" s="255"/>
    </row>
    <row r="602" spans="1:19">
      <c r="A602" s="255"/>
      <c r="B602" s="57"/>
      <c r="C602" s="57"/>
      <c r="D602" s="57"/>
      <c r="E602" s="57"/>
      <c r="F602" s="57"/>
      <c r="G602" s="57"/>
      <c r="H602" s="57"/>
      <c r="I602" s="57"/>
      <c r="J602" s="57"/>
      <c r="K602" s="57"/>
      <c r="L602" s="57"/>
      <c r="M602" s="57"/>
      <c r="N602" s="57"/>
      <c r="O602" s="57"/>
      <c r="P602" s="57"/>
      <c r="Q602" s="57"/>
      <c r="R602" s="2058"/>
      <c r="S602" s="255"/>
    </row>
    <row r="603" spans="1:19">
      <c r="A603" s="255"/>
      <c r="B603" s="57"/>
      <c r="C603" s="57"/>
      <c r="D603" s="57"/>
      <c r="E603" s="57"/>
      <c r="F603" s="57"/>
      <c r="G603" s="57"/>
      <c r="H603" s="57"/>
      <c r="I603" s="57"/>
      <c r="J603" s="57"/>
      <c r="K603" s="57"/>
      <c r="L603" s="57"/>
      <c r="M603" s="57"/>
      <c r="N603" s="57"/>
      <c r="O603" s="57"/>
      <c r="P603" s="57"/>
      <c r="Q603" s="57"/>
      <c r="R603" s="2058"/>
      <c r="S603" s="255"/>
    </row>
    <row r="604" spans="1:19">
      <c r="A604" s="255"/>
      <c r="B604" s="57"/>
      <c r="C604" s="57"/>
      <c r="D604" s="57"/>
      <c r="E604" s="57"/>
      <c r="F604" s="57"/>
      <c r="G604" s="57"/>
      <c r="H604" s="57"/>
      <c r="I604" s="57"/>
      <c r="J604" s="57"/>
      <c r="K604" s="57"/>
      <c r="L604" s="57"/>
      <c r="M604" s="57"/>
      <c r="N604" s="57"/>
      <c r="O604" s="57"/>
      <c r="P604" s="57"/>
      <c r="Q604" s="57"/>
      <c r="R604" s="2058"/>
      <c r="S604" s="255"/>
    </row>
    <row r="605" spans="1:19">
      <c r="A605" s="255"/>
      <c r="B605" s="57"/>
      <c r="C605" s="57"/>
      <c r="D605" s="57"/>
      <c r="E605" s="57"/>
      <c r="F605" s="57"/>
      <c r="G605" s="57"/>
      <c r="H605" s="57"/>
      <c r="I605" s="57"/>
      <c r="J605" s="57"/>
      <c r="K605" s="57"/>
      <c r="L605" s="57"/>
      <c r="M605" s="57"/>
      <c r="N605" s="57"/>
      <c r="O605" s="57"/>
      <c r="P605" s="57"/>
      <c r="Q605" s="57"/>
      <c r="R605" s="2058"/>
      <c r="S605" s="255"/>
    </row>
    <row r="606" spans="1:19">
      <c r="A606" s="255"/>
      <c r="B606" s="57"/>
      <c r="C606" s="57"/>
      <c r="D606" s="57"/>
      <c r="E606" s="57"/>
      <c r="F606" s="57"/>
      <c r="G606" s="57"/>
      <c r="H606" s="57"/>
      <c r="I606" s="57"/>
      <c r="J606" s="57"/>
      <c r="K606" s="57"/>
      <c r="L606" s="57"/>
      <c r="M606" s="57"/>
      <c r="N606" s="57"/>
      <c r="O606" s="57"/>
      <c r="P606" s="57"/>
      <c r="Q606" s="57"/>
      <c r="R606" s="2058"/>
      <c r="S606" s="255"/>
    </row>
    <row r="607" spans="1:19">
      <c r="A607" s="255"/>
      <c r="B607" s="57"/>
      <c r="C607" s="57"/>
      <c r="D607" s="57"/>
      <c r="E607" s="57"/>
      <c r="F607" s="57"/>
      <c r="G607" s="57"/>
      <c r="H607" s="57"/>
      <c r="I607" s="57"/>
      <c r="J607" s="57"/>
      <c r="K607" s="57"/>
      <c r="L607" s="57"/>
      <c r="M607" s="57"/>
      <c r="N607" s="57"/>
      <c r="O607" s="57"/>
      <c r="P607" s="57"/>
      <c r="Q607" s="57"/>
      <c r="R607" s="2058"/>
      <c r="S607" s="255"/>
    </row>
    <row r="608" spans="1:19">
      <c r="A608" s="255"/>
      <c r="B608" s="57"/>
      <c r="C608" s="57"/>
      <c r="D608" s="57"/>
      <c r="E608" s="57"/>
      <c r="F608" s="57"/>
      <c r="G608" s="57"/>
      <c r="H608" s="57"/>
      <c r="I608" s="57"/>
      <c r="J608" s="57"/>
      <c r="K608" s="57"/>
      <c r="L608" s="57"/>
      <c r="M608" s="57"/>
      <c r="N608" s="57"/>
      <c r="O608" s="57"/>
      <c r="P608" s="57"/>
      <c r="Q608" s="57"/>
      <c r="R608" s="2058"/>
      <c r="S608" s="255"/>
    </row>
    <row r="609" spans="1:19">
      <c r="A609" s="255"/>
      <c r="B609" s="57"/>
      <c r="C609" s="57"/>
      <c r="D609" s="57"/>
      <c r="E609" s="57"/>
      <c r="F609" s="57"/>
      <c r="G609" s="57"/>
      <c r="H609" s="57"/>
      <c r="I609" s="57"/>
      <c r="J609" s="57"/>
      <c r="K609" s="57"/>
      <c r="L609" s="57"/>
      <c r="M609" s="57"/>
      <c r="N609" s="57"/>
      <c r="O609" s="57"/>
      <c r="P609" s="57"/>
      <c r="Q609" s="57"/>
      <c r="R609" s="2058"/>
      <c r="S609" s="255"/>
    </row>
    <row r="610" spans="1:19">
      <c r="A610" s="255"/>
      <c r="B610" s="57"/>
      <c r="C610" s="57"/>
      <c r="D610" s="57"/>
      <c r="E610" s="57"/>
      <c r="F610" s="57"/>
      <c r="G610" s="57"/>
      <c r="H610" s="57"/>
      <c r="I610" s="57"/>
      <c r="J610" s="57"/>
      <c r="K610" s="57"/>
      <c r="L610" s="57"/>
      <c r="M610" s="57"/>
      <c r="N610" s="57"/>
      <c r="O610" s="57"/>
      <c r="P610" s="57"/>
      <c r="Q610" s="57"/>
      <c r="R610" s="2058"/>
      <c r="S610" s="255"/>
    </row>
    <row r="611" spans="1:19">
      <c r="A611" s="255"/>
      <c r="B611" s="57"/>
      <c r="C611" s="57"/>
      <c r="D611" s="57"/>
      <c r="E611" s="57"/>
      <c r="F611" s="57"/>
      <c r="G611" s="57"/>
      <c r="H611" s="57"/>
      <c r="I611" s="57"/>
      <c r="J611" s="57"/>
      <c r="K611" s="57"/>
      <c r="L611" s="57"/>
      <c r="M611" s="57"/>
      <c r="N611" s="57"/>
      <c r="O611" s="57"/>
      <c r="P611" s="57"/>
      <c r="Q611" s="57"/>
      <c r="R611" s="2058"/>
      <c r="S611" s="255"/>
    </row>
    <row r="612" spans="1:19">
      <c r="A612" s="255"/>
      <c r="B612" s="57"/>
      <c r="C612" s="57"/>
      <c r="D612" s="57"/>
      <c r="E612" s="57"/>
      <c r="F612" s="57"/>
      <c r="G612" s="57"/>
      <c r="H612" s="57"/>
      <c r="I612" s="57"/>
      <c r="J612" s="57"/>
      <c r="K612" s="57"/>
      <c r="L612" s="57"/>
      <c r="M612" s="57"/>
      <c r="N612" s="57"/>
      <c r="O612" s="57"/>
      <c r="P612" s="57"/>
      <c r="Q612" s="57"/>
      <c r="R612" s="2058"/>
      <c r="S612" s="255"/>
    </row>
    <row r="613" spans="1:19">
      <c r="A613" s="255"/>
      <c r="B613" s="57"/>
      <c r="C613" s="57"/>
      <c r="D613" s="57"/>
      <c r="E613" s="57"/>
      <c r="F613" s="57"/>
      <c r="G613" s="57"/>
      <c r="H613" s="57"/>
      <c r="I613" s="57"/>
      <c r="J613" s="57"/>
      <c r="K613" s="57"/>
      <c r="L613" s="57"/>
      <c r="M613" s="57"/>
      <c r="N613" s="57"/>
      <c r="O613" s="57"/>
      <c r="P613" s="57"/>
      <c r="Q613" s="57"/>
      <c r="R613" s="2058"/>
      <c r="S613" s="255"/>
    </row>
    <row r="614" spans="1:19">
      <c r="A614" s="255"/>
      <c r="B614" s="57"/>
      <c r="C614" s="57"/>
      <c r="D614" s="57"/>
      <c r="E614" s="57"/>
      <c r="F614" s="57"/>
      <c r="G614" s="57"/>
      <c r="H614" s="57"/>
      <c r="I614" s="57"/>
      <c r="J614" s="57"/>
      <c r="K614" s="57"/>
      <c r="L614" s="57"/>
      <c r="M614" s="57"/>
      <c r="N614" s="57"/>
      <c r="O614" s="57"/>
      <c r="P614" s="57"/>
      <c r="Q614" s="57"/>
      <c r="R614" s="2058"/>
      <c r="S614" s="255"/>
    </row>
    <row r="615" spans="1:19">
      <c r="A615" s="255"/>
      <c r="B615" s="57"/>
      <c r="C615" s="57"/>
      <c r="D615" s="57"/>
      <c r="E615" s="57"/>
      <c r="F615" s="57"/>
      <c r="G615" s="57"/>
      <c r="H615" s="57"/>
      <c r="I615" s="57"/>
      <c r="J615" s="57"/>
      <c r="K615" s="57"/>
      <c r="L615" s="57"/>
      <c r="M615" s="57"/>
      <c r="N615" s="57"/>
      <c r="O615" s="57"/>
      <c r="P615" s="57"/>
      <c r="Q615" s="57"/>
      <c r="R615" s="2058"/>
      <c r="S615" s="255"/>
    </row>
    <row r="616" spans="1:19">
      <c r="A616" s="255"/>
      <c r="B616" s="57"/>
      <c r="C616" s="57"/>
      <c r="D616" s="57"/>
      <c r="E616" s="57"/>
      <c r="F616" s="57"/>
      <c r="G616" s="57"/>
      <c r="H616" s="57"/>
      <c r="I616" s="57"/>
      <c r="J616" s="57"/>
      <c r="K616" s="57"/>
      <c r="L616" s="57"/>
      <c r="M616" s="57"/>
      <c r="N616" s="57"/>
      <c r="O616" s="57"/>
      <c r="P616" s="57"/>
      <c r="Q616" s="57"/>
      <c r="R616" s="2058"/>
      <c r="S616" s="255"/>
    </row>
    <row r="617" spans="1:19">
      <c r="A617" s="255"/>
      <c r="B617" s="57"/>
      <c r="C617" s="57"/>
      <c r="D617" s="57"/>
      <c r="E617" s="57"/>
      <c r="F617" s="57"/>
      <c r="G617" s="57"/>
      <c r="H617" s="57"/>
      <c r="I617" s="57"/>
      <c r="J617" s="57"/>
      <c r="K617" s="57"/>
      <c r="L617" s="57"/>
      <c r="M617" s="57"/>
      <c r="N617" s="57"/>
      <c r="O617" s="57"/>
      <c r="P617" s="57"/>
      <c r="Q617" s="57"/>
      <c r="R617" s="2058"/>
      <c r="S617" s="255"/>
    </row>
    <row r="618" spans="1:19">
      <c r="A618" s="255"/>
      <c r="B618" s="57"/>
      <c r="C618" s="57"/>
      <c r="D618" s="57"/>
      <c r="E618" s="57"/>
      <c r="F618" s="57"/>
      <c r="G618" s="57"/>
      <c r="H618" s="57"/>
      <c r="I618" s="57"/>
      <c r="J618" s="57"/>
      <c r="K618" s="57"/>
      <c r="L618" s="57"/>
      <c r="M618" s="57"/>
      <c r="N618" s="57"/>
      <c r="O618" s="57"/>
      <c r="P618" s="57"/>
      <c r="Q618" s="57"/>
      <c r="R618" s="2058"/>
      <c r="S618" s="255"/>
    </row>
    <row r="619" spans="1:19">
      <c r="A619" s="255"/>
      <c r="B619" s="57"/>
      <c r="C619" s="57"/>
      <c r="D619" s="57"/>
      <c r="E619" s="57"/>
      <c r="F619" s="57"/>
      <c r="G619" s="57"/>
      <c r="H619" s="57"/>
      <c r="I619" s="57"/>
      <c r="J619" s="57"/>
      <c r="K619" s="57"/>
      <c r="L619" s="57"/>
      <c r="M619" s="57"/>
      <c r="N619" s="57"/>
      <c r="O619" s="57"/>
      <c r="P619" s="57"/>
      <c r="Q619" s="57"/>
      <c r="R619" s="2058"/>
      <c r="S619" s="255"/>
    </row>
    <row r="620" spans="1:19">
      <c r="A620" s="255"/>
      <c r="B620" s="57"/>
      <c r="C620" s="57"/>
      <c r="D620" s="57"/>
      <c r="E620" s="57"/>
      <c r="F620" s="57"/>
      <c r="G620" s="57"/>
      <c r="H620" s="57"/>
      <c r="I620" s="57"/>
      <c r="J620" s="57"/>
      <c r="K620" s="57"/>
      <c r="L620" s="57"/>
      <c r="M620" s="57"/>
      <c r="N620" s="57"/>
      <c r="O620" s="57"/>
      <c r="P620" s="57"/>
      <c r="Q620" s="57"/>
      <c r="R620" s="2058"/>
      <c r="S620" s="255"/>
    </row>
    <row r="621" spans="1:19">
      <c r="A621" s="255"/>
      <c r="B621" s="57"/>
      <c r="C621" s="57"/>
      <c r="D621" s="57"/>
      <c r="E621" s="57"/>
      <c r="F621" s="57"/>
      <c r="G621" s="57"/>
      <c r="H621" s="57"/>
      <c r="I621" s="57"/>
      <c r="J621" s="57"/>
      <c r="K621" s="57"/>
      <c r="L621" s="57"/>
      <c r="M621" s="57"/>
      <c r="N621" s="57"/>
      <c r="O621" s="57"/>
      <c r="P621" s="57"/>
      <c r="Q621" s="57"/>
      <c r="R621" s="2058"/>
      <c r="S621" s="255"/>
    </row>
    <row r="622" spans="1:19">
      <c r="A622" s="255"/>
      <c r="B622" s="57"/>
      <c r="C622" s="57"/>
      <c r="D622" s="57"/>
      <c r="E622" s="57"/>
      <c r="F622" s="57"/>
      <c r="G622" s="57"/>
      <c r="H622" s="57"/>
      <c r="I622" s="57"/>
      <c r="J622" s="57"/>
      <c r="K622" s="57"/>
      <c r="L622" s="57"/>
      <c r="M622" s="57"/>
      <c r="N622" s="57"/>
      <c r="O622" s="57"/>
      <c r="P622" s="57"/>
      <c r="Q622" s="57"/>
      <c r="R622" s="2058"/>
      <c r="S622" s="255"/>
    </row>
    <row r="623" spans="1:19">
      <c r="A623" s="255"/>
      <c r="B623" s="57"/>
      <c r="C623" s="57"/>
      <c r="D623" s="57"/>
      <c r="E623" s="57"/>
      <c r="F623" s="57"/>
      <c r="G623" s="57"/>
      <c r="H623" s="57"/>
      <c r="I623" s="57"/>
      <c r="J623" s="57"/>
      <c r="K623" s="57"/>
      <c r="L623" s="57"/>
      <c r="M623" s="57"/>
      <c r="N623" s="57"/>
      <c r="O623" s="57"/>
      <c r="P623" s="57"/>
      <c r="Q623" s="57"/>
      <c r="R623" s="2058"/>
      <c r="S623" s="255"/>
    </row>
    <row r="624" spans="1:19">
      <c r="A624" s="255"/>
      <c r="B624" s="57"/>
      <c r="C624" s="57"/>
      <c r="D624" s="57"/>
      <c r="E624" s="57"/>
      <c r="F624" s="57"/>
      <c r="G624" s="57"/>
      <c r="H624" s="57"/>
      <c r="I624" s="57"/>
      <c r="J624" s="57"/>
      <c r="K624" s="57"/>
      <c r="L624" s="57"/>
      <c r="M624" s="57"/>
      <c r="N624" s="57"/>
      <c r="O624" s="57"/>
      <c r="P624" s="57"/>
      <c r="Q624" s="57"/>
      <c r="R624" s="2058"/>
      <c r="S624" s="255"/>
    </row>
    <row r="625" spans="1:19">
      <c r="A625" s="255"/>
      <c r="B625" s="57"/>
      <c r="C625" s="57"/>
      <c r="D625" s="57"/>
      <c r="E625" s="57"/>
      <c r="F625" s="57"/>
      <c r="G625" s="57"/>
      <c r="H625" s="57"/>
      <c r="I625" s="57"/>
      <c r="J625" s="57"/>
      <c r="K625" s="57"/>
      <c r="L625" s="57"/>
      <c r="M625" s="57"/>
      <c r="N625" s="57"/>
      <c r="O625" s="57"/>
      <c r="P625" s="57"/>
      <c r="Q625" s="57"/>
      <c r="R625" s="2058"/>
      <c r="S625" s="255"/>
    </row>
    <row r="626" spans="1:19">
      <c r="A626" s="255"/>
      <c r="B626" s="57"/>
      <c r="C626" s="57"/>
      <c r="D626" s="57"/>
      <c r="E626" s="57"/>
      <c r="F626" s="57"/>
      <c r="G626" s="57"/>
      <c r="H626" s="57"/>
      <c r="I626" s="57"/>
      <c r="J626" s="57"/>
      <c r="K626" s="57"/>
      <c r="L626" s="57"/>
      <c r="M626" s="57"/>
      <c r="N626" s="57"/>
      <c r="O626" s="57"/>
      <c r="P626" s="57"/>
      <c r="Q626" s="57"/>
      <c r="R626" s="2058"/>
      <c r="S626" s="255"/>
    </row>
    <row r="627" spans="1:19">
      <c r="A627" s="255"/>
      <c r="B627" s="57"/>
      <c r="C627" s="57"/>
      <c r="D627" s="57"/>
      <c r="E627" s="57"/>
      <c r="F627" s="57"/>
      <c r="G627" s="57"/>
      <c r="H627" s="57"/>
      <c r="I627" s="57"/>
      <c r="J627" s="57"/>
      <c r="K627" s="57"/>
      <c r="L627" s="57"/>
      <c r="M627" s="57"/>
      <c r="N627" s="57"/>
      <c r="O627" s="57"/>
      <c r="P627" s="57"/>
      <c r="Q627" s="57"/>
      <c r="R627" s="2058"/>
      <c r="S627" s="255"/>
    </row>
    <row r="628" spans="1:19">
      <c r="A628" s="255"/>
      <c r="B628" s="57"/>
      <c r="C628" s="57"/>
      <c r="D628" s="57"/>
      <c r="E628" s="57"/>
      <c r="F628" s="57"/>
      <c r="G628" s="57"/>
      <c r="H628" s="57"/>
      <c r="I628" s="57"/>
      <c r="J628" s="57"/>
      <c r="K628" s="57"/>
      <c r="L628" s="57"/>
      <c r="M628" s="57"/>
      <c r="N628" s="57"/>
      <c r="O628" s="57"/>
      <c r="P628" s="57"/>
      <c r="Q628" s="57"/>
      <c r="R628" s="2058"/>
      <c r="S628" s="255"/>
    </row>
    <row r="629" spans="1:19">
      <c r="A629" s="255"/>
      <c r="B629" s="57"/>
      <c r="C629" s="57"/>
      <c r="D629" s="57"/>
      <c r="E629" s="57"/>
      <c r="F629" s="57"/>
      <c r="G629" s="57"/>
      <c r="H629" s="57"/>
      <c r="I629" s="57"/>
      <c r="J629" s="57"/>
      <c r="K629" s="57"/>
      <c r="L629" s="57"/>
      <c r="M629" s="57"/>
      <c r="N629" s="57"/>
      <c r="O629" s="57"/>
      <c r="P629" s="57"/>
      <c r="Q629" s="57"/>
      <c r="R629" s="2058"/>
      <c r="S629" s="255"/>
    </row>
    <row r="630" spans="1:19">
      <c r="A630" s="255"/>
      <c r="B630" s="57"/>
      <c r="C630" s="57"/>
      <c r="D630" s="57"/>
      <c r="E630" s="57"/>
      <c r="F630" s="57"/>
      <c r="G630" s="57"/>
      <c r="H630" s="57"/>
      <c r="I630" s="57"/>
      <c r="J630" s="57"/>
      <c r="K630" s="57"/>
      <c r="L630" s="57"/>
      <c r="M630" s="57"/>
      <c r="N630" s="57"/>
      <c r="O630" s="57"/>
      <c r="P630" s="57"/>
      <c r="Q630" s="57"/>
      <c r="R630" s="2058"/>
      <c r="S630" s="255"/>
    </row>
    <row r="631" spans="1:19">
      <c r="A631" s="255"/>
      <c r="B631" s="57"/>
      <c r="C631" s="57"/>
      <c r="D631" s="57"/>
      <c r="E631" s="57"/>
      <c r="F631" s="57"/>
      <c r="G631" s="57"/>
      <c r="H631" s="57"/>
      <c r="I631" s="57"/>
      <c r="J631" s="57"/>
      <c r="K631" s="57"/>
      <c r="L631" s="57"/>
      <c r="M631" s="57"/>
      <c r="N631" s="57"/>
      <c r="O631" s="57"/>
      <c r="P631" s="57"/>
      <c r="Q631" s="57"/>
      <c r="R631" s="2058"/>
      <c r="S631" s="255"/>
    </row>
    <row r="632" spans="1:19">
      <c r="A632" s="255"/>
      <c r="B632" s="57"/>
      <c r="C632" s="57"/>
      <c r="D632" s="57"/>
      <c r="E632" s="57"/>
      <c r="F632" s="57"/>
      <c r="G632" s="57"/>
      <c r="H632" s="57"/>
      <c r="I632" s="57"/>
      <c r="J632" s="57"/>
      <c r="K632" s="57"/>
      <c r="L632" s="57"/>
      <c r="M632" s="57"/>
      <c r="N632" s="57"/>
      <c r="O632" s="57"/>
      <c r="P632" s="57"/>
      <c r="Q632" s="57"/>
      <c r="R632" s="2058"/>
      <c r="S632" s="255"/>
    </row>
    <row r="633" spans="1:19">
      <c r="A633" s="255"/>
      <c r="B633" s="57"/>
      <c r="C633" s="57"/>
      <c r="D633" s="57"/>
      <c r="E633" s="57"/>
      <c r="F633" s="57"/>
      <c r="G633" s="57"/>
      <c r="H633" s="57"/>
      <c r="I633" s="57"/>
      <c r="J633" s="57"/>
      <c r="K633" s="57"/>
      <c r="L633" s="57"/>
      <c r="M633" s="57"/>
      <c r="N633" s="57"/>
      <c r="O633" s="57"/>
      <c r="P633" s="57"/>
      <c r="Q633" s="57"/>
      <c r="R633" s="2058"/>
      <c r="S633" s="255"/>
    </row>
    <row r="634" spans="1:19">
      <c r="A634" s="255"/>
      <c r="B634" s="57"/>
      <c r="C634" s="57"/>
      <c r="D634" s="57"/>
      <c r="E634" s="57"/>
      <c r="F634" s="57"/>
      <c r="G634" s="57"/>
      <c r="H634" s="57"/>
      <c r="I634" s="57"/>
      <c r="J634" s="57"/>
      <c r="K634" s="57"/>
      <c r="L634" s="57"/>
      <c r="M634" s="57"/>
      <c r="N634" s="57"/>
      <c r="O634" s="57"/>
      <c r="P634" s="57"/>
      <c r="Q634" s="57"/>
      <c r="R634" s="2058"/>
      <c r="S634" s="255"/>
    </row>
    <row r="635" spans="1:19">
      <c r="A635" s="255"/>
      <c r="B635" s="57"/>
      <c r="C635" s="57"/>
      <c r="D635" s="57"/>
      <c r="E635" s="57"/>
      <c r="F635" s="57"/>
      <c r="G635" s="57"/>
      <c r="H635" s="57"/>
      <c r="I635" s="57"/>
      <c r="J635" s="57"/>
      <c r="K635" s="57"/>
      <c r="L635" s="57"/>
      <c r="M635" s="57"/>
      <c r="N635" s="57"/>
      <c r="O635" s="57"/>
      <c r="P635" s="57"/>
      <c r="Q635" s="57"/>
      <c r="R635" s="2058"/>
      <c r="S635" s="255"/>
    </row>
    <row r="636" spans="1:19">
      <c r="A636" s="255"/>
      <c r="B636" s="57"/>
      <c r="C636" s="57"/>
      <c r="D636" s="57"/>
      <c r="E636" s="57"/>
      <c r="F636" s="57"/>
      <c r="G636" s="57"/>
      <c r="H636" s="57"/>
      <c r="I636" s="57"/>
      <c r="J636" s="57"/>
      <c r="K636" s="57"/>
      <c r="L636" s="57"/>
      <c r="M636" s="57"/>
      <c r="N636" s="57"/>
      <c r="O636" s="57"/>
      <c r="P636" s="57"/>
      <c r="Q636" s="57"/>
      <c r="R636" s="2058"/>
      <c r="S636" s="255"/>
    </row>
    <row r="637" spans="1:19">
      <c r="A637" s="255"/>
      <c r="B637" s="57"/>
      <c r="C637" s="57"/>
      <c r="D637" s="57"/>
      <c r="E637" s="57"/>
      <c r="F637" s="57"/>
      <c r="G637" s="57"/>
      <c r="H637" s="57"/>
      <c r="I637" s="57"/>
      <c r="J637" s="57"/>
      <c r="K637" s="57"/>
      <c r="L637" s="57"/>
      <c r="M637" s="57"/>
      <c r="N637" s="57"/>
      <c r="O637" s="57"/>
      <c r="P637" s="57"/>
      <c r="Q637" s="57"/>
      <c r="R637" s="2058"/>
      <c r="S637" s="255"/>
    </row>
    <row r="638" spans="1:19">
      <c r="A638" s="255"/>
      <c r="B638" s="57"/>
      <c r="C638" s="57"/>
      <c r="D638" s="57"/>
      <c r="E638" s="57"/>
      <c r="F638" s="57"/>
      <c r="G638" s="57"/>
      <c r="H638" s="57"/>
      <c r="I638" s="57"/>
      <c r="J638" s="57"/>
      <c r="K638" s="57"/>
      <c r="L638" s="57"/>
      <c r="M638" s="57"/>
      <c r="N638" s="57"/>
      <c r="O638" s="57"/>
      <c r="P638" s="57"/>
      <c r="Q638" s="57"/>
      <c r="R638" s="2058"/>
      <c r="S638" s="255"/>
    </row>
    <row r="639" spans="1:19">
      <c r="A639" s="255"/>
      <c r="B639" s="57"/>
      <c r="C639" s="57"/>
      <c r="D639" s="57"/>
      <c r="E639" s="57"/>
      <c r="F639" s="57"/>
      <c r="G639" s="57"/>
      <c r="H639" s="57"/>
      <c r="I639" s="57"/>
      <c r="J639" s="57"/>
      <c r="K639" s="57"/>
      <c r="L639" s="57"/>
      <c r="M639" s="57"/>
      <c r="N639" s="57"/>
      <c r="O639" s="57"/>
      <c r="P639" s="57"/>
      <c r="Q639" s="57"/>
      <c r="R639" s="2058"/>
      <c r="S639" s="255"/>
    </row>
    <row r="640" spans="1:19">
      <c r="A640" s="255"/>
      <c r="B640" s="57"/>
      <c r="C640" s="57"/>
      <c r="D640" s="57"/>
      <c r="E640" s="57"/>
      <c r="F640" s="57"/>
      <c r="G640" s="57"/>
      <c r="H640" s="57"/>
      <c r="I640" s="57"/>
      <c r="J640" s="57"/>
      <c r="K640" s="57"/>
      <c r="L640" s="57"/>
      <c r="M640" s="57"/>
      <c r="N640" s="57"/>
      <c r="O640" s="57"/>
      <c r="P640" s="57"/>
      <c r="Q640" s="57"/>
      <c r="R640" s="2058"/>
      <c r="S640" s="255"/>
    </row>
    <row r="641" spans="1:19">
      <c r="A641" s="255"/>
      <c r="B641" s="57"/>
      <c r="C641" s="57"/>
      <c r="D641" s="57"/>
      <c r="E641" s="57"/>
      <c r="F641" s="57"/>
      <c r="G641" s="57"/>
      <c r="H641" s="57"/>
      <c r="I641" s="57"/>
      <c r="J641" s="57"/>
      <c r="K641" s="57"/>
      <c r="L641" s="57"/>
      <c r="M641" s="57"/>
      <c r="N641" s="57"/>
      <c r="O641" s="57"/>
      <c r="P641" s="57"/>
      <c r="Q641" s="57"/>
      <c r="R641" s="2058"/>
      <c r="S641" s="255"/>
    </row>
    <row r="642" spans="1:19">
      <c r="A642" s="255"/>
      <c r="B642" s="57"/>
      <c r="C642" s="57"/>
      <c r="D642" s="57"/>
      <c r="E642" s="57"/>
      <c r="F642" s="57"/>
      <c r="G642" s="57"/>
      <c r="H642" s="57"/>
      <c r="I642" s="57"/>
      <c r="J642" s="57"/>
      <c r="K642" s="57"/>
      <c r="L642" s="57"/>
      <c r="M642" s="57"/>
      <c r="N642" s="57"/>
      <c r="O642" s="57"/>
      <c r="P642" s="57"/>
      <c r="Q642" s="57"/>
      <c r="R642" s="2058"/>
      <c r="S642" s="255"/>
    </row>
    <row r="643" spans="1:19">
      <c r="A643" s="255"/>
      <c r="B643" s="57"/>
      <c r="C643" s="57"/>
      <c r="D643" s="57"/>
      <c r="E643" s="57"/>
      <c r="F643" s="57"/>
      <c r="G643" s="57"/>
      <c r="H643" s="57"/>
      <c r="I643" s="57"/>
      <c r="J643" s="57"/>
      <c r="K643" s="57"/>
      <c r="L643" s="57"/>
      <c r="M643" s="57"/>
      <c r="N643" s="57"/>
      <c r="O643" s="57"/>
      <c r="P643" s="57"/>
      <c r="Q643" s="57"/>
      <c r="R643" s="2058"/>
      <c r="S643" s="255"/>
    </row>
    <row r="644" spans="1:19">
      <c r="A644" s="255"/>
      <c r="B644" s="57"/>
      <c r="C644" s="57"/>
      <c r="D644" s="57"/>
      <c r="E644" s="57"/>
      <c r="F644" s="57"/>
      <c r="G644" s="57"/>
      <c r="H644" s="57"/>
      <c r="I644" s="57"/>
      <c r="J644" s="57"/>
      <c r="K644" s="57"/>
      <c r="L644" s="57"/>
      <c r="M644" s="57"/>
      <c r="N644" s="57"/>
      <c r="O644" s="57"/>
      <c r="P644" s="57"/>
      <c r="Q644" s="57"/>
      <c r="R644" s="2058"/>
      <c r="S644" s="255"/>
    </row>
    <row r="645" spans="1:19">
      <c r="A645" s="255"/>
      <c r="B645" s="57"/>
      <c r="C645" s="57"/>
      <c r="D645" s="57"/>
      <c r="E645" s="57"/>
      <c r="F645" s="57"/>
      <c r="G645" s="57"/>
      <c r="H645" s="57"/>
      <c r="I645" s="57"/>
      <c r="J645" s="57"/>
      <c r="K645" s="57"/>
      <c r="L645" s="57"/>
      <c r="M645" s="57"/>
      <c r="N645" s="57"/>
      <c r="O645" s="57"/>
      <c r="P645" s="57"/>
      <c r="Q645" s="57"/>
      <c r="R645" s="2058"/>
      <c r="S645" s="255"/>
    </row>
    <row r="646" spans="1:19">
      <c r="A646" s="255"/>
      <c r="B646" s="57"/>
      <c r="C646" s="57"/>
      <c r="D646" s="57"/>
      <c r="E646" s="57"/>
      <c r="F646" s="57"/>
      <c r="G646" s="57"/>
      <c r="H646" s="57"/>
      <c r="I646" s="57"/>
      <c r="J646" s="57"/>
      <c r="K646" s="57"/>
      <c r="L646" s="57"/>
      <c r="M646" s="57"/>
      <c r="N646" s="57"/>
      <c r="O646" s="57"/>
      <c r="P646" s="57"/>
      <c r="Q646" s="57"/>
      <c r="R646" s="2058"/>
      <c r="S646" s="255"/>
    </row>
    <row r="647" spans="1:19">
      <c r="A647" s="255"/>
      <c r="B647" s="57"/>
      <c r="C647" s="57"/>
      <c r="D647" s="57"/>
      <c r="E647" s="57"/>
      <c r="F647" s="57"/>
      <c r="G647" s="57"/>
      <c r="H647" s="57"/>
      <c r="I647" s="57"/>
      <c r="J647" s="57"/>
      <c r="K647" s="57"/>
      <c r="L647" s="57"/>
      <c r="M647" s="57"/>
      <c r="N647" s="57"/>
      <c r="O647" s="57"/>
      <c r="P647" s="57"/>
      <c r="Q647" s="57"/>
      <c r="R647" s="2058"/>
      <c r="S647" s="255"/>
    </row>
    <row r="648" spans="1:19">
      <c r="A648" s="255"/>
      <c r="B648" s="57"/>
      <c r="C648" s="57"/>
      <c r="D648" s="57"/>
      <c r="E648" s="57"/>
      <c r="F648" s="57"/>
      <c r="G648" s="57"/>
      <c r="H648" s="57"/>
      <c r="I648" s="57"/>
      <c r="J648" s="57"/>
      <c r="K648" s="57"/>
      <c r="L648" s="57"/>
      <c r="M648" s="57"/>
      <c r="N648" s="57"/>
      <c r="O648" s="57"/>
      <c r="P648" s="57"/>
      <c r="Q648" s="57"/>
      <c r="R648" s="2058"/>
      <c r="S648" s="255"/>
    </row>
    <row r="649" spans="1:19">
      <c r="A649" s="255"/>
      <c r="B649" s="57"/>
      <c r="C649" s="57"/>
      <c r="D649" s="57"/>
      <c r="E649" s="57"/>
      <c r="F649" s="57"/>
      <c r="G649" s="57"/>
      <c r="H649" s="57"/>
      <c r="I649" s="57"/>
      <c r="J649" s="57"/>
      <c r="K649" s="57"/>
      <c r="L649" s="57"/>
      <c r="M649" s="57"/>
      <c r="N649" s="57"/>
      <c r="O649" s="57"/>
      <c r="P649" s="57"/>
      <c r="Q649" s="57"/>
      <c r="R649" s="2058"/>
      <c r="S649" s="255"/>
    </row>
    <row r="650" spans="1:19">
      <c r="A650" s="255"/>
      <c r="B650" s="57"/>
      <c r="C650" s="57"/>
      <c r="D650" s="57"/>
      <c r="E650" s="57"/>
      <c r="F650" s="57"/>
      <c r="G650" s="57"/>
      <c r="H650" s="57"/>
      <c r="I650" s="57"/>
      <c r="J650" s="57"/>
      <c r="K650" s="57"/>
      <c r="L650" s="57"/>
      <c r="M650" s="57"/>
      <c r="N650" s="57"/>
      <c r="O650" s="57"/>
      <c r="P650" s="57"/>
      <c r="Q650" s="57"/>
      <c r="R650" s="2058"/>
      <c r="S650" s="255"/>
    </row>
    <row r="651" spans="1:19">
      <c r="A651" s="255"/>
      <c r="B651" s="57"/>
      <c r="C651" s="57"/>
      <c r="D651" s="57"/>
      <c r="E651" s="57"/>
      <c r="F651" s="57"/>
      <c r="G651" s="57"/>
      <c r="H651" s="57"/>
      <c r="I651" s="57"/>
      <c r="J651" s="57"/>
      <c r="K651" s="57"/>
      <c r="L651" s="57"/>
      <c r="M651" s="57"/>
      <c r="N651" s="57"/>
      <c r="O651" s="57"/>
      <c r="P651" s="57"/>
      <c r="Q651" s="57"/>
      <c r="R651" s="2058"/>
      <c r="S651" s="255"/>
    </row>
    <row r="652" spans="1:19">
      <c r="A652" s="255"/>
      <c r="B652" s="57"/>
      <c r="C652" s="57"/>
      <c r="D652" s="57"/>
      <c r="E652" s="57"/>
      <c r="F652" s="57"/>
      <c r="G652" s="57"/>
      <c r="H652" s="57"/>
      <c r="I652" s="57"/>
      <c r="J652" s="57"/>
      <c r="K652" s="57"/>
      <c r="L652" s="57"/>
      <c r="M652" s="57"/>
      <c r="N652" s="57"/>
      <c r="O652" s="57"/>
      <c r="P652" s="57"/>
      <c r="Q652" s="57"/>
      <c r="R652" s="2058"/>
      <c r="S652" s="255"/>
    </row>
    <row r="653" spans="1:19">
      <c r="A653" s="255"/>
      <c r="B653" s="57"/>
      <c r="C653" s="57"/>
      <c r="D653" s="57"/>
      <c r="E653" s="57"/>
      <c r="F653" s="57"/>
      <c r="G653" s="57"/>
      <c r="H653" s="57"/>
      <c r="I653" s="57"/>
      <c r="J653" s="57"/>
      <c r="K653" s="57"/>
      <c r="L653" s="57"/>
      <c r="M653" s="57"/>
      <c r="N653" s="57"/>
      <c r="O653" s="57"/>
      <c r="P653" s="57"/>
      <c r="Q653" s="57"/>
      <c r="R653" s="2058"/>
      <c r="S653" s="255"/>
    </row>
    <row r="654" spans="1:19">
      <c r="A654" s="255"/>
      <c r="B654" s="57"/>
      <c r="C654" s="57"/>
      <c r="D654" s="57"/>
      <c r="E654" s="57"/>
      <c r="F654" s="57"/>
      <c r="G654" s="57"/>
      <c r="H654" s="57"/>
      <c r="I654" s="57"/>
      <c r="J654" s="57"/>
      <c r="K654" s="57"/>
      <c r="L654" s="57"/>
      <c r="M654" s="57"/>
      <c r="N654" s="57"/>
      <c r="O654" s="57"/>
      <c r="P654" s="57"/>
      <c r="Q654" s="57"/>
      <c r="R654" s="2058"/>
      <c r="S654" s="255"/>
    </row>
    <row r="655" spans="1:19">
      <c r="A655" s="255"/>
      <c r="B655" s="57"/>
      <c r="C655" s="57"/>
      <c r="D655" s="57"/>
      <c r="E655" s="57"/>
      <c r="F655" s="57"/>
      <c r="G655" s="57"/>
      <c r="H655" s="57"/>
      <c r="I655" s="57"/>
      <c r="J655" s="57"/>
      <c r="K655" s="57"/>
      <c r="L655" s="57"/>
      <c r="M655" s="57"/>
      <c r="N655" s="57"/>
      <c r="O655" s="57"/>
      <c r="P655" s="57"/>
      <c r="Q655" s="57"/>
      <c r="R655" s="2058"/>
      <c r="S655" s="255"/>
    </row>
    <row r="656" spans="1:19">
      <c r="A656" s="255"/>
      <c r="B656" s="57"/>
      <c r="C656" s="57"/>
      <c r="D656" s="57"/>
      <c r="E656" s="57"/>
      <c r="F656" s="57"/>
      <c r="G656" s="57"/>
      <c r="H656" s="57"/>
      <c r="I656" s="57"/>
      <c r="J656" s="57"/>
      <c r="K656" s="57"/>
      <c r="L656" s="57"/>
      <c r="M656" s="57"/>
      <c r="N656" s="57"/>
      <c r="O656" s="57"/>
      <c r="P656" s="57"/>
      <c r="Q656" s="57"/>
      <c r="R656" s="2058"/>
      <c r="S656" s="255"/>
    </row>
    <row r="657" spans="1:19">
      <c r="A657" s="255"/>
      <c r="B657" s="57"/>
      <c r="C657" s="57"/>
      <c r="D657" s="57"/>
      <c r="E657" s="57"/>
      <c r="F657" s="57"/>
      <c r="G657" s="57"/>
      <c r="H657" s="57"/>
      <c r="I657" s="57"/>
      <c r="J657" s="57"/>
      <c r="K657" s="57"/>
      <c r="L657" s="57"/>
      <c r="M657" s="57"/>
      <c r="N657" s="57"/>
      <c r="O657" s="57"/>
      <c r="P657" s="57"/>
      <c r="Q657" s="57"/>
      <c r="R657" s="2058"/>
      <c r="S657" s="255"/>
    </row>
    <row r="658" spans="1:19">
      <c r="A658" s="255"/>
      <c r="B658" s="57"/>
      <c r="C658" s="57"/>
      <c r="D658" s="57"/>
      <c r="E658" s="57"/>
      <c r="F658" s="57"/>
      <c r="G658" s="57"/>
      <c r="H658" s="57"/>
      <c r="I658" s="57"/>
      <c r="J658" s="57"/>
      <c r="K658" s="57"/>
      <c r="L658" s="57"/>
      <c r="M658" s="57"/>
      <c r="N658" s="57"/>
      <c r="O658" s="57"/>
      <c r="P658" s="57"/>
      <c r="Q658" s="57"/>
      <c r="R658" s="2058"/>
      <c r="S658" s="255"/>
    </row>
    <row r="659" spans="1:19">
      <c r="A659" s="255"/>
      <c r="B659" s="57"/>
      <c r="C659" s="57"/>
      <c r="D659" s="57"/>
      <c r="E659" s="57"/>
      <c r="F659" s="57"/>
      <c r="G659" s="57"/>
      <c r="H659" s="57"/>
      <c r="I659" s="57"/>
      <c r="J659" s="57"/>
      <c r="K659" s="57"/>
      <c r="L659" s="57"/>
      <c r="M659" s="57"/>
      <c r="N659" s="57"/>
      <c r="O659" s="57"/>
      <c r="P659" s="57"/>
      <c r="Q659" s="57"/>
      <c r="R659" s="2058"/>
      <c r="S659" s="255"/>
    </row>
    <row r="660" spans="1:19">
      <c r="A660" s="255"/>
      <c r="B660" s="57"/>
      <c r="C660" s="57"/>
      <c r="D660" s="57"/>
      <c r="E660" s="57"/>
      <c r="F660" s="57"/>
      <c r="G660" s="57"/>
      <c r="H660" s="57"/>
      <c r="I660" s="57"/>
      <c r="J660" s="57"/>
      <c r="K660" s="57"/>
      <c r="L660" s="57"/>
      <c r="M660" s="57"/>
      <c r="N660" s="57"/>
      <c r="O660" s="57"/>
      <c r="P660" s="57"/>
      <c r="Q660" s="57"/>
      <c r="R660" s="2058"/>
      <c r="S660" s="255"/>
    </row>
    <row r="661" spans="1:19">
      <c r="A661" s="255"/>
      <c r="B661" s="57"/>
      <c r="C661" s="57"/>
      <c r="D661" s="57"/>
      <c r="E661" s="57"/>
      <c r="F661" s="57"/>
      <c r="G661" s="57"/>
      <c r="H661" s="57"/>
      <c r="I661" s="57"/>
      <c r="J661" s="57"/>
      <c r="K661" s="57"/>
      <c r="L661" s="57"/>
      <c r="M661" s="57"/>
      <c r="N661" s="57"/>
      <c r="O661" s="57"/>
      <c r="P661" s="57"/>
      <c r="Q661" s="57"/>
      <c r="R661" s="2058"/>
      <c r="S661" s="255"/>
    </row>
    <row r="662" spans="1:19">
      <c r="A662" s="255"/>
      <c r="B662" s="57"/>
      <c r="C662" s="57"/>
      <c r="D662" s="57"/>
      <c r="E662" s="57"/>
      <c r="F662" s="57"/>
      <c r="G662" s="57"/>
      <c r="H662" s="57"/>
      <c r="I662" s="57"/>
      <c r="J662" s="57"/>
      <c r="K662" s="57"/>
      <c r="L662" s="57"/>
      <c r="M662" s="57"/>
      <c r="N662" s="57"/>
      <c r="O662" s="57"/>
      <c r="P662" s="57"/>
      <c r="Q662" s="57"/>
      <c r="R662" s="2058"/>
      <c r="S662" s="255"/>
    </row>
    <row r="663" spans="1:19">
      <c r="A663" s="255"/>
      <c r="B663" s="57"/>
      <c r="C663" s="57"/>
      <c r="D663" s="57"/>
      <c r="E663" s="57"/>
      <c r="F663" s="57"/>
      <c r="G663" s="57"/>
      <c r="H663" s="57"/>
      <c r="I663" s="57"/>
      <c r="J663" s="57"/>
      <c r="K663" s="57"/>
      <c r="L663" s="57"/>
      <c r="M663" s="57"/>
      <c r="N663" s="57"/>
      <c r="O663" s="57"/>
      <c r="P663" s="57"/>
      <c r="Q663" s="57"/>
      <c r="R663" s="2058"/>
      <c r="S663" s="255"/>
    </row>
    <row r="664" spans="1:19">
      <c r="A664" s="255"/>
      <c r="B664" s="57"/>
      <c r="C664" s="57"/>
      <c r="D664" s="57"/>
      <c r="E664" s="57"/>
      <c r="F664" s="57"/>
      <c r="G664" s="57"/>
      <c r="H664" s="57"/>
      <c r="I664" s="57"/>
      <c r="J664" s="57"/>
      <c r="K664" s="57"/>
      <c r="L664" s="57"/>
      <c r="M664" s="57"/>
      <c r="N664" s="57"/>
      <c r="O664" s="57"/>
      <c r="P664" s="57"/>
      <c r="Q664" s="57"/>
      <c r="R664" s="2058"/>
      <c r="S664" s="255"/>
    </row>
    <row r="665" spans="1:19">
      <c r="A665" s="255"/>
      <c r="B665" s="57"/>
      <c r="C665" s="57"/>
      <c r="D665" s="57"/>
      <c r="E665" s="57"/>
      <c r="F665" s="57"/>
      <c r="G665" s="57"/>
      <c r="H665" s="57"/>
      <c r="I665" s="57"/>
      <c r="J665" s="57"/>
      <c r="K665" s="57"/>
      <c r="L665" s="57"/>
      <c r="M665" s="57"/>
      <c r="N665" s="57"/>
      <c r="O665" s="57"/>
      <c r="P665" s="57"/>
      <c r="Q665" s="57"/>
      <c r="R665" s="2058"/>
      <c r="S665" s="255"/>
    </row>
    <row r="666" spans="1:19">
      <c r="A666" s="255"/>
      <c r="B666" s="57"/>
      <c r="C666" s="57"/>
      <c r="D666" s="57"/>
      <c r="E666" s="57"/>
      <c r="F666" s="57"/>
      <c r="G666" s="57"/>
      <c r="H666" s="57"/>
      <c r="I666" s="57"/>
      <c r="J666" s="57"/>
      <c r="K666" s="57"/>
      <c r="L666" s="57"/>
      <c r="M666" s="57"/>
      <c r="N666" s="57"/>
      <c r="O666" s="57"/>
      <c r="P666" s="57"/>
      <c r="Q666" s="57"/>
      <c r="R666" s="2058"/>
      <c r="S666" s="255"/>
    </row>
    <row r="667" spans="1:19">
      <c r="A667" s="255"/>
      <c r="B667" s="57"/>
      <c r="C667" s="57"/>
      <c r="D667" s="57"/>
      <c r="E667" s="57"/>
      <c r="F667" s="57"/>
      <c r="G667" s="57"/>
      <c r="H667" s="57"/>
      <c r="I667" s="57"/>
      <c r="J667" s="57"/>
      <c r="K667" s="57"/>
      <c r="L667" s="57"/>
      <c r="M667" s="57"/>
      <c r="N667" s="57"/>
      <c r="O667" s="57"/>
      <c r="P667" s="57"/>
      <c r="Q667" s="57"/>
      <c r="R667" s="2058"/>
      <c r="S667" s="255"/>
    </row>
    <row r="668" spans="1:19">
      <c r="A668" s="255"/>
      <c r="B668" s="57"/>
      <c r="C668" s="57"/>
      <c r="D668" s="57"/>
      <c r="E668" s="57"/>
      <c r="F668" s="57"/>
      <c r="G668" s="57"/>
      <c r="H668" s="57"/>
      <c r="I668" s="57"/>
      <c r="J668" s="57"/>
      <c r="K668" s="57"/>
      <c r="L668" s="57"/>
      <c r="M668" s="57"/>
      <c r="N668" s="57"/>
      <c r="O668" s="57"/>
      <c r="P668" s="57"/>
      <c r="Q668" s="57"/>
      <c r="R668" s="2058"/>
      <c r="S668" s="255"/>
    </row>
    <row r="669" spans="1:19">
      <c r="A669" s="255"/>
      <c r="B669" s="57"/>
      <c r="C669" s="57"/>
      <c r="D669" s="57"/>
      <c r="E669" s="57"/>
      <c r="F669" s="57"/>
      <c r="G669" s="57"/>
      <c r="H669" s="57"/>
      <c r="I669" s="57"/>
      <c r="J669" s="57"/>
      <c r="K669" s="57"/>
      <c r="L669" s="57"/>
      <c r="M669" s="57"/>
      <c r="N669" s="57"/>
      <c r="O669" s="57"/>
      <c r="P669" s="57"/>
      <c r="Q669" s="57"/>
      <c r="R669" s="2058"/>
      <c r="S669" s="255"/>
    </row>
    <row r="670" spans="1:19">
      <c r="A670" s="255"/>
      <c r="B670" s="57"/>
      <c r="C670" s="57"/>
      <c r="D670" s="57"/>
      <c r="E670" s="57"/>
      <c r="F670" s="57"/>
      <c r="G670" s="57"/>
      <c r="H670" s="57"/>
      <c r="I670" s="57"/>
      <c r="J670" s="57"/>
      <c r="K670" s="57"/>
      <c r="L670" s="57"/>
      <c r="M670" s="57"/>
      <c r="N670" s="57"/>
      <c r="O670" s="57"/>
      <c r="P670" s="57"/>
      <c r="Q670" s="57"/>
      <c r="R670" s="2058"/>
      <c r="S670" s="255"/>
    </row>
    <row r="671" spans="1:19">
      <c r="A671" s="255"/>
      <c r="B671" s="57"/>
      <c r="C671" s="57"/>
      <c r="D671" s="57"/>
      <c r="E671" s="57"/>
      <c r="F671" s="57"/>
      <c r="G671" s="57"/>
      <c r="H671" s="57"/>
      <c r="I671" s="57"/>
      <c r="J671" s="57"/>
      <c r="K671" s="57"/>
      <c r="L671" s="57"/>
      <c r="M671" s="57"/>
      <c r="N671" s="57"/>
      <c r="O671" s="57"/>
      <c r="P671" s="57"/>
      <c r="Q671" s="57"/>
      <c r="R671" s="2058"/>
      <c r="S671" s="255"/>
    </row>
    <row r="672" spans="1:19">
      <c r="A672" s="255"/>
      <c r="B672" s="57"/>
      <c r="C672" s="57"/>
      <c r="D672" s="57"/>
      <c r="E672" s="57"/>
      <c r="F672" s="57"/>
      <c r="G672" s="57"/>
      <c r="H672" s="57"/>
      <c r="I672" s="57"/>
      <c r="J672" s="57"/>
      <c r="K672" s="57"/>
      <c r="L672" s="57"/>
      <c r="M672" s="57"/>
      <c r="N672" s="57"/>
      <c r="O672" s="57"/>
      <c r="P672" s="57"/>
      <c r="Q672" s="57"/>
      <c r="R672" s="2058"/>
      <c r="S672" s="255"/>
    </row>
    <row r="673" spans="1:19">
      <c r="A673" s="255"/>
      <c r="B673" s="57"/>
      <c r="C673" s="57"/>
      <c r="D673" s="57"/>
      <c r="E673" s="57"/>
      <c r="F673" s="57"/>
      <c r="G673" s="57"/>
      <c r="H673" s="57"/>
      <c r="I673" s="57"/>
      <c r="J673" s="57"/>
      <c r="K673" s="57"/>
      <c r="L673" s="57"/>
      <c r="M673" s="57"/>
      <c r="N673" s="57"/>
      <c r="O673" s="57"/>
      <c r="P673" s="57"/>
      <c r="Q673" s="57"/>
      <c r="R673" s="2058"/>
      <c r="S673" s="255"/>
    </row>
    <row r="674" spans="1:19">
      <c r="A674" s="255"/>
      <c r="B674" s="57"/>
      <c r="C674" s="57"/>
      <c r="D674" s="57"/>
      <c r="E674" s="57"/>
      <c r="F674" s="57"/>
      <c r="G674" s="57"/>
      <c r="H674" s="57"/>
      <c r="I674" s="57"/>
      <c r="J674" s="57"/>
      <c r="K674" s="57"/>
      <c r="L674" s="57"/>
      <c r="M674" s="57"/>
      <c r="N674" s="57"/>
      <c r="O674" s="57"/>
      <c r="P674" s="57"/>
      <c r="Q674" s="57"/>
      <c r="R674" s="2058"/>
      <c r="S674" s="255"/>
    </row>
    <row r="675" spans="1:19">
      <c r="A675" s="255"/>
      <c r="B675" s="57"/>
      <c r="C675" s="57"/>
      <c r="D675" s="57"/>
      <c r="E675" s="57"/>
      <c r="F675" s="57"/>
      <c r="G675" s="57"/>
      <c r="H675" s="57"/>
      <c r="I675" s="57"/>
      <c r="J675" s="57"/>
      <c r="K675" s="57"/>
      <c r="L675" s="57"/>
      <c r="M675" s="57"/>
      <c r="N675" s="57"/>
      <c r="O675" s="57"/>
      <c r="P675" s="57"/>
      <c r="Q675" s="57"/>
      <c r="R675" s="2058"/>
      <c r="S675" s="255"/>
    </row>
    <row r="676" spans="1:19">
      <c r="A676" s="255"/>
      <c r="B676" s="57"/>
      <c r="C676" s="57"/>
      <c r="D676" s="57"/>
      <c r="E676" s="57"/>
      <c r="F676" s="57"/>
      <c r="G676" s="57"/>
      <c r="H676" s="57"/>
      <c r="I676" s="57"/>
      <c r="J676" s="57"/>
      <c r="K676" s="57"/>
      <c r="L676" s="57"/>
      <c r="M676" s="57"/>
      <c r="N676" s="57"/>
      <c r="O676" s="57"/>
      <c r="P676" s="57"/>
      <c r="Q676" s="57"/>
      <c r="R676" s="2058"/>
      <c r="S676" s="255"/>
    </row>
    <row r="677" spans="1:19">
      <c r="A677" s="255"/>
      <c r="B677" s="57"/>
      <c r="C677" s="57"/>
      <c r="D677" s="57"/>
      <c r="E677" s="57"/>
      <c r="F677" s="57"/>
      <c r="G677" s="57"/>
      <c r="H677" s="57"/>
      <c r="I677" s="57"/>
      <c r="J677" s="57"/>
      <c r="K677" s="57"/>
      <c r="L677" s="57"/>
      <c r="M677" s="57"/>
      <c r="N677" s="57"/>
      <c r="O677" s="57"/>
      <c r="P677" s="57"/>
      <c r="Q677" s="57"/>
      <c r="R677" s="2058"/>
      <c r="S677" s="255"/>
    </row>
    <row r="678" spans="1:19">
      <c r="A678" s="255"/>
      <c r="B678" s="57"/>
      <c r="C678" s="57"/>
      <c r="D678" s="57"/>
      <c r="E678" s="57"/>
      <c r="F678" s="57"/>
      <c r="G678" s="57"/>
      <c r="H678" s="57"/>
      <c r="I678" s="57"/>
      <c r="J678" s="57"/>
      <c r="K678" s="57"/>
      <c r="L678" s="57"/>
      <c r="M678" s="57"/>
      <c r="N678" s="57"/>
      <c r="O678" s="57"/>
      <c r="P678" s="57"/>
      <c r="Q678" s="57"/>
      <c r="R678" s="2058"/>
      <c r="S678" s="255"/>
    </row>
    <row r="679" spans="1:19">
      <c r="A679" s="255"/>
      <c r="B679" s="57"/>
      <c r="C679" s="57"/>
      <c r="D679" s="57"/>
      <c r="E679" s="57"/>
      <c r="F679" s="57"/>
      <c r="G679" s="57"/>
      <c r="H679" s="57"/>
      <c r="I679" s="57"/>
      <c r="J679" s="57"/>
      <c r="K679" s="57"/>
      <c r="L679" s="57"/>
      <c r="M679" s="57"/>
      <c r="N679" s="57"/>
      <c r="O679" s="57"/>
      <c r="P679" s="57"/>
      <c r="Q679" s="57"/>
      <c r="R679" s="2058"/>
      <c r="S679" s="255"/>
    </row>
    <row r="680" spans="1:19">
      <c r="A680" s="255"/>
      <c r="B680" s="57"/>
      <c r="C680" s="57"/>
      <c r="D680" s="57"/>
      <c r="E680" s="57"/>
      <c r="F680" s="57"/>
      <c r="G680" s="57"/>
      <c r="H680" s="57"/>
      <c r="I680" s="57"/>
      <c r="J680" s="57"/>
      <c r="K680" s="57"/>
      <c r="L680" s="57"/>
      <c r="M680" s="57"/>
      <c r="N680" s="57"/>
      <c r="O680" s="57"/>
      <c r="P680" s="57"/>
      <c r="Q680" s="57"/>
      <c r="R680" s="2058"/>
      <c r="S680" s="255"/>
    </row>
    <row r="681" spans="1:19">
      <c r="A681" s="255"/>
      <c r="B681" s="57"/>
      <c r="C681" s="57"/>
      <c r="D681" s="57"/>
      <c r="E681" s="57"/>
      <c r="F681" s="57"/>
      <c r="G681" s="57"/>
      <c r="H681" s="57"/>
      <c r="I681" s="57"/>
      <c r="J681" s="57"/>
      <c r="K681" s="57"/>
      <c r="L681" s="57"/>
      <c r="M681" s="57"/>
      <c r="N681" s="57"/>
      <c r="O681" s="57"/>
      <c r="P681" s="57"/>
      <c r="Q681" s="57"/>
      <c r="R681" s="2058"/>
      <c r="S681" s="255"/>
    </row>
    <row r="682" spans="1:19">
      <c r="A682" s="255"/>
      <c r="B682" s="57"/>
      <c r="C682" s="57"/>
      <c r="D682" s="57"/>
      <c r="E682" s="57"/>
      <c r="F682" s="57"/>
      <c r="G682" s="57"/>
      <c r="H682" s="57"/>
      <c r="I682" s="57"/>
      <c r="J682" s="57"/>
      <c r="K682" s="57"/>
      <c r="L682" s="57"/>
      <c r="M682" s="57"/>
      <c r="N682" s="57"/>
      <c r="O682" s="57"/>
      <c r="P682" s="57"/>
      <c r="Q682" s="57"/>
      <c r="R682" s="205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61"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60" zoomScaleNormal="60" workbookViewId="0">
      <selection activeCell="I8" sqref="I8"/>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2387" t="s">
        <v>701</v>
      </c>
      <c r="C1" s="2388" t="s">
        <v>702</v>
      </c>
      <c r="D1" s="2389" t="s">
        <v>3152</v>
      </c>
      <c r="E1" s="1961"/>
      <c r="F1" s="2444" t="s">
        <v>3410</v>
      </c>
      <c r="G1" s="1485" t="s">
        <v>703</v>
      </c>
      <c r="H1" s="483"/>
      <c r="I1" s="483"/>
      <c r="J1" s="483"/>
      <c r="K1" s="484"/>
      <c r="L1" s="3115"/>
      <c r="M1" s="3116"/>
      <c r="N1" s="3116"/>
      <c r="O1" s="3116"/>
      <c r="P1" s="1453"/>
      <c r="Q1" s="1453"/>
      <c r="R1" s="1453"/>
      <c r="S1" s="1453"/>
      <c r="T1" s="1453"/>
      <c r="U1" s="1453"/>
      <c r="V1" s="1453"/>
      <c r="W1" s="1453"/>
      <c r="X1" s="1453"/>
      <c r="Y1" s="1453"/>
      <c r="Z1" s="1453"/>
      <c r="AA1" s="1453"/>
      <c r="AB1" s="1453"/>
      <c r="AC1" s="1454"/>
    </row>
    <row r="2" spans="1:29" s="1269" customFormat="1" ht="28.5" customHeight="1">
      <c r="A2" s="417" t="s">
        <v>461</v>
      </c>
      <c r="B2" s="2386">
        <f>ROUND(B3*D3/10000,0)</f>
        <v>17508</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9" customFormat="1" ht="28.5" customHeight="1" thickBot="1">
      <c r="A3" s="486" t="s">
        <v>502</v>
      </c>
      <c r="B3" s="823">
        <f>C49</f>
        <v>7472</v>
      </c>
      <c r="C3" s="824" t="s">
        <v>704</v>
      </c>
      <c r="D3" s="823">
        <f>SUMIF('数据-汇总表'!$C19:$C33,D1,'数据-汇总表'!$E19:$E33)</f>
        <v>23431.62</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5">
      <c r="A4" s="489" t="s">
        <v>504</v>
      </c>
      <c r="B4" s="490"/>
      <c r="C4" s="3677" t="s">
        <v>505</v>
      </c>
      <c r="D4" s="3678"/>
      <c r="E4" s="3716" t="s">
        <v>506</v>
      </c>
      <c r="F4" s="3717"/>
      <c r="G4" s="3677" t="s">
        <v>507</v>
      </c>
      <c r="H4" s="3678"/>
      <c r="I4" s="3677" t="s">
        <v>508</v>
      </c>
      <c r="J4" s="3678"/>
      <c r="K4" s="825" t="s">
        <v>509</v>
      </c>
      <c r="L4" s="1967"/>
      <c r="M4" s="1968"/>
      <c r="N4" s="1968"/>
      <c r="O4" s="1968"/>
      <c r="P4" s="3679" t="s">
        <v>510</v>
      </c>
      <c r="Q4" s="3680"/>
      <c r="R4" s="3685" t="s">
        <v>506</v>
      </c>
      <c r="S4" s="3686"/>
      <c r="T4" s="3685" t="s">
        <v>507</v>
      </c>
      <c r="U4" s="3686"/>
      <c r="V4" s="3672" t="s">
        <v>508</v>
      </c>
      <c r="W4" s="3672"/>
      <c r="X4" s="3454"/>
      <c r="Y4" s="3685" t="s">
        <v>510</v>
      </c>
      <c r="Z4" s="3686"/>
      <c r="AA4" s="3674" t="s">
        <v>506</v>
      </c>
      <c r="AB4" s="3674" t="s">
        <v>507</v>
      </c>
      <c r="AC4" s="3674" t="s">
        <v>508</v>
      </c>
    </row>
    <row r="5" spans="1:29" ht="15">
      <c r="A5" s="492"/>
      <c r="B5" s="493"/>
      <c r="C5" s="3693" t="s">
        <v>2630</v>
      </c>
      <c r="D5" s="3694"/>
      <c r="E5" s="3718" t="str">
        <f>Sheet4!E32</f>
        <v>升龙天汇8号院</v>
      </c>
      <c r="F5" s="3719"/>
      <c r="G5" s="3693" t="str">
        <f>Sheet4!E33</f>
        <v>升龙天汇6号院</v>
      </c>
      <c r="H5" s="3694"/>
      <c r="I5" s="3693" t="str">
        <f>Sheet4!E34</f>
        <v>乐丁广场</v>
      </c>
      <c r="J5" s="3694"/>
      <c r="K5" s="826"/>
      <c r="L5" s="1967"/>
      <c r="M5" s="1968"/>
      <c r="N5" s="1968"/>
      <c r="O5" s="1968"/>
      <c r="P5" s="3681"/>
      <c r="Q5" s="3682"/>
      <c r="R5" s="3687"/>
      <c r="S5" s="3688"/>
      <c r="T5" s="3687"/>
      <c r="U5" s="3688"/>
      <c r="V5" s="3672"/>
      <c r="W5" s="3672"/>
      <c r="X5" s="3454"/>
      <c r="Y5" s="3687"/>
      <c r="Z5" s="3688"/>
      <c r="AA5" s="3675"/>
      <c r="AB5" s="3675"/>
      <c r="AC5" s="3675"/>
    </row>
    <row r="6" spans="1:29" ht="15.75" thickBot="1">
      <c r="A6" s="494"/>
      <c r="B6" s="495"/>
      <c r="C6" s="3691" t="s">
        <v>2634</v>
      </c>
      <c r="D6" s="3692"/>
      <c r="E6" s="3714" t="s">
        <v>2634</v>
      </c>
      <c r="F6" s="3715"/>
      <c r="G6" s="3691" t="s">
        <v>2634</v>
      </c>
      <c r="H6" s="3692"/>
      <c r="I6" s="3691" t="s">
        <v>2634</v>
      </c>
      <c r="J6" s="3692"/>
      <c r="K6" s="826" t="s">
        <v>511</v>
      </c>
      <c r="L6" s="1967"/>
      <c r="M6" s="1968"/>
      <c r="N6" s="1968"/>
      <c r="O6" s="1968"/>
      <c r="P6" s="3683"/>
      <c r="Q6" s="3684"/>
      <c r="R6" s="3687"/>
      <c r="S6" s="3688"/>
      <c r="T6" s="3689"/>
      <c r="U6" s="3690"/>
      <c r="V6" s="3672"/>
      <c r="W6" s="3672"/>
      <c r="X6" s="3454"/>
      <c r="Y6" s="3689"/>
      <c r="Z6" s="3690"/>
      <c r="AA6" s="3676"/>
      <c r="AB6" s="3676"/>
      <c r="AC6" s="3676"/>
    </row>
    <row r="7" spans="1:29" s="1165" customFormat="1" ht="15.75" thickBot="1">
      <c r="A7" s="2548"/>
      <c r="B7" s="2555" t="s">
        <v>512</v>
      </c>
      <c r="C7" s="496">
        <f>'数据-取费表'!B2</f>
        <v>44895</v>
      </c>
      <c r="D7" s="497">
        <v>100</v>
      </c>
      <c r="E7" s="498">
        <v>44866</v>
      </c>
      <c r="F7" s="499">
        <f>SUMIF(58:58,YEAR(E7)&amp;"-"&amp;MONTH(E7),59:59)</f>
        <v>100</v>
      </c>
      <c r="G7" s="500">
        <f>E7</f>
        <v>44866</v>
      </c>
      <c r="H7" s="497">
        <f>SUMIF(58:58,YEAR(G7)&amp;"-"&amp;MONTH(G7),59:59)</f>
        <v>100</v>
      </c>
      <c r="I7" s="500">
        <f>E7</f>
        <v>44866</v>
      </c>
      <c r="J7" s="497">
        <f>SUMIF(58:58,YEAR(I7)&amp;"-"&amp;MONTH(I7),59:59)</f>
        <v>100</v>
      </c>
      <c r="K7" s="827"/>
      <c r="L7" s="1969"/>
      <c r="M7" s="1970"/>
      <c r="N7" s="1970"/>
      <c r="O7" s="1970"/>
      <c r="P7" s="3701" t="s">
        <v>513</v>
      </c>
      <c r="Q7" s="3703"/>
      <c r="R7" s="1456" t="s">
        <v>13</v>
      </c>
      <c r="S7" s="1457">
        <f t="shared" ref="S7:S15" si="0">F7</f>
        <v>100</v>
      </c>
      <c r="T7" s="1456" t="s">
        <v>13</v>
      </c>
      <c r="U7" s="1457">
        <f t="shared" ref="U7:U15" si="1">H7</f>
        <v>100</v>
      </c>
      <c r="V7" s="1456" t="s">
        <v>13</v>
      </c>
      <c r="W7" s="1457">
        <f t="shared" ref="W7:W15" si="2">J7</f>
        <v>100</v>
      </c>
      <c r="X7" s="1458"/>
      <c r="Y7" s="3701" t="s">
        <v>513</v>
      </c>
      <c r="Z7" s="3702"/>
      <c r="AA7" s="1459">
        <f>D7/F7</f>
        <v>1</v>
      </c>
      <c r="AB7" s="1459">
        <f>D7/H7</f>
        <v>1</v>
      </c>
      <c r="AC7" s="1459">
        <f>D7/J7</f>
        <v>1</v>
      </c>
    </row>
    <row r="8" spans="1:29" s="1165" customFormat="1" ht="15.75" thickBot="1">
      <c r="A8" s="2549"/>
      <c r="B8" s="2556" t="s">
        <v>514</v>
      </c>
      <c r="C8" s="502" t="s">
        <v>558</v>
      </c>
      <c r="D8" s="497">
        <v>100</v>
      </c>
      <c r="E8" s="3481" t="s">
        <v>3422</v>
      </c>
      <c r="F8" s="499">
        <f>SUMIF(61:61,E8,62:62)-SUMIF(61:61,C8,62:62)+100</f>
        <v>100</v>
      </c>
      <c r="G8" s="3473" t="s">
        <v>3422</v>
      </c>
      <c r="H8" s="497">
        <f>SUMIF(61:61,G8,62:62)-SUMIF(61:61,C8,62:62)+100</f>
        <v>100</v>
      </c>
      <c r="I8" s="3481" t="s">
        <v>3423</v>
      </c>
      <c r="J8" s="497">
        <f>SUMIF(61:61,I8,62:62)-SUMIF(61:61,C8,62:62)+100</f>
        <v>100</v>
      </c>
      <c r="K8" s="827"/>
      <c r="L8" s="1969"/>
      <c r="M8" s="1970"/>
      <c r="N8" s="1970"/>
      <c r="O8" s="1970"/>
      <c r="P8" s="3701" t="s">
        <v>516</v>
      </c>
      <c r="Q8" s="3702"/>
      <c r="R8" s="1456" t="s">
        <v>13</v>
      </c>
      <c r="S8" s="1457">
        <f t="shared" si="0"/>
        <v>100</v>
      </c>
      <c r="T8" s="1456" t="s">
        <v>13</v>
      </c>
      <c r="U8" s="1457">
        <f t="shared" si="1"/>
        <v>100</v>
      </c>
      <c r="V8" s="1456" t="s">
        <v>13</v>
      </c>
      <c r="W8" s="1457">
        <f t="shared" si="2"/>
        <v>100</v>
      </c>
      <c r="X8" s="1458"/>
      <c r="Y8" s="3701" t="s">
        <v>516</v>
      </c>
      <c r="Z8" s="3702"/>
      <c r="AA8" s="1459">
        <f t="shared" ref="AA8:AA46" si="3">D8/F8</f>
        <v>1</v>
      </c>
      <c r="AB8" s="1459">
        <f t="shared" ref="AB8:AB46" si="4">D8/H8</f>
        <v>1</v>
      </c>
      <c r="AC8" s="1459">
        <f t="shared" ref="AC8:AC46" si="5">D8/J8</f>
        <v>1</v>
      </c>
    </row>
    <row r="9" spans="1:29" s="1165" customFormat="1" ht="15">
      <c r="A9" s="2550"/>
      <c r="B9" s="2557" t="s">
        <v>2472</v>
      </c>
      <c r="C9" s="829"/>
      <c r="D9" s="252">
        <v>100</v>
      </c>
      <c r="E9" s="830"/>
      <c r="F9" s="831">
        <f>SUMIF(63:63,E9,64:64)-SUMIF(63:63,C9,64:64)+100</f>
        <v>100</v>
      </c>
      <c r="G9" s="832"/>
      <c r="H9" s="252">
        <f>SUMIF(63:63,G9,64:64)-SUMIF(63:63,C9,64:64)+100</f>
        <v>100</v>
      </c>
      <c r="I9" s="832"/>
      <c r="J9" s="252">
        <f>SUMIF(63:63,I9,64:64)-SUMIF(63:63,C9,64:64)+100</f>
        <v>100</v>
      </c>
      <c r="K9" s="827"/>
      <c r="L9" s="1969"/>
      <c r="M9" s="1970"/>
      <c r="N9" s="1970"/>
      <c r="O9" s="1971"/>
      <c r="P9" s="3671" t="s">
        <v>518</v>
      </c>
      <c r="Q9" s="3451" t="str">
        <f t="shared" ref="Q9:Q15" si="6">B9</f>
        <v>用途</v>
      </c>
      <c r="R9" s="1456" t="s">
        <v>8</v>
      </c>
      <c r="S9" s="1457">
        <f t="shared" si="0"/>
        <v>100</v>
      </c>
      <c r="T9" s="1456" t="s">
        <v>8</v>
      </c>
      <c r="U9" s="1457">
        <f t="shared" si="1"/>
        <v>100</v>
      </c>
      <c r="V9" s="1456" t="s">
        <v>8</v>
      </c>
      <c r="W9" s="1457">
        <f t="shared" si="2"/>
        <v>100</v>
      </c>
      <c r="X9" s="1458"/>
      <c r="Y9" s="3619" t="s">
        <v>519</v>
      </c>
      <c r="Z9" s="3450" t="str">
        <f t="shared" ref="Z9:Z15" si="7">Q9</f>
        <v>用途</v>
      </c>
      <c r="AA9" s="1459">
        <f t="shared" si="3"/>
        <v>1</v>
      </c>
      <c r="AB9" s="1459">
        <f t="shared" si="4"/>
        <v>1</v>
      </c>
      <c r="AC9" s="1459">
        <f t="shared" si="5"/>
        <v>1</v>
      </c>
    </row>
    <row r="10" spans="1:29" s="1246" customFormat="1" ht="27">
      <c r="A10" s="2551"/>
      <c r="B10" s="2556" t="s">
        <v>2473</v>
      </c>
      <c r="C10" s="833"/>
      <c r="D10" s="253">
        <v>100</v>
      </c>
      <c r="E10" s="834"/>
      <c r="F10" s="835">
        <f>SUMIF(65:65,E10,66:66)-SUMIF(65:65,C10,66:66)+100</f>
        <v>100</v>
      </c>
      <c r="G10" s="833"/>
      <c r="H10" s="253">
        <f>SUMIF(65:65,G10,66:66)-SUMIF(65:65,C10,66:66)+100</f>
        <v>100</v>
      </c>
      <c r="I10" s="833"/>
      <c r="J10" s="253">
        <f>SUMIF(65:65,I10,66:66)-SUMIF(65:65,C10,66:66)+100</f>
        <v>100</v>
      </c>
      <c r="K10" s="836"/>
      <c r="L10" s="1972"/>
      <c r="M10" s="2011"/>
      <c r="N10" s="2011"/>
      <c r="O10" s="1973"/>
      <c r="P10" s="3671"/>
      <c r="Q10" s="3451" t="str">
        <f t="shared" si="6"/>
        <v>土地使用年限（年）</v>
      </c>
      <c r="R10" s="1456" t="s">
        <v>8</v>
      </c>
      <c r="S10" s="1457">
        <f t="shared" si="0"/>
        <v>100</v>
      </c>
      <c r="T10" s="1456" t="s">
        <v>8</v>
      </c>
      <c r="U10" s="1457">
        <f t="shared" si="1"/>
        <v>100</v>
      </c>
      <c r="V10" s="1456" t="s">
        <v>8</v>
      </c>
      <c r="W10" s="1457">
        <f t="shared" si="2"/>
        <v>100</v>
      </c>
      <c r="X10" s="1458"/>
      <c r="Y10" s="3619"/>
      <c r="Z10" s="3450" t="str">
        <f t="shared" si="7"/>
        <v>土地使用年限（年）</v>
      </c>
      <c r="AA10" s="1459">
        <f t="shared" si="3"/>
        <v>1</v>
      </c>
      <c r="AB10" s="1459">
        <f t="shared" si="4"/>
        <v>1</v>
      </c>
      <c r="AC10" s="1459">
        <f t="shared" si="5"/>
        <v>1</v>
      </c>
    </row>
    <row r="11" spans="1:29" ht="15">
      <c r="A11" s="2552"/>
      <c r="B11" s="2556" t="s">
        <v>2474</v>
      </c>
      <c r="C11" s="510">
        <f>'数据-汇总表'!I6</f>
        <v>5.65</v>
      </c>
      <c r="D11" s="253">
        <v>100</v>
      </c>
      <c r="E11" s="511">
        <v>4.99</v>
      </c>
      <c r="F11" s="835">
        <f>LOOKUP(E11,68:68,69:69)-LOOKUP(C11,68:68,69:69)+100</f>
        <v>102</v>
      </c>
      <c r="G11" s="510">
        <v>4.99</v>
      </c>
      <c r="H11" s="253">
        <f>LOOKUP(G11,68:68,69:69)-LOOKUP(C11,68:68,69:69)+100</f>
        <v>102</v>
      </c>
      <c r="I11" s="510">
        <v>3</v>
      </c>
      <c r="J11" s="253">
        <f>LOOKUP(I11,68:68,69:69)-LOOKUP(C11,68:68,69:69)+100</f>
        <v>104</v>
      </c>
      <c r="K11" s="836">
        <v>2</v>
      </c>
      <c r="L11" s="1974"/>
      <c r="M11" s="1968"/>
      <c r="N11" s="1968"/>
      <c r="O11" s="1975"/>
      <c r="P11" s="3671"/>
      <c r="Q11" s="3451" t="str">
        <f t="shared" si="6"/>
        <v>容积率</v>
      </c>
      <c r="R11" s="1456" t="s">
        <v>11</v>
      </c>
      <c r="S11" s="1457">
        <f t="shared" si="0"/>
        <v>102</v>
      </c>
      <c r="T11" s="1456" t="s">
        <v>11</v>
      </c>
      <c r="U11" s="1457">
        <f t="shared" si="1"/>
        <v>102</v>
      </c>
      <c r="V11" s="1456" t="s">
        <v>11</v>
      </c>
      <c r="W11" s="1457">
        <f t="shared" si="2"/>
        <v>104</v>
      </c>
      <c r="X11" s="1458"/>
      <c r="Y11" s="3619"/>
      <c r="Z11" s="3450" t="str">
        <f t="shared" si="7"/>
        <v>容积率</v>
      </c>
      <c r="AA11" s="1459">
        <f t="shared" si="3"/>
        <v>0.98039215686274506</v>
      </c>
      <c r="AB11" s="1459">
        <f t="shared" si="4"/>
        <v>0.98039215686274506</v>
      </c>
      <c r="AC11" s="1459">
        <f t="shared" si="5"/>
        <v>0.96153846153846156</v>
      </c>
    </row>
    <row r="12" spans="1:29" s="1165" customFormat="1" ht="15">
      <c r="A12" s="2553"/>
      <c r="B12" s="2559">
        <v>111</v>
      </c>
      <c r="C12" s="505"/>
      <c r="D12" s="515">
        <v>100</v>
      </c>
      <c r="E12" s="505"/>
      <c r="F12" s="835">
        <f>SUMIF(70:70,E12,71:71)-SUMIF(70:70,C12,71:71)+100</f>
        <v>100</v>
      </c>
      <c r="G12" s="505"/>
      <c r="H12" s="253">
        <f>SUMIF(70:70,G12,71:71)-SUMIF(70:70,C12,71:71)+100</f>
        <v>100</v>
      </c>
      <c r="I12" s="505"/>
      <c r="J12" s="253">
        <f>SUMIF(70:70,I12,71:71)-SUMIF(70:70,C12,71:71)+100</f>
        <v>100</v>
      </c>
      <c r="K12" s="837"/>
      <c r="L12" s="1969"/>
      <c r="M12" s="1970"/>
      <c r="N12" s="1970"/>
      <c r="O12" s="1971"/>
      <c r="P12" s="3671"/>
      <c r="Q12" s="3451">
        <f t="shared" si="6"/>
        <v>111</v>
      </c>
      <c r="R12" s="1456" t="s">
        <v>11</v>
      </c>
      <c r="S12" s="1457">
        <f t="shared" si="0"/>
        <v>100</v>
      </c>
      <c r="T12" s="1456" t="s">
        <v>11</v>
      </c>
      <c r="U12" s="1457">
        <f t="shared" si="1"/>
        <v>100</v>
      </c>
      <c r="V12" s="1456" t="s">
        <v>11</v>
      </c>
      <c r="W12" s="1457">
        <f t="shared" si="2"/>
        <v>100</v>
      </c>
      <c r="X12" s="1458"/>
      <c r="Y12" s="3619"/>
      <c r="Z12" s="3450">
        <f t="shared" si="7"/>
        <v>111</v>
      </c>
      <c r="AA12" s="1459">
        <f>D12/F12</f>
        <v>1</v>
      </c>
      <c r="AB12" s="1459">
        <f>D12/H12</f>
        <v>1</v>
      </c>
      <c r="AC12" s="1459">
        <f>D12/J12</f>
        <v>1</v>
      </c>
    </row>
    <row r="13" spans="1:29" ht="15">
      <c r="A13" s="2553"/>
      <c r="B13" s="2559">
        <v>111</v>
      </c>
      <c r="C13" s="516"/>
      <c r="D13" s="517">
        <v>100</v>
      </c>
      <c r="E13" s="516"/>
      <c r="F13" s="835">
        <f>SUMIF(72:72,E13,73:73)-SUMIF(72:72,C13,73:73)+100</f>
        <v>100</v>
      </c>
      <c r="G13" s="516"/>
      <c r="H13" s="517">
        <f>SUMIF(72:72,G13,73:73)-SUMIF(72:72,C13,73:73)+100</f>
        <v>100</v>
      </c>
      <c r="I13" s="516"/>
      <c r="J13" s="517">
        <f>SUMIF(72:72,I13,73:73)-SUMIF(72:72,C13,73:73)+100</f>
        <v>100</v>
      </c>
      <c r="K13" s="837"/>
      <c r="L13" s="1976"/>
      <c r="M13" s="1968"/>
      <c r="N13" s="1968"/>
      <c r="O13" s="1975"/>
      <c r="P13" s="3671"/>
      <c r="Q13" s="3451">
        <f t="shared" si="6"/>
        <v>111</v>
      </c>
      <c r="R13" s="1456" t="s">
        <v>11</v>
      </c>
      <c r="S13" s="1457">
        <f t="shared" si="0"/>
        <v>100</v>
      </c>
      <c r="T13" s="1456" t="s">
        <v>11</v>
      </c>
      <c r="U13" s="1457">
        <f t="shared" si="1"/>
        <v>100</v>
      </c>
      <c r="V13" s="1456" t="s">
        <v>11</v>
      </c>
      <c r="W13" s="1457">
        <f t="shared" si="2"/>
        <v>100</v>
      </c>
      <c r="X13" s="1458"/>
      <c r="Y13" s="3619"/>
      <c r="Z13" s="3450">
        <f t="shared" si="7"/>
        <v>111</v>
      </c>
      <c r="AA13" s="1459">
        <f t="shared" si="3"/>
        <v>1</v>
      </c>
      <c r="AB13" s="1459">
        <f t="shared" si="4"/>
        <v>1</v>
      </c>
      <c r="AC13" s="1459">
        <f t="shared" si="5"/>
        <v>1</v>
      </c>
    </row>
    <row r="14" spans="1:29" ht="15.75" thickBot="1">
      <c r="A14" s="2554"/>
      <c r="B14" s="2560">
        <v>111</v>
      </c>
      <c r="C14" s="522"/>
      <c r="D14" s="523">
        <v>100</v>
      </c>
      <c r="E14" s="522"/>
      <c r="F14" s="838">
        <f>SUMIF(74:74,E14,75:75)-SUMIF(74:74,C14,75:75)+100</f>
        <v>100</v>
      </c>
      <c r="G14" s="522"/>
      <c r="H14" s="523">
        <f>SUMIF(74:74,G14,75:75)-SUMIF(74:74,C14,75:75)+100</f>
        <v>100</v>
      </c>
      <c r="I14" s="522"/>
      <c r="J14" s="523">
        <f>SUMIF(74:74,I14,75:75)-SUMIF(74:74,C14,75:75)+100</f>
        <v>100</v>
      </c>
      <c r="K14" s="837"/>
      <c r="L14" s="1976"/>
      <c r="M14" s="1968"/>
      <c r="N14" s="1968"/>
      <c r="O14" s="1975"/>
      <c r="P14" s="3671"/>
      <c r="Q14" s="3451">
        <f t="shared" si="6"/>
        <v>111</v>
      </c>
      <c r="R14" s="1456" t="s">
        <v>11</v>
      </c>
      <c r="S14" s="1457">
        <f t="shared" si="0"/>
        <v>100</v>
      </c>
      <c r="T14" s="1456" t="s">
        <v>11</v>
      </c>
      <c r="U14" s="1457">
        <f t="shared" si="1"/>
        <v>100</v>
      </c>
      <c r="V14" s="1456" t="s">
        <v>11</v>
      </c>
      <c r="W14" s="1457">
        <f t="shared" si="2"/>
        <v>100</v>
      </c>
      <c r="X14" s="1458"/>
      <c r="Y14" s="3619"/>
      <c r="Z14" s="3450">
        <f t="shared" si="7"/>
        <v>111</v>
      </c>
      <c r="AA14" s="1459">
        <f t="shared" si="3"/>
        <v>1</v>
      </c>
      <c r="AB14" s="1459">
        <f t="shared" si="4"/>
        <v>1</v>
      </c>
      <c r="AC14" s="1459">
        <f t="shared" si="5"/>
        <v>1</v>
      </c>
    </row>
    <row r="15" spans="1:29" ht="99.75">
      <c r="A15" s="2546"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6"/>
      <c r="M15" s="1968"/>
      <c r="N15" s="1968"/>
      <c r="O15" s="1975"/>
      <c r="P15" s="3704" t="s">
        <v>523</v>
      </c>
      <c r="Q15" s="3452" t="str">
        <f t="shared" si="6"/>
        <v>居住社区成熟度</v>
      </c>
      <c r="R15" s="1461" t="s">
        <v>11</v>
      </c>
      <c r="S15" s="1462">
        <f t="shared" si="0"/>
        <v>100</v>
      </c>
      <c r="T15" s="1461" t="s">
        <v>11</v>
      </c>
      <c r="U15" s="1462">
        <f t="shared" si="1"/>
        <v>100</v>
      </c>
      <c r="V15" s="1461" t="s">
        <v>11</v>
      </c>
      <c r="W15" s="1462">
        <f t="shared" si="2"/>
        <v>100</v>
      </c>
      <c r="X15" s="3454"/>
      <c r="Y15" s="3704" t="s">
        <v>523</v>
      </c>
      <c r="Z15" s="3453" t="str">
        <f t="shared" si="7"/>
        <v>居住社区成熟度</v>
      </c>
      <c r="AA15" s="3455">
        <f t="shared" si="3"/>
        <v>1</v>
      </c>
      <c r="AB15" s="3455">
        <f t="shared" si="4"/>
        <v>1</v>
      </c>
      <c r="AC15" s="3455">
        <f t="shared" si="5"/>
        <v>1</v>
      </c>
    </row>
    <row r="16" spans="1:29" ht="15">
      <c r="A16" s="509"/>
      <c r="B16" s="841"/>
      <c r="C16" s="3466" t="s">
        <v>3420</v>
      </c>
      <c r="D16" s="532"/>
      <c r="E16" s="3474" t="s">
        <v>3421</v>
      </c>
      <c r="F16" s="534"/>
      <c r="G16" s="3464" t="s">
        <v>3420</v>
      </c>
      <c r="H16" s="536"/>
      <c r="I16" s="3474" t="s">
        <v>3420</v>
      </c>
      <c r="J16" s="532"/>
      <c r="K16" s="842"/>
      <c r="L16" s="1976"/>
      <c r="M16" s="1968"/>
      <c r="N16" s="1968"/>
      <c r="O16" s="1975"/>
      <c r="P16" s="3705"/>
      <c r="Q16" s="3452"/>
      <c r="R16" s="1461"/>
      <c r="S16" s="1462"/>
      <c r="T16" s="1461"/>
      <c r="U16" s="1462"/>
      <c r="V16" s="1461"/>
      <c r="W16" s="1462"/>
      <c r="X16" s="3454"/>
      <c r="Y16" s="3705"/>
      <c r="Z16" s="3453"/>
      <c r="AA16" s="3455">
        <v>1</v>
      </c>
      <c r="AB16" s="3455">
        <v>1</v>
      </c>
      <c r="AC16" s="3455">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6"/>
      <c r="M17" s="1968"/>
      <c r="N17" s="1968"/>
      <c r="O17" s="1975"/>
      <c r="P17" s="3705"/>
      <c r="Q17" s="3452" t="str">
        <f>B17</f>
        <v>交通便捷度</v>
      </c>
      <c r="R17" s="1461" t="s">
        <v>11</v>
      </c>
      <c r="S17" s="1462">
        <f>F17</f>
        <v>100</v>
      </c>
      <c r="T17" s="1461" t="s">
        <v>11</v>
      </c>
      <c r="U17" s="1462">
        <f>H17</f>
        <v>100</v>
      </c>
      <c r="V17" s="1461" t="s">
        <v>11</v>
      </c>
      <c r="W17" s="1462">
        <f>J17</f>
        <v>100</v>
      </c>
      <c r="X17" s="3454"/>
      <c r="Y17" s="3705"/>
      <c r="Z17" s="3453" t="str">
        <f>Q17</f>
        <v>交通便捷度</v>
      </c>
      <c r="AA17" s="3455">
        <f t="shared" si="3"/>
        <v>1</v>
      </c>
      <c r="AB17" s="3455">
        <f t="shared" si="4"/>
        <v>1</v>
      </c>
      <c r="AC17" s="3455">
        <f t="shared" si="5"/>
        <v>1</v>
      </c>
    </row>
    <row r="18" spans="1:29" ht="15">
      <c r="A18" s="509"/>
      <c r="B18" s="572"/>
      <c r="C18" s="3482" t="s">
        <v>3420</v>
      </c>
      <c r="D18" s="536"/>
      <c r="E18" s="3475" t="s">
        <v>3420</v>
      </c>
      <c r="F18" s="540"/>
      <c r="G18" s="3465" t="s">
        <v>3421</v>
      </c>
      <c r="H18" s="532"/>
      <c r="I18" s="3475" t="s">
        <v>3420</v>
      </c>
      <c r="J18" s="532"/>
      <c r="K18" s="842"/>
      <c r="L18" s="1976"/>
      <c r="M18" s="1968"/>
      <c r="N18" s="1968"/>
      <c r="O18" s="1975"/>
      <c r="P18" s="3705"/>
      <c r="Q18" s="3452"/>
      <c r="R18" s="1461"/>
      <c r="S18" s="1462"/>
      <c r="T18" s="1461"/>
      <c r="U18" s="1462"/>
      <c r="V18" s="1461"/>
      <c r="W18" s="1462"/>
      <c r="X18" s="3454"/>
      <c r="Y18" s="3705"/>
      <c r="Z18" s="3453"/>
      <c r="AA18" s="3455">
        <v>1</v>
      </c>
      <c r="AB18" s="3455">
        <v>1</v>
      </c>
      <c r="AC18" s="3455">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6"/>
      <c r="M19" s="1968"/>
      <c r="N19" s="1968"/>
      <c r="O19" s="1975"/>
      <c r="P19" s="3705"/>
      <c r="Q19" s="3452" t="str">
        <f>B19</f>
        <v>公共配套设施</v>
      </c>
      <c r="R19" s="1461" t="s">
        <v>11</v>
      </c>
      <c r="S19" s="1462">
        <f>F19</f>
        <v>100</v>
      </c>
      <c r="T19" s="1461" t="s">
        <v>11</v>
      </c>
      <c r="U19" s="1462">
        <f>H19</f>
        <v>100</v>
      </c>
      <c r="V19" s="1461" t="s">
        <v>11</v>
      </c>
      <c r="W19" s="1462">
        <f>J19</f>
        <v>100</v>
      </c>
      <c r="X19" s="3454"/>
      <c r="Y19" s="3705"/>
      <c r="Z19" s="3453" t="str">
        <f>Q19</f>
        <v>公共配套设施</v>
      </c>
      <c r="AA19" s="3455">
        <f t="shared" si="3"/>
        <v>1</v>
      </c>
      <c r="AB19" s="3455">
        <f t="shared" si="4"/>
        <v>1</v>
      </c>
      <c r="AC19" s="3455">
        <f t="shared" si="5"/>
        <v>1</v>
      </c>
    </row>
    <row r="20" spans="1:29" ht="15">
      <c r="A20" s="509"/>
      <c r="B20" s="572"/>
      <c r="C20" s="3466" t="s">
        <v>3420</v>
      </c>
      <c r="D20" s="532"/>
      <c r="E20" s="3474" t="s">
        <v>3421</v>
      </c>
      <c r="F20" s="534"/>
      <c r="G20" s="3464" t="s">
        <v>3421</v>
      </c>
      <c r="H20" s="532"/>
      <c r="I20" s="3474" t="s">
        <v>3420</v>
      </c>
      <c r="J20" s="532"/>
      <c r="K20" s="842"/>
      <c r="L20" s="1976"/>
      <c r="M20" s="1968"/>
      <c r="N20" s="1968"/>
      <c r="O20" s="1975"/>
      <c r="P20" s="3705"/>
      <c r="Q20" s="3452"/>
      <c r="R20" s="1461"/>
      <c r="S20" s="1462"/>
      <c r="T20" s="1461"/>
      <c r="U20" s="1462"/>
      <c r="V20" s="1461"/>
      <c r="W20" s="1462"/>
      <c r="X20" s="3454"/>
      <c r="Y20" s="3705"/>
      <c r="Z20" s="3453"/>
      <c r="AA20" s="3455">
        <v>1</v>
      </c>
      <c r="AB20" s="3455">
        <v>1</v>
      </c>
      <c r="AC20" s="3455">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6"/>
      <c r="M21" s="1968"/>
      <c r="N21" s="1968"/>
      <c r="O21" s="1975"/>
      <c r="P21" s="3705"/>
      <c r="Q21" s="3452" t="str">
        <f>B21</f>
        <v>基础设施水平</v>
      </c>
      <c r="R21" s="1461" t="s">
        <v>11</v>
      </c>
      <c r="S21" s="1462">
        <f>F21</f>
        <v>100</v>
      </c>
      <c r="T21" s="1461" t="s">
        <v>11</v>
      </c>
      <c r="U21" s="1462">
        <f>H21</f>
        <v>100</v>
      </c>
      <c r="V21" s="1461" t="s">
        <v>11</v>
      </c>
      <c r="W21" s="1462">
        <f>J21</f>
        <v>100</v>
      </c>
      <c r="X21" s="3454"/>
      <c r="Y21" s="3705"/>
      <c r="Z21" s="3453" t="str">
        <f>Q21</f>
        <v>基础设施水平</v>
      </c>
      <c r="AA21" s="3455">
        <f t="shared" ref="AA21" si="8">D21/F21</f>
        <v>1</v>
      </c>
      <c r="AB21" s="3455">
        <f t="shared" ref="AB21" si="9">D21/H21</f>
        <v>1</v>
      </c>
      <c r="AC21" s="3455">
        <f t="shared" ref="AC21" si="10">D21/J21</f>
        <v>1</v>
      </c>
    </row>
    <row r="22" spans="1:29" ht="15">
      <c r="A22" s="509"/>
      <c r="B22" s="892"/>
      <c r="C22" s="3482" t="s">
        <v>3424</v>
      </c>
      <c r="D22" s="532"/>
      <c r="E22" s="3466" t="s">
        <v>3425</v>
      </c>
      <c r="F22" s="534"/>
      <c r="G22" s="3466" t="s">
        <v>3424</v>
      </c>
      <c r="H22" s="532"/>
      <c r="I22" s="3466" t="s">
        <v>3426</v>
      </c>
      <c r="J22" s="532"/>
      <c r="K22" s="2363"/>
      <c r="L22" s="1976"/>
      <c r="M22" s="1968"/>
      <c r="N22" s="1968"/>
      <c r="O22" s="1975"/>
      <c r="P22" s="3705"/>
      <c r="Q22" s="3452"/>
      <c r="R22" s="1461"/>
      <c r="S22" s="1462"/>
      <c r="T22" s="1461"/>
      <c r="U22" s="1462"/>
      <c r="V22" s="1461"/>
      <c r="W22" s="1462"/>
      <c r="X22" s="3454"/>
      <c r="Y22" s="3705"/>
      <c r="Z22" s="3453"/>
      <c r="AA22" s="3455">
        <v>1</v>
      </c>
      <c r="AB22" s="3455">
        <v>1</v>
      </c>
      <c r="AC22" s="3455">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6"/>
      <c r="M23" s="1968"/>
      <c r="N23" s="1968"/>
      <c r="O23" s="1975"/>
      <c r="P23" s="3705"/>
      <c r="Q23" s="3452" t="str">
        <f>B23</f>
        <v>自然及人文环境</v>
      </c>
      <c r="R23" s="1461" t="s">
        <v>11</v>
      </c>
      <c r="S23" s="1462">
        <f>F23</f>
        <v>100</v>
      </c>
      <c r="T23" s="1461" t="s">
        <v>11</v>
      </c>
      <c r="U23" s="1462">
        <f>H23</f>
        <v>100</v>
      </c>
      <c r="V23" s="1461" t="s">
        <v>11</v>
      </c>
      <c r="W23" s="1462">
        <f>J23</f>
        <v>100</v>
      </c>
      <c r="X23" s="3454"/>
      <c r="Y23" s="3705"/>
      <c r="Z23" s="3453" t="str">
        <f>Q23</f>
        <v>自然及人文环境</v>
      </c>
      <c r="AA23" s="3455">
        <f t="shared" si="3"/>
        <v>1</v>
      </c>
      <c r="AB23" s="3455">
        <f t="shared" si="4"/>
        <v>1</v>
      </c>
      <c r="AC23" s="3455">
        <f t="shared" si="5"/>
        <v>1</v>
      </c>
    </row>
    <row r="24" spans="1:29" ht="15">
      <c r="A24" s="509"/>
      <c r="B24" s="572"/>
      <c r="C24" s="3466" t="s">
        <v>3420</v>
      </c>
      <c r="D24" s="532"/>
      <c r="E24" s="3474" t="s">
        <v>3420</v>
      </c>
      <c r="F24" s="534"/>
      <c r="G24" s="3464" t="s">
        <v>3420</v>
      </c>
      <c r="H24" s="532"/>
      <c r="I24" s="3474" t="s">
        <v>3421</v>
      </c>
      <c r="J24" s="532"/>
      <c r="K24" s="842"/>
      <c r="L24" s="1976"/>
      <c r="M24" s="1968"/>
      <c r="N24" s="1968"/>
      <c r="O24" s="1975"/>
      <c r="P24" s="3705"/>
      <c r="Q24" s="3452"/>
      <c r="R24" s="1461"/>
      <c r="S24" s="1462"/>
      <c r="T24" s="1461"/>
      <c r="U24" s="1462"/>
      <c r="V24" s="1461"/>
      <c r="W24" s="1462"/>
      <c r="X24" s="3454"/>
      <c r="Y24" s="3705"/>
      <c r="Z24" s="3453"/>
      <c r="AA24" s="3455">
        <v>1</v>
      </c>
      <c r="AB24" s="3455">
        <v>1</v>
      </c>
      <c r="AC24" s="3455">
        <v>1</v>
      </c>
    </row>
    <row r="25" spans="1:29" ht="15">
      <c r="A25" s="509"/>
      <c r="B25" s="1762" t="s">
        <v>2047</v>
      </c>
      <c r="C25" s="551"/>
      <c r="D25" s="517">
        <v>100</v>
      </c>
      <c r="E25" s="846"/>
      <c r="F25" s="552">
        <f>SUMIF(86:86,E25,87:87)-SUMIF(86:86,C25,87:87)+100</f>
        <v>100</v>
      </c>
      <c r="G25" s="576"/>
      <c r="H25" s="517">
        <f>SUMIF(86:86,G25,87:87)-SUMIF(86:86,C25,87:87)+100</f>
        <v>100</v>
      </c>
      <c r="I25" s="846"/>
      <c r="J25" s="517">
        <f>SUMIF(86:86,I25,87:87)-SUMIF(86:86,C25,87:87)+100</f>
        <v>100</v>
      </c>
      <c r="K25" s="836"/>
      <c r="L25" s="1976"/>
      <c r="M25" s="1968"/>
      <c r="N25" s="1968"/>
      <c r="O25" s="1975"/>
      <c r="P25" s="3705"/>
      <c r="Q25" s="3452" t="str">
        <f t="shared" ref="Q25:Q46" si="11">B25</f>
        <v>楼层-1</v>
      </c>
      <c r="R25" s="1461" t="s">
        <v>11</v>
      </c>
      <c r="S25" s="1462">
        <f>F25</f>
        <v>100</v>
      </c>
      <c r="T25" s="1461" t="s">
        <v>11</v>
      </c>
      <c r="U25" s="1462">
        <f>H25</f>
        <v>100</v>
      </c>
      <c r="V25" s="1461" t="s">
        <v>11</v>
      </c>
      <c r="W25" s="1462">
        <f>J25</f>
        <v>100</v>
      </c>
      <c r="X25" s="3454"/>
      <c r="Y25" s="3705"/>
      <c r="Z25" s="3453" t="str">
        <f>Q25</f>
        <v>楼层-1</v>
      </c>
      <c r="AA25" s="3455">
        <f t="shared" si="3"/>
        <v>1</v>
      </c>
      <c r="AB25" s="3455">
        <f t="shared" si="4"/>
        <v>1</v>
      </c>
      <c r="AC25" s="3455">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6"/>
      <c r="M26" s="1968"/>
      <c r="N26" s="1968"/>
      <c r="O26" s="1975"/>
      <c r="P26" s="3705"/>
      <c r="Q26" s="3452" t="str">
        <f t="shared" si="11"/>
        <v>朝向</v>
      </c>
      <c r="R26" s="1461" t="s">
        <v>11</v>
      </c>
      <c r="S26" s="1462">
        <f>F26</f>
        <v>100</v>
      </c>
      <c r="T26" s="1461" t="s">
        <v>11</v>
      </c>
      <c r="U26" s="1462">
        <f>H26</f>
        <v>100</v>
      </c>
      <c r="V26" s="1461" t="s">
        <v>11</v>
      </c>
      <c r="W26" s="1462">
        <f>J26</f>
        <v>100</v>
      </c>
      <c r="X26" s="3454"/>
      <c r="Y26" s="3705"/>
      <c r="Z26" s="3453" t="str">
        <f>Q26</f>
        <v>朝向</v>
      </c>
      <c r="AA26" s="3455">
        <f t="shared" si="3"/>
        <v>1</v>
      </c>
      <c r="AB26" s="3455">
        <f t="shared" si="4"/>
        <v>1</v>
      </c>
      <c r="AC26" s="3455">
        <f t="shared" si="5"/>
        <v>1</v>
      </c>
    </row>
    <row r="27" spans="1:29" s="1165"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69"/>
      <c r="M27" s="1970"/>
      <c r="N27" s="1970"/>
      <c r="O27" s="1971"/>
      <c r="P27" s="3705"/>
      <c r="Q27" s="3451" t="str">
        <f t="shared" si="11"/>
        <v>道路级别</v>
      </c>
      <c r="R27" s="1456" t="s">
        <v>11</v>
      </c>
      <c r="S27" s="1457">
        <f>F27</f>
        <v>100</v>
      </c>
      <c r="T27" s="1456" t="s">
        <v>11</v>
      </c>
      <c r="U27" s="1457">
        <f>H27</f>
        <v>100</v>
      </c>
      <c r="V27" s="1456" t="s">
        <v>11</v>
      </c>
      <c r="W27" s="1457">
        <f>J27</f>
        <v>100</v>
      </c>
      <c r="X27" s="1458"/>
      <c r="Y27" s="3705"/>
      <c r="Z27" s="3450" t="str">
        <f>Q27</f>
        <v>道路级别</v>
      </c>
      <c r="AA27" s="3455">
        <f>D27/F27</f>
        <v>1</v>
      </c>
      <c r="AB27" s="3455">
        <f>D27/H27</f>
        <v>1</v>
      </c>
      <c r="AC27" s="3455">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6"/>
      <c r="M28" s="1968"/>
      <c r="N28" s="1968"/>
      <c r="O28" s="1975"/>
      <c r="P28" s="3705"/>
      <c r="Q28" s="3452">
        <f t="shared" si="11"/>
        <v>111</v>
      </c>
      <c r="R28" s="1461" t="s">
        <v>11</v>
      </c>
      <c r="S28" s="1462">
        <f t="shared" ref="S28:S46" si="12">F28</f>
        <v>100</v>
      </c>
      <c r="T28" s="1461" t="s">
        <v>11</v>
      </c>
      <c r="U28" s="1462">
        <f t="shared" ref="U28:U46" si="13">H28</f>
        <v>100</v>
      </c>
      <c r="V28" s="1461" t="s">
        <v>11</v>
      </c>
      <c r="W28" s="1462">
        <f t="shared" ref="W28:W46" si="14">J28</f>
        <v>100</v>
      </c>
      <c r="X28" s="3454"/>
      <c r="Y28" s="3705"/>
      <c r="Z28" s="3453">
        <f t="shared" ref="Z28:Z46" si="15">Q28</f>
        <v>111</v>
      </c>
      <c r="AA28" s="3455">
        <f t="shared" si="3"/>
        <v>1</v>
      </c>
      <c r="AB28" s="3455">
        <f t="shared" si="4"/>
        <v>1</v>
      </c>
      <c r="AC28" s="3455">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6"/>
      <c r="M29" s="1968"/>
      <c r="N29" s="1968"/>
      <c r="O29" s="1975"/>
      <c r="P29" s="3705"/>
      <c r="Q29" s="3452">
        <f t="shared" si="11"/>
        <v>111</v>
      </c>
      <c r="R29" s="1461" t="s">
        <v>11</v>
      </c>
      <c r="S29" s="1462">
        <f t="shared" si="12"/>
        <v>100</v>
      </c>
      <c r="T29" s="1461" t="s">
        <v>11</v>
      </c>
      <c r="U29" s="1462">
        <f t="shared" si="13"/>
        <v>100</v>
      </c>
      <c r="V29" s="1461" t="s">
        <v>11</v>
      </c>
      <c r="W29" s="1462">
        <f t="shared" si="14"/>
        <v>100</v>
      </c>
      <c r="X29" s="3454"/>
      <c r="Y29" s="3705"/>
      <c r="Z29" s="3453">
        <f t="shared" si="15"/>
        <v>111</v>
      </c>
      <c r="AA29" s="3455">
        <f t="shared" si="3"/>
        <v>1</v>
      </c>
      <c r="AB29" s="3455">
        <f t="shared" si="4"/>
        <v>1</v>
      </c>
      <c r="AC29" s="3455">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6"/>
      <c r="M30" s="1968"/>
      <c r="N30" s="1968"/>
      <c r="O30" s="1975"/>
      <c r="P30" s="3705"/>
      <c r="Q30" s="3452">
        <f t="shared" si="11"/>
        <v>111</v>
      </c>
      <c r="R30" s="1461" t="s">
        <v>11</v>
      </c>
      <c r="S30" s="1462">
        <f t="shared" si="12"/>
        <v>100</v>
      </c>
      <c r="T30" s="1461" t="s">
        <v>11</v>
      </c>
      <c r="U30" s="1462">
        <f t="shared" si="13"/>
        <v>100</v>
      </c>
      <c r="V30" s="1461" t="s">
        <v>11</v>
      </c>
      <c r="W30" s="1462">
        <f t="shared" si="14"/>
        <v>100</v>
      </c>
      <c r="X30" s="3454"/>
      <c r="Y30" s="3705"/>
      <c r="Z30" s="3453">
        <f t="shared" si="15"/>
        <v>111</v>
      </c>
      <c r="AA30" s="3455">
        <f t="shared" si="3"/>
        <v>1</v>
      </c>
      <c r="AB30" s="3455">
        <f t="shared" si="4"/>
        <v>1</v>
      </c>
      <c r="AC30" s="3455">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6"/>
      <c r="M31" s="1968"/>
      <c r="N31" s="1968"/>
      <c r="O31" s="1975"/>
      <c r="P31" s="3705"/>
      <c r="Q31" s="3452">
        <f t="shared" si="11"/>
        <v>111</v>
      </c>
      <c r="R31" s="1461" t="s">
        <v>11</v>
      </c>
      <c r="S31" s="1462">
        <f t="shared" si="12"/>
        <v>100</v>
      </c>
      <c r="T31" s="1461" t="s">
        <v>11</v>
      </c>
      <c r="U31" s="1462">
        <f t="shared" si="13"/>
        <v>100</v>
      </c>
      <c r="V31" s="1461" t="s">
        <v>11</v>
      </c>
      <c r="W31" s="1462">
        <f t="shared" si="14"/>
        <v>100</v>
      </c>
      <c r="X31" s="3454"/>
      <c r="Y31" s="3705"/>
      <c r="Z31" s="3453">
        <f t="shared" si="15"/>
        <v>111</v>
      </c>
      <c r="AA31" s="3455">
        <f t="shared" si="3"/>
        <v>1</v>
      </c>
      <c r="AB31" s="3455">
        <f t="shared" si="4"/>
        <v>1</v>
      </c>
      <c r="AC31" s="3455">
        <f t="shared" si="5"/>
        <v>1</v>
      </c>
    </row>
    <row r="32" spans="1:29" ht="15">
      <c r="A32" s="2544" t="s">
        <v>2471</v>
      </c>
      <c r="B32" s="170" t="s">
        <v>707</v>
      </c>
      <c r="C32" s="3483" t="s">
        <v>3459</v>
      </c>
      <c r="D32" s="574">
        <v>100</v>
      </c>
      <c r="E32" s="3484" t="s">
        <v>3460</v>
      </c>
      <c r="F32" s="552">
        <f>SUMIF(100:100,E32,101:101)-SUMIF(100:100,C32,101:101)+100</f>
        <v>100</v>
      </c>
      <c r="G32" s="3483" t="s">
        <v>3461</v>
      </c>
      <c r="H32" s="574">
        <f>SUMIF(100:100,G32,101:101)-SUMIF(100:100,C32,101:101)+100</f>
        <v>110</v>
      </c>
      <c r="I32" s="3484" t="s">
        <v>3461</v>
      </c>
      <c r="J32" s="517">
        <f>SUMIF(100:100,I32,101:101)-SUMIF(100:100,C32,101:101)+100</f>
        <v>110</v>
      </c>
      <c r="K32" s="836">
        <v>10</v>
      </c>
      <c r="L32" s="1976"/>
      <c r="M32" s="1968"/>
      <c r="N32" s="1968"/>
      <c r="O32" s="1975"/>
      <c r="P32" s="3706" t="s">
        <v>533</v>
      </c>
      <c r="Q32" s="3452" t="str">
        <f t="shared" si="11"/>
        <v>建筑类型</v>
      </c>
      <c r="R32" s="1461" t="s">
        <v>11</v>
      </c>
      <c r="S32" s="1462">
        <f t="shared" si="12"/>
        <v>100</v>
      </c>
      <c r="T32" s="1461" t="s">
        <v>11</v>
      </c>
      <c r="U32" s="1462">
        <f t="shared" si="13"/>
        <v>110</v>
      </c>
      <c r="V32" s="1461" t="s">
        <v>11</v>
      </c>
      <c r="W32" s="1462">
        <f t="shared" si="14"/>
        <v>110</v>
      </c>
      <c r="X32" s="3454"/>
      <c r="Y32" s="3707" t="s">
        <v>533</v>
      </c>
      <c r="Z32" s="3453" t="str">
        <f t="shared" si="15"/>
        <v>建筑类型</v>
      </c>
      <c r="AA32" s="3455">
        <f t="shared" si="3"/>
        <v>1</v>
      </c>
      <c r="AB32" s="3455">
        <f t="shared" si="4"/>
        <v>0.90909090909090906</v>
      </c>
      <c r="AC32" s="3455">
        <f t="shared" si="5"/>
        <v>0.90909090909090906</v>
      </c>
    </row>
    <row r="33" spans="1:29" s="1247" customFormat="1" ht="15">
      <c r="A33" s="580"/>
      <c r="B33" s="504" t="s">
        <v>708</v>
      </c>
      <c r="C33" s="850">
        <f>'数据-汇总表'!E3</f>
        <v>184715.46</v>
      </c>
      <c r="D33" s="253">
        <v>100</v>
      </c>
      <c r="E33" s="511">
        <f>Sheet4!G32</f>
        <v>2340010</v>
      </c>
      <c r="F33" s="835">
        <f>LOOKUP(E33,103:103,104:104)-LOOKUP(C33,103:103,104:104)+100</f>
        <v>106</v>
      </c>
      <c r="G33" s="510">
        <f>Sheet4!G33</f>
        <v>2340010</v>
      </c>
      <c r="H33" s="253">
        <f>LOOKUP(G33,103:103,104:104)-LOOKUP(C33,103:103,104:104)+100</f>
        <v>106</v>
      </c>
      <c r="I33" s="511">
        <f>Sheet4!G34</f>
        <v>42327</v>
      </c>
      <c r="J33" s="253">
        <f>LOOKUP(I33,103:103,104:104)-LOOKUP(C33,103:103,104:104)+100</f>
        <v>98</v>
      </c>
      <c r="K33" s="837"/>
      <c r="L33" s="1974"/>
      <c r="M33" s="2004"/>
      <c r="N33" s="2004"/>
      <c r="O33" s="1977"/>
      <c r="P33" s="3707"/>
      <c r="Q33" s="1489" t="str">
        <f t="shared" si="11"/>
        <v>项目建筑规模</v>
      </c>
      <c r="R33" s="1465" t="s">
        <v>11</v>
      </c>
      <c r="S33" s="1466">
        <f t="shared" si="12"/>
        <v>106</v>
      </c>
      <c r="T33" s="1465" t="s">
        <v>11</v>
      </c>
      <c r="U33" s="1466">
        <f t="shared" si="13"/>
        <v>106</v>
      </c>
      <c r="V33" s="1465" t="s">
        <v>11</v>
      </c>
      <c r="W33" s="1466">
        <f t="shared" si="14"/>
        <v>98</v>
      </c>
      <c r="X33" s="1467"/>
      <c r="Y33" s="3707"/>
      <c r="Z33" s="1468" t="str">
        <f t="shared" si="15"/>
        <v>项目建筑规模</v>
      </c>
      <c r="AA33" s="3455">
        <f t="shared" si="3"/>
        <v>0.94339622641509435</v>
      </c>
      <c r="AB33" s="3455">
        <f t="shared" si="4"/>
        <v>0.94339622641509435</v>
      </c>
      <c r="AC33" s="3455">
        <f t="shared" si="5"/>
        <v>1.0204081632653061</v>
      </c>
    </row>
    <row r="34" spans="1:29" ht="15">
      <c r="A34" s="571"/>
      <c r="B34" s="504" t="s">
        <v>709</v>
      </c>
      <c r="C34" s="3485" t="s">
        <v>3429</v>
      </c>
      <c r="D34" s="517">
        <v>100</v>
      </c>
      <c r="E34" s="3486" t="s">
        <v>3429</v>
      </c>
      <c r="F34" s="552">
        <f>SUMIF(105:105,E34,106:106)-SUMIF(105:105,C34,106:106)+100</f>
        <v>100</v>
      </c>
      <c r="G34" s="3485" t="s">
        <v>3429</v>
      </c>
      <c r="H34" s="517">
        <f>SUMIF(105:105,G34,106:106)-SUMIF(105:105,C34,106:106)+100</f>
        <v>100</v>
      </c>
      <c r="I34" s="3486" t="s">
        <v>3429</v>
      </c>
      <c r="J34" s="517">
        <f>SUMIF(105:105,I34,106:106)-SUMIF(105:105,C34,106:106)+100</f>
        <v>100</v>
      </c>
      <c r="K34" s="836"/>
      <c r="L34" s="1976"/>
      <c r="M34" s="1968"/>
      <c r="N34" s="1968"/>
      <c r="O34" s="1975"/>
      <c r="P34" s="3707"/>
      <c r="Q34" s="3452" t="str">
        <f t="shared" si="11"/>
        <v>建筑结构</v>
      </c>
      <c r="R34" s="1461" t="s">
        <v>11</v>
      </c>
      <c r="S34" s="1462">
        <f t="shared" si="12"/>
        <v>100</v>
      </c>
      <c r="T34" s="1461" t="s">
        <v>11</v>
      </c>
      <c r="U34" s="1462">
        <f t="shared" si="13"/>
        <v>100</v>
      </c>
      <c r="V34" s="1461" t="s">
        <v>11</v>
      </c>
      <c r="W34" s="1462">
        <f t="shared" si="14"/>
        <v>100</v>
      </c>
      <c r="X34" s="3454"/>
      <c r="Y34" s="3707"/>
      <c r="Z34" s="3453" t="str">
        <f t="shared" si="15"/>
        <v>建筑结构</v>
      </c>
      <c r="AA34" s="3455">
        <f t="shared" si="3"/>
        <v>1</v>
      </c>
      <c r="AB34" s="3455">
        <f t="shared" si="4"/>
        <v>1</v>
      </c>
      <c r="AC34" s="3455">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6"/>
      <c r="M35" s="1968"/>
      <c r="N35" s="1968"/>
      <c r="O35" s="1975"/>
      <c r="P35" s="3707"/>
      <c r="Q35" s="3452" t="str">
        <f t="shared" si="11"/>
        <v>建筑品质</v>
      </c>
      <c r="R35" s="1461" t="s">
        <v>11</v>
      </c>
      <c r="S35" s="1462">
        <f t="shared" si="12"/>
        <v>100</v>
      </c>
      <c r="T35" s="1461" t="s">
        <v>11</v>
      </c>
      <c r="U35" s="1462">
        <f t="shared" si="13"/>
        <v>100</v>
      </c>
      <c r="V35" s="1461" t="s">
        <v>11</v>
      </c>
      <c r="W35" s="1462">
        <f t="shared" si="14"/>
        <v>100</v>
      </c>
      <c r="X35" s="3454"/>
      <c r="Y35" s="3707"/>
      <c r="Z35" s="3453" t="str">
        <f t="shared" si="15"/>
        <v>建筑品质</v>
      </c>
      <c r="AA35" s="3455">
        <f t="shared" si="3"/>
        <v>1</v>
      </c>
      <c r="AB35" s="3455">
        <f t="shared" si="4"/>
        <v>1</v>
      </c>
      <c r="AC35" s="3455">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6"/>
      <c r="M36" s="1968"/>
      <c r="N36" s="1968"/>
      <c r="O36" s="1975"/>
      <c r="P36" s="3707"/>
      <c r="Q36" s="3452" t="str">
        <f t="shared" si="11"/>
        <v>公共部分装修</v>
      </c>
      <c r="R36" s="1461" t="s">
        <v>11</v>
      </c>
      <c r="S36" s="1462">
        <f t="shared" si="12"/>
        <v>100</v>
      </c>
      <c r="T36" s="1461" t="s">
        <v>11</v>
      </c>
      <c r="U36" s="1462">
        <f t="shared" si="13"/>
        <v>100</v>
      </c>
      <c r="V36" s="1461" t="s">
        <v>11</v>
      </c>
      <c r="W36" s="1462">
        <f t="shared" si="14"/>
        <v>100</v>
      </c>
      <c r="X36" s="3454"/>
      <c r="Y36" s="3707"/>
      <c r="Z36" s="3453" t="str">
        <f t="shared" si="15"/>
        <v>公共部分装修</v>
      </c>
      <c r="AA36" s="3455">
        <f t="shared" si="3"/>
        <v>1</v>
      </c>
      <c r="AB36" s="3455">
        <f t="shared" si="4"/>
        <v>1</v>
      </c>
      <c r="AC36" s="3455">
        <f t="shared" si="5"/>
        <v>1</v>
      </c>
    </row>
    <row r="37" spans="1:29" s="1165" customFormat="1" ht="15">
      <c r="A37" s="577"/>
      <c r="B37" s="504" t="s">
        <v>712</v>
      </c>
      <c r="C37" s="853">
        <v>1</v>
      </c>
      <c r="D37" s="253">
        <v>100</v>
      </c>
      <c r="E37" s="854">
        <v>1</v>
      </c>
      <c r="F37" s="835">
        <f>LOOKUP(E37,112:112,113:113)-LOOKUP(C37,112:112,113:113)+100</f>
        <v>100</v>
      </c>
      <c r="G37" s="855">
        <v>1</v>
      </c>
      <c r="H37" s="253">
        <f>LOOKUP(G37,112:112,113:113)-LOOKUP(C37,112:112,113:113)+100</f>
        <v>100</v>
      </c>
      <c r="I37" s="854">
        <v>1</v>
      </c>
      <c r="J37" s="253">
        <f>LOOKUP(I37,112:112,113:113)-LOOKUP(C37,112:112,113:113)+100</f>
        <v>100</v>
      </c>
      <c r="K37" s="836"/>
      <c r="L37" s="1969"/>
      <c r="M37" s="1970"/>
      <c r="N37" s="1970"/>
      <c r="O37" s="1971"/>
      <c r="P37" s="3707"/>
      <c r="Q37" s="3451" t="str">
        <f t="shared" si="11"/>
        <v>成新度</v>
      </c>
      <c r="R37" s="1456" t="s">
        <v>11</v>
      </c>
      <c r="S37" s="1457">
        <f t="shared" si="12"/>
        <v>100</v>
      </c>
      <c r="T37" s="1456" t="s">
        <v>11</v>
      </c>
      <c r="U37" s="1457">
        <f t="shared" si="13"/>
        <v>100</v>
      </c>
      <c r="V37" s="1456" t="s">
        <v>11</v>
      </c>
      <c r="W37" s="1457">
        <f t="shared" si="14"/>
        <v>100</v>
      </c>
      <c r="X37" s="1458"/>
      <c r="Y37" s="3707"/>
      <c r="Z37" s="3450" t="str">
        <f t="shared" si="15"/>
        <v>成新度</v>
      </c>
      <c r="AA37" s="1459">
        <f t="shared" si="3"/>
        <v>1</v>
      </c>
      <c r="AB37" s="1459">
        <f t="shared" si="4"/>
        <v>1</v>
      </c>
      <c r="AC37" s="1459">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6"/>
      <c r="M38" s="1968"/>
      <c r="N38" s="1968"/>
      <c r="O38" s="1975"/>
      <c r="P38" s="3707" t="s">
        <v>533</v>
      </c>
      <c r="Q38" s="3452" t="str">
        <f t="shared" si="11"/>
        <v>物业管理</v>
      </c>
      <c r="R38" s="1461" t="s">
        <v>11</v>
      </c>
      <c r="S38" s="1462">
        <f t="shared" si="12"/>
        <v>100</v>
      </c>
      <c r="T38" s="1461" t="s">
        <v>11</v>
      </c>
      <c r="U38" s="1462">
        <f t="shared" si="13"/>
        <v>100</v>
      </c>
      <c r="V38" s="1461" t="s">
        <v>11</v>
      </c>
      <c r="W38" s="1462">
        <f t="shared" si="14"/>
        <v>100</v>
      </c>
      <c r="X38" s="3454"/>
      <c r="Y38" s="3707" t="s">
        <v>533</v>
      </c>
      <c r="Z38" s="3453" t="str">
        <f t="shared" si="15"/>
        <v>物业管理</v>
      </c>
      <c r="AA38" s="3455">
        <f t="shared" si="3"/>
        <v>1</v>
      </c>
      <c r="AB38" s="3455">
        <f t="shared" si="4"/>
        <v>1</v>
      </c>
      <c r="AC38" s="3455">
        <f t="shared" si="5"/>
        <v>1</v>
      </c>
    </row>
    <row r="39" spans="1:29" ht="15">
      <c r="A39" s="571"/>
      <c r="B39" s="1762" t="s">
        <v>2281</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6"/>
      <c r="M39" s="1968"/>
      <c r="N39" s="1968"/>
      <c r="O39" s="1975"/>
      <c r="P39" s="3707"/>
      <c r="Q39" s="3452" t="str">
        <f t="shared" si="11"/>
        <v>市政基础设施</v>
      </c>
      <c r="R39" s="1461" t="s">
        <v>11</v>
      </c>
      <c r="S39" s="1462">
        <f t="shared" si="12"/>
        <v>100</v>
      </c>
      <c r="T39" s="1461" t="s">
        <v>11</v>
      </c>
      <c r="U39" s="1462">
        <f t="shared" si="13"/>
        <v>100</v>
      </c>
      <c r="V39" s="1461" t="s">
        <v>11</v>
      </c>
      <c r="W39" s="1462">
        <f t="shared" si="14"/>
        <v>100</v>
      </c>
      <c r="X39" s="3454"/>
      <c r="Y39" s="3707"/>
      <c r="Z39" s="3453" t="str">
        <f t="shared" si="15"/>
        <v>市政基础设施</v>
      </c>
      <c r="AA39" s="3455">
        <f t="shared" si="3"/>
        <v>1</v>
      </c>
      <c r="AB39" s="3455">
        <f t="shared" si="4"/>
        <v>1</v>
      </c>
      <c r="AC39" s="3455">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6"/>
      <c r="M40" s="1968"/>
      <c r="N40" s="1968"/>
      <c r="O40" s="1975"/>
      <c r="P40" s="3707"/>
      <c r="Q40" s="3452" t="str">
        <f t="shared" si="11"/>
        <v>房型</v>
      </c>
      <c r="R40" s="1461" t="s">
        <v>11</v>
      </c>
      <c r="S40" s="1462">
        <f t="shared" si="12"/>
        <v>100</v>
      </c>
      <c r="T40" s="1461" t="s">
        <v>11</v>
      </c>
      <c r="U40" s="1462">
        <f t="shared" si="13"/>
        <v>100</v>
      </c>
      <c r="V40" s="1461" t="s">
        <v>11</v>
      </c>
      <c r="W40" s="1462">
        <f t="shared" si="14"/>
        <v>100</v>
      </c>
      <c r="X40" s="3454"/>
      <c r="Y40" s="3707"/>
      <c r="Z40" s="3453" t="str">
        <f t="shared" si="15"/>
        <v>房型</v>
      </c>
      <c r="AA40" s="3455">
        <f t="shared" si="3"/>
        <v>1</v>
      </c>
      <c r="AB40" s="3455">
        <f t="shared" si="4"/>
        <v>1</v>
      </c>
      <c r="AC40" s="3455">
        <f t="shared" si="5"/>
        <v>1</v>
      </c>
    </row>
    <row r="41" spans="1:29" s="1247" customFormat="1" ht="28.5">
      <c r="A41" s="580"/>
      <c r="B41" s="504" t="s">
        <v>715</v>
      </c>
      <c r="C41" s="850"/>
      <c r="D41" s="253">
        <v>100</v>
      </c>
      <c r="E41" s="511"/>
      <c r="F41" s="835">
        <f>SUMIF(120:120,E41,121:121)-SUMIF(120:120,C41,121:121)+100</f>
        <v>100</v>
      </c>
      <c r="G41" s="510"/>
      <c r="H41" s="253">
        <f>SUMIF(120:120,G41,121:121)-SUMIF(120:120,C41,121:121)+100</f>
        <v>100</v>
      </c>
      <c r="I41" s="563"/>
      <c r="J41" s="517">
        <f>SUMIF(120:120,I41,121:121)-SUMIF(120:120,C41,121:121)+100</f>
        <v>100</v>
      </c>
      <c r="K41" s="837"/>
      <c r="L41" s="1974"/>
      <c r="M41" s="2004"/>
      <c r="N41" s="2004"/>
      <c r="O41" s="1977"/>
      <c r="P41" s="3707"/>
      <c r="Q41" s="1489" t="str">
        <f t="shared" si="11"/>
        <v>单套/主力户型建筑面积</v>
      </c>
      <c r="R41" s="1465" t="s">
        <v>11</v>
      </c>
      <c r="S41" s="1466">
        <f t="shared" si="12"/>
        <v>100</v>
      </c>
      <c r="T41" s="1465" t="s">
        <v>11</v>
      </c>
      <c r="U41" s="1466">
        <f t="shared" si="13"/>
        <v>100</v>
      </c>
      <c r="V41" s="1465" t="s">
        <v>11</v>
      </c>
      <c r="W41" s="1466">
        <f t="shared" si="14"/>
        <v>100</v>
      </c>
      <c r="X41" s="1467"/>
      <c r="Y41" s="3707"/>
      <c r="Z41" s="1468" t="str">
        <f t="shared" si="15"/>
        <v>单套/主力户型建筑面积</v>
      </c>
      <c r="AA41" s="3455">
        <f t="shared" si="3"/>
        <v>1</v>
      </c>
      <c r="AB41" s="3455">
        <f t="shared" si="4"/>
        <v>1</v>
      </c>
      <c r="AC41" s="3455">
        <f t="shared" si="5"/>
        <v>1</v>
      </c>
    </row>
    <row r="42" spans="1:29" ht="15">
      <c r="A42" s="571"/>
      <c r="B42" s="504" t="s">
        <v>716</v>
      </c>
      <c r="C42" s="3487" t="s">
        <v>3430</v>
      </c>
      <c r="D42" s="517">
        <v>100</v>
      </c>
      <c r="E42" s="3488" t="s">
        <v>3464</v>
      </c>
      <c r="F42" s="552">
        <f>SUMIF(122:122,E42,123:123)-SUMIF(122:122,C42,123:123)+100</f>
        <v>104</v>
      </c>
      <c r="G42" s="3487" t="s">
        <v>3464</v>
      </c>
      <c r="H42" s="517">
        <f>SUMIF(122:122,G42,123:123)-SUMIF(122:122,C42,123:123)+100</f>
        <v>104</v>
      </c>
      <c r="I42" s="3488" t="s">
        <v>3464</v>
      </c>
      <c r="J42" s="517">
        <f>SUMIF(122:122,I42,123:123)-SUMIF(122:122,C42,123:123)+100</f>
        <v>104</v>
      </c>
      <c r="K42" s="836">
        <v>2</v>
      </c>
      <c r="L42" s="1976"/>
      <c r="M42" s="1968"/>
      <c r="N42" s="1968"/>
      <c r="O42" s="1975"/>
      <c r="P42" s="3707"/>
      <c r="Q42" s="3452" t="str">
        <f t="shared" si="11"/>
        <v>内部装修</v>
      </c>
      <c r="R42" s="1461" t="s">
        <v>11</v>
      </c>
      <c r="S42" s="1462">
        <f t="shared" si="12"/>
        <v>104</v>
      </c>
      <c r="T42" s="1461" t="s">
        <v>11</v>
      </c>
      <c r="U42" s="1462">
        <f t="shared" si="13"/>
        <v>104</v>
      </c>
      <c r="V42" s="1461" t="s">
        <v>11</v>
      </c>
      <c r="W42" s="1462">
        <f t="shared" si="14"/>
        <v>104</v>
      </c>
      <c r="X42" s="3454"/>
      <c r="Y42" s="3707"/>
      <c r="Z42" s="3453" t="str">
        <f t="shared" si="15"/>
        <v>内部装修</v>
      </c>
      <c r="AA42" s="3455">
        <f t="shared" si="3"/>
        <v>0.96153846153846156</v>
      </c>
      <c r="AB42" s="3455">
        <f t="shared" si="4"/>
        <v>0.96153846153846156</v>
      </c>
      <c r="AC42" s="3455">
        <f t="shared" si="5"/>
        <v>0.96153846153846156</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6"/>
      <c r="M43" s="1968"/>
      <c r="N43" s="1968"/>
      <c r="O43" s="1975"/>
      <c r="P43" s="3707"/>
      <c r="Q43" s="3452" t="str">
        <f t="shared" si="11"/>
        <v>内部装修维护情况</v>
      </c>
      <c r="R43" s="1461" t="s">
        <v>11</v>
      </c>
      <c r="S43" s="1462">
        <f t="shared" si="12"/>
        <v>100</v>
      </c>
      <c r="T43" s="1461" t="s">
        <v>11</v>
      </c>
      <c r="U43" s="1462">
        <f t="shared" si="13"/>
        <v>100</v>
      </c>
      <c r="V43" s="1461" t="s">
        <v>11</v>
      </c>
      <c r="W43" s="1462">
        <f t="shared" si="14"/>
        <v>100</v>
      </c>
      <c r="X43" s="3454"/>
      <c r="Y43" s="3707"/>
      <c r="Z43" s="3453" t="str">
        <f t="shared" si="15"/>
        <v>内部装修维护情况</v>
      </c>
      <c r="AA43" s="3455">
        <f t="shared" si="3"/>
        <v>1</v>
      </c>
      <c r="AB43" s="3455">
        <f t="shared" si="4"/>
        <v>1</v>
      </c>
      <c r="AC43" s="3455">
        <f t="shared" si="5"/>
        <v>1</v>
      </c>
    </row>
    <row r="44" spans="1:29" s="1165" customFormat="1" ht="15">
      <c r="A44" s="577"/>
      <c r="B44" s="849">
        <v>111</v>
      </c>
      <c r="C44" s="3493" t="s">
        <v>3465</v>
      </c>
      <c r="D44" s="253">
        <v>100</v>
      </c>
      <c r="E44" s="3493" t="s">
        <v>3466</v>
      </c>
      <c r="F44" s="835">
        <f>SUMIF(126:126,E44,127:127)-SUMIF(126:126,C44,127:127)+100</f>
        <v>95</v>
      </c>
      <c r="G44" s="3493" t="s">
        <v>3466</v>
      </c>
      <c r="H44" s="253">
        <f>SUMIF(126:126,G44,127:127)-SUMIF(126:126,C44,127:127)+100</f>
        <v>95</v>
      </c>
      <c r="I44" s="3493" t="s">
        <v>3467</v>
      </c>
      <c r="J44" s="253">
        <f>SUMIF(126:126,I44,127:127)-SUMIF(126:126,C44,127:127)+100</f>
        <v>95</v>
      </c>
      <c r="K44" s="837"/>
      <c r="L44" s="1969"/>
      <c r="M44" s="1970"/>
      <c r="N44" s="1970"/>
      <c r="O44" s="1971"/>
      <c r="P44" s="3707"/>
      <c r="Q44" s="3451">
        <f t="shared" si="11"/>
        <v>111</v>
      </c>
      <c r="R44" s="1456" t="s">
        <v>11</v>
      </c>
      <c r="S44" s="1457">
        <f t="shared" si="12"/>
        <v>95</v>
      </c>
      <c r="T44" s="1456" t="s">
        <v>11</v>
      </c>
      <c r="U44" s="1457">
        <f t="shared" si="13"/>
        <v>95</v>
      </c>
      <c r="V44" s="1456" t="s">
        <v>11</v>
      </c>
      <c r="W44" s="1457">
        <f t="shared" si="14"/>
        <v>95</v>
      </c>
      <c r="X44" s="1458"/>
      <c r="Y44" s="3707"/>
      <c r="Z44" s="3450">
        <f t="shared" si="15"/>
        <v>111</v>
      </c>
      <c r="AA44" s="1459">
        <f t="shared" si="3"/>
        <v>1.0526315789473684</v>
      </c>
      <c r="AB44" s="1459">
        <f t="shared" si="4"/>
        <v>1.0526315789473684</v>
      </c>
      <c r="AC44" s="1459">
        <f t="shared" si="5"/>
        <v>1.0526315789473684</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6"/>
      <c r="M45" s="1968"/>
      <c r="N45" s="1968"/>
      <c r="O45" s="1975"/>
      <c r="P45" s="3707"/>
      <c r="Q45" s="3452">
        <f t="shared" si="11"/>
        <v>111</v>
      </c>
      <c r="R45" s="1461" t="s">
        <v>11</v>
      </c>
      <c r="S45" s="1462">
        <f t="shared" si="12"/>
        <v>100</v>
      </c>
      <c r="T45" s="1461" t="s">
        <v>11</v>
      </c>
      <c r="U45" s="1462">
        <f t="shared" si="13"/>
        <v>100</v>
      </c>
      <c r="V45" s="1461" t="s">
        <v>11</v>
      </c>
      <c r="W45" s="1462">
        <f t="shared" si="14"/>
        <v>100</v>
      </c>
      <c r="X45" s="3454"/>
      <c r="Y45" s="3707"/>
      <c r="Z45" s="3453">
        <f t="shared" si="15"/>
        <v>111</v>
      </c>
      <c r="AA45" s="3455">
        <f t="shared" si="3"/>
        <v>1</v>
      </c>
      <c r="AB45" s="3455">
        <f t="shared" si="4"/>
        <v>1</v>
      </c>
      <c r="AC45" s="3455">
        <f t="shared" si="5"/>
        <v>1</v>
      </c>
    </row>
    <row r="46" spans="1:29" ht="15.75" thickBot="1">
      <c r="A46" s="856"/>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6"/>
      <c r="M46" s="1968"/>
      <c r="N46" s="1968"/>
      <c r="O46" s="1975"/>
      <c r="P46" s="3802"/>
      <c r="Q46" s="3452">
        <f t="shared" si="11"/>
        <v>111</v>
      </c>
      <c r="R46" s="1461" t="s">
        <v>8</v>
      </c>
      <c r="S46" s="1462">
        <f t="shared" si="12"/>
        <v>100</v>
      </c>
      <c r="T46" s="1461" t="s">
        <v>8</v>
      </c>
      <c r="U46" s="1462">
        <f t="shared" si="13"/>
        <v>100</v>
      </c>
      <c r="V46" s="1461" t="s">
        <v>8</v>
      </c>
      <c r="W46" s="1462">
        <f t="shared" si="14"/>
        <v>100</v>
      </c>
      <c r="X46" s="3454"/>
      <c r="Y46" s="3802"/>
      <c r="Z46" s="3453">
        <f t="shared" si="15"/>
        <v>111</v>
      </c>
      <c r="AA46" s="3455">
        <f t="shared" si="3"/>
        <v>1</v>
      </c>
      <c r="AB46" s="3455">
        <f t="shared" si="4"/>
        <v>1</v>
      </c>
      <c r="AC46" s="3455">
        <f t="shared" si="5"/>
        <v>1</v>
      </c>
    </row>
    <row r="47" spans="1:29" ht="15">
      <c r="A47" s="584" t="s">
        <v>718</v>
      </c>
      <c r="B47" s="857"/>
      <c r="C47" s="2390" t="s">
        <v>9</v>
      </c>
      <c r="D47" s="2391"/>
      <c r="E47" s="2392">
        <f>Sheet4!H32</f>
        <v>7902</v>
      </c>
      <c r="F47" s="2393"/>
      <c r="G47" s="2394">
        <f>Sheet4!H33</f>
        <v>8521</v>
      </c>
      <c r="H47" s="2395"/>
      <c r="I47" s="2392">
        <f>Sheet4!H34</f>
        <v>8602</v>
      </c>
      <c r="J47" s="2395"/>
      <c r="K47" s="1490"/>
      <c r="L47" s="1978"/>
      <c r="M47" s="1979"/>
      <c r="N47" s="1968"/>
      <c r="O47" s="1979"/>
      <c r="P47" s="3671" t="str">
        <f>A47</f>
        <v>成交单价（元/平方米）</v>
      </c>
      <c r="Q47" s="3671"/>
      <c r="R47" s="3801">
        <f>E47</f>
        <v>7902</v>
      </c>
      <c r="S47" s="3801"/>
      <c r="T47" s="3801">
        <f>G47</f>
        <v>8521</v>
      </c>
      <c r="U47" s="3801"/>
      <c r="V47" s="3801">
        <f>I47</f>
        <v>8602</v>
      </c>
      <c r="W47" s="3801"/>
      <c r="X47" s="1450"/>
      <c r="Y47" s="1469"/>
      <c r="Z47" s="1450"/>
      <c r="AA47" s="1450"/>
      <c r="AB47" s="1450"/>
      <c r="AC47" s="1450"/>
    </row>
    <row r="48" spans="1:29" ht="15.75" thickBot="1">
      <c r="A48" s="592" t="s">
        <v>2476</v>
      </c>
      <c r="B48" s="858"/>
      <c r="C48" s="2396">
        <f>R49</f>
        <v>7472</v>
      </c>
      <c r="D48" s="2919" t="s">
        <v>2701</v>
      </c>
      <c r="E48" s="2397">
        <f>R48</f>
        <v>7397</v>
      </c>
      <c r="F48" s="2920"/>
      <c r="G48" s="2396">
        <f>T48</f>
        <v>7252</v>
      </c>
      <c r="H48" s="2920"/>
      <c r="I48" s="2397">
        <f>V48</f>
        <v>7766</v>
      </c>
      <c r="J48" s="2920"/>
      <c r="K48" s="2928">
        <f>F48+H48+J48</f>
        <v>0</v>
      </c>
      <c r="L48" s="1978"/>
      <c r="M48" s="1979"/>
      <c r="N48" s="1979"/>
      <c r="O48" s="1979"/>
      <c r="P48" s="3671" t="str">
        <f>A48</f>
        <v>比较价格（元/平方米）</v>
      </c>
      <c r="Q48" s="3671"/>
      <c r="R48" s="3801">
        <f>IF(F1="售价",ROUND(PRODUCT(R47,AA7:AA46),0),ROUND(PRODUCT(R47,AA7:AA46),1))</f>
        <v>7397</v>
      </c>
      <c r="S48" s="3801"/>
      <c r="T48" s="3801">
        <f>IF(F1="售价",ROUND(PRODUCT(T47,AB7:AB46),0),ROUND(PRODUCT(T47,AB7:AB46),1))</f>
        <v>7252</v>
      </c>
      <c r="U48" s="3801"/>
      <c r="V48" s="3801">
        <f>IF(F1="售价",ROUND(PRODUCT(V47,AC7:AC46),0),ROUND(PRODUCT(V47,AC7:AC46),1))</f>
        <v>7766</v>
      </c>
      <c r="W48" s="3801"/>
      <c r="X48" s="1450"/>
      <c r="Y48" s="1450"/>
      <c r="Z48" s="1450"/>
      <c r="AA48" s="1450"/>
      <c r="AB48" s="1450"/>
      <c r="AC48" s="1450"/>
    </row>
    <row r="49" spans="1:29" ht="15.75" thickBot="1">
      <c r="A49" s="596" t="s">
        <v>2636</v>
      </c>
      <c r="B49" s="597"/>
      <c r="C49" s="2398">
        <f>R49</f>
        <v>7472</v>
      </c>
      <c r="D49" s="2398"/>
      <c r="E49" s="2398"/>
      <c r="F49" s="2398"/>
      <c r="G49" s="2398"/>
      <c r="H49" s="2398"/>
      <c r="I49" s="2398"/>
      <c r="J49" s="2398"/>
      <c r="K49" s="1491"/>
      <c r="L49" s="1978"/>
      <c r="M49" s="1979"/>
      <c r="N49" s="1979"/>
      <c r="O49" s="1979"/>
      <c r="P49" s="3708" t="str">
        <f>A49</f>
        <v>估价对象XX用房的比较价格（楼面单价，元/平方米）</v>
      </c>
      <c r="Q49" s="3709"/>
      <c r="R49" s="3800">
        <f>IF(F1="售价",ROUND(IF(D48="简单平均",AVERAGE(R48:V48),R48*F48+T48*H48+V48*J48),0),ROUND(IF(D48="简单平均",AVERAGE(R48:V48),R48*F48+T48*H48+V48*J48),1))</f>
        <v>7472</v>
      </c>
      <c r="S49" s="3800"/>
      <c r="T49" s="3800"/>
      <c r="U49" s="3800"/>
      <c r="V49" s="3800"/>
      <c r="W49" s="3800"/>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6.8270920643504152E-2</v>
      </c>
      <c r="F52" s="602" t="str">
        <f>IF(OR(E52&gt;=0.3,E52&lt;=-0.3),"超过30%","")</f>
        <v/>
      </c>
      <c r="G52" s="601">
        <f>IF(G47&lt;G48,G48/G47-1,G47/G48-1)</f>
        <v>0.17498621070049647</v>
      </c>
      <c r="H52" s="602" t="str">
        <f>IF(OR(G52&gt;=0.3,G52&lt;=-0.3),"超过30%","")</f>
        <v/>
      </c>
      <c r="I52" s="601">
        <f>IF(I47&lt;I48,I48/I47-1,I47/I48-1)</f>
        <v>0.10764872521246449</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1.9994484280198677E-2</v>
      </c>
      <c r="F53" s="602" t="str">
        <f>IF(OR(E53&gt;=0.2,E53&lt;=-0.2),"超过20%","")</f>
        <v/>
      </c>
      <c r="G53" s="601">
        <f>IF(G48&lt;I48,I48/G48-1,G48/I48-1)</f>
        <v>7.0876999448427958E-2</v>
      </c>
      <c r="H53" s="602" t="str">
        <f>IF(OR(G53&gt;=0.2,G53&lt;=-0.2),"超过20%","")</f>
        <v/>
      </c>
      <c r="I53" s="601">
        <f>IF(I48&lt;E48,E48/I48-1,I48/E48-1)</f>
        <v>4.9885088549411982E-2</v>
      </c>
      <c r="J53" s="602" t="str">
        <f>IF(OR(I53&gt;=0.2,I53&lt;=-0.2),"超过20%","")</f>
        <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7.833459883573779E-2</v>
      </c>
      <c r="F54" s="602" t="str">
        <f>IF(OR(E54&gt;=0.3,E54&lt;=-0.3),"超过30%","")</f>
        <v/>
      </c>
      <c r="G54" s="601">
        <f>IF(G47&lt;I47,I47/G47-1,G47/I47-1)</f>
        <v>9.5059265344443755E-3</v>
      </c>
      <c r="H54" s="602" t="str">
        <f>IF(OR(G54&gt;=0.3,G54&lt;=-0.3),"超过30%","")</f>
        <v/>
      </c>
      <c r="I54" s="601">
        <f>IF(I47&lt;E47,E47/I47-1,I47/E47-1)</f>
        <v>8.8585168311819729E-2</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41" t="str">
        <f>YEAR(C7)&amp;"-"&amp;MONTH(C7)</f>
        <v>2022-11</v>
      </c>
      <c r="D58" s="2441">
        <f>EDATE(C58,-1)</f>
        <v>44835</v>
      </c>
      <c r="E58" s="2441">
        <f t="shared" ref="E58:O58" si="16">EDATE(D58,-1)</f>
        <v>44805</v>
      </c>
      <c r="F58" s="2441">
        <f t="shared" si="16"/>
        <v>44774</v>
      </c>
      <c r="G58" s="2441">
        <f t="shared" si="16"/>
        <v>44743</v>
      </c>
      <c r="H58" s="2441">
        <f t="shared" si="16"/>
        <v>44713</v>
      </c>
      <c r="I58" s="2441">
        <f t="shared" si="16"/>
        <v>44682</v>
      </c>
      <c r="J58" s="2441">
        <f t="shared" si="16"/>
        <v>44652</v>
      </c>
      <c r="K58" s="2441">
        <f t="shared" si="16"/>
        <v>44621</v>
      </c>
      <c r="L58" s="2441">
        <f t="shared" si="16"/>
        <v>44593</v>
      </c>
      <c r="M58" s="2441">
        <f t="shared" si="16"/>
        <v>44562</v>
      </c>
      <c r="N58" s="2441">
        <f t="shared" si="16"/>
        <v>44531</v>
      </c>
      <c r="O58" s="2441">
        <f t="shared" si="16"/>
        <v>44501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5"/>
      <c r="N59" s="625"/>
      <c r="O59" s="625"/>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857"/>
    </row>
    <row r="63" spans="1:29">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v>
      </c>
      <c r="J67" s="657" t="str">
        <f t="shared" si="18"/>
        <v>（含）-</v>
      </c>
      <c r="K67" s="657" t="str">
        <f t="shared" si="18"/>
        <v>（含）-</v>
      </c>
      <c r="L67" s="657" t="str">
        <f t="shared" si="18"/>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67"/>
      <c r="E73" s="667"/>
      <c r="F73" s="667"/>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1763" t="s">
        <v>2048</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
        <v>728</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道路级别</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67"/>
      <c r="D91" s="667"/>
      <c r="E91" s="667"/>
      <c r="F91" s="667"/>
      <c r="G91" s="667"/>
      <c r="H91" s="668"/>
      <c r="I91" s="668"/>
      <c r="J91" s="668"/>
      <c r="K91" s="668"/>
      <c r="L91" s="668"/>
      <c r="M91" s="669"/>
      <c r="N91" s="2000"/>
      <c r="O91" s="2000"/>
      <c r="P91" s="2001"/>
      <c r="Q91" s="2002"/>
      <c r="R91" s="2003"/>
      <c r="S91" s="2003"/>
      <c r="T91" s="2003"/>
      <c r="U91" s="2003"/>
      <c r="V91" s="2003"/>
      <c r="W91" s="2003"/>
      <c r="X91" s="2003"/>
      <c r="Y91" s="2003"/>
      <c r="Z91" s="2003"/>
      <c r="AA91" s="2003"/>
      <c r="AB91" s="2003"/>
      <c r="AC91" s="2003"/>
    </row>
    <row r="92" spans="1:29" ht="15.75" thickTop="1">
      <c r="A92" s="644"/>
      <c r="B92" s="648">
        <f>B28</f>
        <v>111</v>
      </c>
      <c r="C92" s="663"/>
      <c r="D92" s="663"/>
      <c r="E92" s="663"/>
      <c r="F92" s="663"/>
      <c r="G92" s="693"/>
      <c r="H92" s="693"/>
      <c r="I92" s="693"/>
      <c r="J92" s="693"/>
      <c r="K92" s="694"/>
      <c r="L92" s="695"/>
      <c r="M92" s="696"/>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67"/>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67"/>
      <c r="E95" s="667"/>
      <c r="F95" s="667"/>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75"/>
      <c r="D97" s="675"/>
      <c r="E97" s="675"/>
      <c r="F97" s="675"/>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97"/>
      <c r="D98" s="697"/>
      <c r="E98" s="697"/>
      <c r="F98" s="697"/>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701"/>
      <c r="D99" s="701"/>
      <c r="E99" s="701"/>
      <c r="F99" s="701"/>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729</v>
      </c>
      <c r="C100" s="575" t="s">
        <v>3462</v>
      </c>
      <c r="D100" s="3480" t="s">
        <v>3463</v>
      </c>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2">C101-$K32</f>
        <v>90</v>
      </c>
      <c r="E101" s="654">
        <f t="shared" si="22"/>
        <v>80</v>
      </c>
      <c r="F101" s="654">
        <f t="shared" si="22"/>
        <v>70</v>
      </c>
      <c r="G101" s="654">
        <f t="shared" si="22"/>
        <v>60</v>
      </c>
      <c r="H101" s="654">
        <f t="shared" si="22"/>
        <v>50</v>
      </c>
      <c r="I101" s="654">
        <f t="shared" si="22"/>
        <v>40</v>
      </c>
      <c r="J101" s="654">
        <f t="shared" si="22"/>
        <v>30</v>
      </c>
      <c r="K101" s="654">
        <f t="shared" si="22"/>
        <v>20</v>
      </c>
      <c r="L101" s="654">
        <f t="shared" si="22"/>
        <v>10</v>
      </c>
      <c r="M101" s="654">
        <f t="shared" si="22"/>
        <v>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4"/>
      <c r="B102" s="648" t="s">
        <v>730</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v>
      </c>
      <c r="H102" s="683" t="str">
        <f t="shared" si="23"/>
        <v>(含)-</v>
      </c>
      <c r="I102" s="683" t="str">
        <f t="shared" si="23"/>
        <v>(含)-</v>
      </c>
      <c r="J102" s="683" t="str">
        <f t="shared" si="23"/>
        <v>(含)-</v>
      </c>
      <c r="K102" s="683" t="str">
        <f t="shared" si="23"/>
        <v>(含)-</v>
      </c>
      <c r="L102" s="683" t="str">
        <f t="shared" si="23"/>
        <v>(含)-</v>
      </c>
      <c r="M102" s="683"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100000</v>
      </c>
      <c r="E103" s="705">
        <v>200000</v>
      </c>
      <c r="F103" s="705">
        <v>300000</v>
      </c>
      <c r="G103" s="705">
        <v>400000</v>
      </c>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102</v>
      </c>
      <c r="E104" s="646">
        <v>104</v>
      </c>
      <c r="F104" s="646">
        <v>106</v>
      </c>
      <c r="G104" s="646">
        <v>108</v>
      </c>
      <c r="H104" s="646"/>
      <c r="I104" s="646"/>
      <c r="J104" s="646"/>
      <c r="K104" s="646"/>
      <c r="L104" s="646"/>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732</v>
      </c>
      <c r="C107" s="693"/>
      <c r="D107" s="693"/>
      <c r="E107" s="69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733</v>
      </c>
      <c r="C109" s="663"/>
      <c r="D109" s="663"/>
      <c r="E109" s="66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1999"/>
      <c r="O110" s="1999"/>
      <c r="P110" s="1998"/>
      <c r="Q110" s="1991"/>
      <c r="R110" s="1979"/>
      <c r="S110" s="1979"/>
      <c r="T110" s="1979"/>
      <c r="U110" s="1979"/>
      <c r="V110" s="1979"/>
      <c r="W110" s="1979"/>
      <c r="X110" s="1979"/>
      <c r="Y110" s="1979"/>
      <c r="Z110" s="1979"/>
      <c r="AA110" s="1979"/>
      <c r="AB110" s="1979"/>
      <c r="AC110" s="1979"/>
    </row>
    <row r="111" spans="1:29" s="1247"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0"/>
      <c r="O111" s="2000"/>
      <c r="P111" s="2001"/>
      <c r="Q111" s="2002"/>
      <c r="R111" s="2003"/>
      <c r="S111" s="2003"/>
      <c r="T111" s="2003"/>
      <c r="U111" s="2003"/>
      <c r="V111" s="2003"/>
      <c r="W111" s="2003"/>
      <c r="X111" s="2003"/>
      <c r="Y111" s="2003"/>
      <c r="Z111" s="2003"/>
      <c r="AA111" s="2003"/>
      <c r="AB111" s="2003"/>
      <c r="AC111" s="2003"/>
    </row>
    <row r="112" spans="1:29" s="1247" customFormat="1">
      <c r="A112" s="703"/>
      <c r="B112" s="656"/>
      <c r="C112" s="864">
        <v>0.5</v>
      </c>
      <c r="D112" s="864">
        <v>0.6</v>
      </c>
      <c r="E112" s="864">
        <v>0.7</v>
      </c>
      <c r="F112" s="864">
        <v>0.8</v>
      </c>
      <c r="G112" s="864">
        <v>0.9</v>
      </c>
      <c r="H112" s="864">
        <v>1.0001</v>
      </c>
      <c r="I112" s="864"/>
      <c r="J112" s="865"/>
      <c r="K112" s="865"/>
      <c r="L112" s="866"/>
      <c r="M112" s="867"/>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735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1763" t="s">
        <v>2273</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736</v>
      </c>
      <c r="C118" s="693"/>
      <c r="D118" s="693"/>
      <c r="E118" s="693"/>
      <c r="F118" s="693"/>
      <c r="G118" s="693"/>
      <c r="H118" s="693"/>
      <c r="I118" s="693"/>
      <c r="J118" s="693"/>
      <c r="K118" s="694"/>
      <c r="L118" s="695"/>
      <c r="M118" s="69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1999"/>
      <c r="O119" s="1999"/>
      <c r="P119" s="1998"/>
      <c r="Q119" s="1991"/>
      <c r="R119" s="1979"/>
      <c r="S119" s="1979"/>
      <c r="T119" s="1979"/>
      <c r="U119" s="1979"/>
      <c r="V119" s="1979"/>
      <c r="W119" s="1979"/>
      <c r="X119" s="1979"/>
      <c r="Y119" s="1979"/>
      <c r="Z119" s="1979"/>
      <c r="AA119" s="1979"/>
      <c r="AB119" s="1979"/>
      <c r="AC119" s="1979"/>
    </row>
    <row r="120" spans="1:29" s="1247" customFormat="1" ht="28.5" thickTop="1">
      <c r="A120" s="703"/>
      <c r="B120" s="648" t="s">
        <v>715</v>
      </c>
      <c r="C120" s="663"/>
      <c r="D120" s="663"/>
      <c r="E120" s="663"/>
      <c r="F120" s="663"/>
      <c r="G120" s="663"/>
      <c r="H120" s="663"/>
      <c r="I120" s="663"/>
      <c r="J120" s="663"/>
      <c r="K120" s="663"/>
      <c r="L120" s="860"/>
      <c r="M120" s="861"/>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67"/>
      <c r="D121" s="646"/>
      <c r="E121" s="646"/>
      <c r="F121" s="646"/>
      <c r="G121" s="646"/>
      <c r="H121" s="646"/>
      <c r="I121" s="646"/>
      <c r="J121" s="646"/>
      <c r="K121" s="646"/>
      <c r="L121" s="646"/>
      <c r="M121" s="646"/>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3489" t="s">
        <v>3431</v>
      </c>
      <c r="D122" s="3489" t="s">
        <v>3432</v>
      </c>
      <c r="E122" s="3489" t="s">
        <v>3433</v>
      </c>
      <c r="F122" s="3477" t="s">
        <v>3430</v>
      </c>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98</v>
      </c>
      <c r="E123" s="654">
        <f t="shared" si="29"/>
        <v>96</v>
      </c>
      <c r="F123" s="654">
        <f t="shared" si="29"/>
        <v>94</v>
      </c>
      <c r="G123" s="654">
        <f t="shared" si="29"/>
        <v>92</v>
      </c>
      <c r="H123" s="654">
        <f t="shared" si="29"/>
        <v>90</v>
      </c>
      <c r="I123" s="654">
        <f t="shared" si="29"/>
        <v>88</v>
      </c>
      <c r="J123" s="654">
        <f t="shared" si="29"/>
        <v>86</v>
      </c>
      <c r="K123" s="654">
        <f t="shared" si="29"/>
        <v>84</v>
      </c>
      <c r="L123" s="654">
        <f t="shared" si="29"/>
        <v>82</v>
      </c>
      <c r="M123" s="654">
        <f t="shared" si="29"/>
        <v>80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3489" t="s">
        <v>3465</v>
      </c>
      <c r="D126" s="3489" t="s">
        <v>3467</v>
      </c>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v>100</v>
      </c>
      <c r="D127" s="646">
        <v>95</v>
      </c>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2049</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2050</v>
      </c>
      <c r="C137" s="1786"/>
      <c r="D137" s="1786"/>
      <c r="E137" s="1786"/>
      <c r="F137" s="1786"/>
      <c r="G137" s="1787"/>
      <c r="H137" s="1788"/>
      <c r="I137" s="1789" t="s">
        <v>2051</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2052</v>
      </c>
      <c r="D138" s="1792" t="s">
        <v>2053</v>
      </c>
      <c r="E138" s="1793" t="s">
        <v>2054</v>
      </c>
      <c r="F138" s="1794" t="s">
        <v>2055</v>
      </c>
      <c r="G138" s="1792" t="s">
        <v>2056</v>
      </c>
      <c r="H138" s="1795" t="s">
        <v>2057</v>
      </c>
      <c r="I138" s="1796"/>
      <c r="J138" s="1792" t="s">
        <v>2058</v>
      </c>
      <c r="K138" s="1795" t="s">
        <v>2059</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2060</v>
      </c>
      <c r="E139" s="1766">
        <v>100</v>
      </c>
      <c r="F139" s="1767">
        <v>102.5</v>
      </c>
      <c r="G139" s="1797" t="s">
        <v>2061</v>
      </c>
      <c r="H139" s="1768">
        <v>105</v>
      </c>
      <c r="I139" s="1798" t="s">
        <v>2062</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2063</v>
      </c>
      <c r="J140" s="818">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2064</v>
      </c>
      <c r="J141" s="818">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2065</v>
      </c>
      <c r="J142" s="818">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2066</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2067</v>
      </c>
      <c r="E144" s="1772">
        <v>102</v>
      </c>
      <c r="F144" s="1778">
        <v>100</v>
      </c>
      <c r="G144" s="1801" t="s">
        <v>2067</v>
      </c>
      <c r="H144" s="1774">
        <v>105</v>
      </c>
      <c r="I144" s="1800" t="s">
        <v>2066</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2068</v>
      </c>
      <c r="C145" s="1779">
        <f>ROUND(MAX(C139:C144)/MIN(C139:C144)-1,3)</f>
        <v>7.2999999999999995E-2</v>
      </c>
      <c r="D145" s="1803"/>
      <c r="E145" s="1803"/>
      <c r="F145" s="1804" t="s">
        <v>2069</v>
      </c>
      <c r="G145" s="1805"/>
      <c r="H145" s="1806"/>
      <c r="I145" s="1807" t="s">
        <v>2066</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2077</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2078</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F52 H52 J52">
    <cfRule type="containsText" dxfId="60" priority="18" stopIfTrue="1" operator="containsText" text="超过">
      <formula>NOT(ISERROR(SEARCH("超过",F52)))</formula>
    </cfRule>
  </conditionalFormatting>
  <conditionalFormatting sqref="J54">
    <cfRule type="containsText" dxfId="59" priority="17" stopIfTrue="1" operator="containsText" text="超过">
      <formula>NOT(ISERROR(SEARCH("超过",J54)))</formula>
    </cfRule>
  </conditionalFormatting>
  <conditionalFormatting sqref="H54">
    <cfRule type="containsText" dxfId="58" priority="16" stopIfTrue="1" operator="containsText" text="超过">
      <formula>NOT(ISERROR(SEARCH("超过",H54)))</formula>
    </cfRule>
  </conditionalFormatting>
  <conditionalFormatting sqref="F54">
    <cfRule type="containsText" dxfId="57" priority="15" stopIfTrue="1" operator="containsText" text="超过">
      <formula>NOT(ISERROR(SEARCH("超过",F54)))</formula>
    </cfRule>
  </conditionalFormatting>
  <conditionalFormatting sqref="F53 H53 J53">
    <cfRule type="containsText" dxfId="56" priority="14" stopIfTrue="1" operator="containsText" text="超过">
      <formula>NOT(ISERROR(SEARCH("超过",F53)))</formula>
    </cfRule>
  </conditionalFormatting>
  <conditionalFormatting sqref="E52">
    <cfRule type="expression" dxfId="55" priority="13" stopIfTrue="1">
      <formula>$F$52="超过30%"</formula>
    </cfRule>
  </conditionalFormatting>
  <conditionalFormatting sqref="G54">
    <cfRule type="expression" dxfId="54" priority="12" stopIfTrue="1">
      <formula>$H$54="超过30%"</formula>
    </cfRule>
  </conditionalFormatting>
  <conditionalFormatting sqref="E53">
    <cfRule type="expression" dxfId="53" priority="11" stopIfTrue="1">
      <formula>$F$53="超过20%"</formula>
    </cfRule>
  </conditionalFormatting>
  <conditionalFormatting sqref="E54">
    <cfRule type="expression" dxfId="52" priority="10" stopIfTrue="1">
      <formula>$F$54="超过30%"</formula>
    </cfRule>
  </conditionalFormatting>
  <conditionalFormatting sqref="G52">
    <cfRule type="expression" dxfId="51" priority="9" stopIfTrue="1">
      <formula>$H$52="超过30%"</formula>
    </cfRule>
  </conditionalFormatting>
  <conditionalFormatting sqref="G53">
    <cfRule type="expression" dxfId="50" priority="8" stopIfTrue="1">
      <formula>$H$53="超过20%"</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F48">
    <cfRule type="expression" dxfId="46" priority="4">
      <formula>$D$48="简单平均"</formula>
    </cfRule>
  </conditionalFormatting>
  <conditionalFormatting sqref="H48">
    <cfRule type="expression" dxfId="45" priority="3">
      <formula>$D$48="简单平均"</formula>
    </cfRule>
  </conditionalFormatting>
  <conditionalFormatting sqref="J48">
    <cfRule type="expression" dxfId="44" priority="2">
      <formula>$D$48="简单平均"</formula>
    </cfRule>
  </conditionalFormatting>
  <conditionalFormatting sqref="F7:F46 H7:H46 J7:J46">
    <cfRule type="cellIs" dxfId="43"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U50" sqref="U5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893"/>
      <c r="C1" s="481" t="s">
        <v>774</v>
      </c>
      <c r="D1" s="821"/>
      <c r="E1" s="483"/>
      <c r="F1" s="2444"/>
      <c r="G1" s="1485" t="s">
        <v>775</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776</v>
      </c>
      <c r="B2" s="822"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777</v>
      </c>
      <c r="B3" s="487" t="e">
        <f>IF(B37="元/平方米",C39,ROUND(B2*10000/D3,0))</f>
        <v>#DIV/0!</v>
      </c>
      <c r="C3" s="824" t="s">
        <v>778</v>
      </c>
      <c r="D3" s="823">
        <f>SUMIF('数据-汇总表'!$C19:$C33,D1,'数据-汇总表'!$E19:$E33)</f>
        <v>0</v>
      </c>
      <c r="E3" s="1715" t="s">
        <v>1867</v>
      </c>
      <c r="F3" s="823">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779</v>
      </c>
      <c r="B4" s="490"/>
      <c r="C4" s="3677" t="s">
        <v>780</v>
      </c>
      <c r="D4" s="3678"/>
      <c r="E4" s="3677" t="s">
        <v>781</v>
      </c>
      <c r="F4" s="3678"/>
      <c r="G4" s="3677" t="s">
        <v>782</v>
      </c>
      <c r="H4" s="3678"/>
      <c r="I4" s="3677" t="s">
        <v>783</v>
      </c>
      <c r="J4" s="3678"/>
      <c r="K4" s="491" t="s">
        <v>784</v>
      </c>
      <c r="L4" s="1967"/>
      <c r="M4" s="1968"/>
      <c r="N4" s="1968"/>
      <c r="O4" s="1968"/>
      <c r="P4" s="3679" t="s">
        <v>785</v>
      </c>
      <c r="Q4" s="3680"/>
      <c r="R4" s="3685" t="s">
        <v>781</v>
      </c>
      <c r="S4" s="3686"/>
      <c r="T4" s="3685" t="s">
        <v>782</v>
      </c>
      <c r="U4" s="3686"/>
      <c r="V4" s="3672" t="s">
        <v>783</v>
      </c>
      <c r="W4" s="3672"/>
      <c r="X4" s="1455"/>
      <c r="Y4" s="3685" t="s">
        <v>785</v>
      </c>
      <c r="Z4" s="3686"/>
      <c r="AA4" s="3674" t="s">
        <v>781</v>
      </c>
      <c r="AB4" s="3675" t="s">
        <v>782</v>
      </c>
      <c r="AC4" s="3674" t="s">
        <v>783</v>
      </c>
    </row>
    <row r="5" spans="1:29" ht="15">
      <c r="A5" s="492"/>
      <c r="B5" s="493"/>
      <c r="C5" s="3693" t="s">
        <v>2630</v>
      </c>
      <c r="D5" s="3694"/>
      <c r="E5" s="3693" t="s">
        <v>2631</v>
      </c>
      <c r="F5" s="3694"/>
      <c r="G5" s="3693" t="s">
        <v>2632</v>
      </c>
      <c r="H5" s="3694"/>
      <c r="I5" s="3693" t="s">
        <v>2633</v>
      </c>
      <c r="J5" s="3694"/>
      <c r="K5" s="491"/>
      <c r="L5" s="1967"/>
      <c r="M5" s="1968"/>
      <c r="N5" s="1968"/>
      <c r="O5" s="1968"/>
      <c r="P5" s="3681"/>
      <c r="Q5" s="3682"/>
      <c r="R5" s="3687"/>
      <c r="S5" s="3688"/>
      <c r="T5" s="3687"/>
      <c r="U5" s="3688"/>
      <c r="V5" s="3672"/>
      <c r="W5" s="3672"/>
      <c r="X5" s="1455"/>
      <c r="Y5" s="3687"/>
      <c r="Z5" s="3688"/>
      <c r="AA5" s="3675"/>
      <c r="AB5" s="3675"/>
      <c r="AC5" s="3675"/>
    </row>
    <row r="6" spans="1:29" ht="15.75" thickBot="1">
      <c r="A6" s="494"/>
      <c r="B6" s="495"/>
      <c r="C6" s="3691" t="s">
        <v>2634</v>
      </c>
      <c r="D6" s="3692"/>
      <c r="E6" s="3695" t="s">
        <v>2634</v>
      </c>
      <c r="F6" s="3696"/>
      <c r="G6" s="3691" t="s">
        <v>2634</v>
      </c>
      <c r="H6" s="3692"/>
      <c r="I6" s="3691" t="s">
        <v>2634</v>
      </c>
      <c r="J6" s="3692"/>
      <c r="K6" s="491" t="s">
        <v>511</v>
      </c>
      <c r="L6" s="1967"/>
      <c r="M6" s="1968"/>
      <c r="N6" s="1968"/>
      <c r="O6" s="1968"/>
      <c r="P6" s="3683"/>
      <c r="Q6" s="3684"/>
      <c r="R6" s="3687"/>
      <c r="S6" s="3688"/>
      <c r="T6" s="3689"/>
      <c r="U6" s="3690"/>
      <c r="V6" s="3672"/>
      <c r="W6" s="3672"/>
      <c r="X6" s="1455"/>
      <c r="Y6" s="3689"/>
      <c r="Z6" s="3690"/>
      <c r="AA6" s="3676"/>
      <c r="AB6" s="3676"/>
      <c r="AC6" s="3676"/>
    </row>
    <row r="7" spans="1:29" s="1165" customFormat="1" ht="15.75" thickBot="1">
      <c r="A7" s="2548"/>
      <c r="B7" s="2555" t="s">
        <v>512</v>
      </c>
      <c r="C7" s="496">
        <f>'数据-取费表'!B2</f>
        <v>44895</v>
      </c>
      <c r="D7" s="497">
        <v>100</v>
      </c>
      <c r="E7" s="498"/>
      <c r="F7" s="499">
        <f>SUMIF(48:48,YEAR(E7)&amp;"-"&amp;MONTH(E7),49:49)</f>
        <v>0</v>
      </c>
      <c r="G7" s="500"/>
      <c r="H7" s="497">
        <f>SUMIF(48:48,YEAR(G7)&amp;"-"&amp;MONTH(G7),49:49)</f>
        <v>0</v>
      </c>
      <c r="I7" s="500"/>
      <c r="J7" s="497">
        <f>SUMIF(48:48,YEAR(I7)&amp;"-"&amp;MONTH(I7),49:49)</f>
        <v>0</v>
      </c>
      <c r="K7" s="501"/>
      <c r="L7" s="1969"/>
      <c r="M7" s="1970"/>
      <c r="N7" s="1970"/>
      <c r="O7" s="1970"/>
      <c r="P7" s="3701" t="s">
        <v>513</v>
      </c>
      <c r="Q7" s="3703"/>
      <c r="R7" s="1456" t="s">
        <v>8</v>
      </c>
      <c r="S7" s="1457">
        <f t="shared" ref="S7:S14" si="0">F7</f>
        <v>0</v>
      </c>
      <c r="T7" s="1456" t="s">
        <v>8</v>
      </c>
      <c r="U7" s="1457">
        <f t="shared" ref="U7:U14" si="1">H7</f>
        <v>0</v>
      </c>
      <c r="V7" s="1456" t="s">
        <v>8</v>
      </c>
      <c r="W7" s="1457">
        <f t="shared" ref="W7:W14" si="2">J7</f>
        <v>0</v>
      </c>
      <c r="X7" s="1458"/>
      <c r="Y7" s="3701" t="s">
        <v>513</v>
      </c>
      <c r="Z7" s="3702"/>
      <c r="AA7" s="1459" t="e">
        <f>D7/F7</f>
        <v>#DIV/0!</v>
      </c>
      <c r="AB7" s="1459" t="e">
        <f>D7/H7</f>
        <v>#DIV/0!</v>
      </c>
      <c r="AC7" s="1459" t="e">
        <f>D7/J7</f>
        <v>#DIV/0!</v>
      </c>
    </row>
    <row r="8" spans="1:29" s="1165" customFormat="1" ht="15.75" thickBot="1">
      <c r="A8" s="2549"/>
      <c r="B8" s="2556" t="s">
        <v>514</v>
      </c>
      <c r="C8" s="502" t="s">
        <v>558</v>
      </c>
      <c r="D8" s="497">
        <v>100</v>
      </c>
      <c r="E8" s="502"/>
      <c r="F8" s="499">
        <f>SUMIF(51:51,E8,52:52)-SUMIF(51:51,C8,52:52)+100</f>
        <v>0</v>
      </c>
      <c r="G8" s="502"/>
      <c r="H8" s="497">
        <f>SUMIF(51:51,G8,52:52)-SUMIF(51:51,C8,52:52)+100</f>
        <v>0</v>
      </c>
      <c r="I8" s="502"/>
      <c r="J8" s="497">
        <f>SUMIF(51:51,I8,52:52)-SUMIF(51:51,C8,52:52)+100</f>
        <v>0</v>
      </c>
      <c r="K8" s="501"/>
      <c r="L8" s="1969"/>
      <c r="M8" s="1970"/>
      <c r="N8" s="1970"/>
      <c r="O8" s="1970"/>
      <c r="P8" s="3701" t="s">
        <v>516</v>
      </c>
      <c r="Q8" s="3702"/>
      <c r="R8" s="1456" t="s">
        <v>8</v>
      </c>
      <c r="S8" s="1457">
        <f t="shared" si="0"/>
        <v>0</v>
      </c>
      <c r="T8" s="1456" t="s">
        <v>8</v>
      </c>
      <c r="U8" s="1457">
        <f t="shared" si="1"/>
        <v>0</v>
      </c>
      <c r="V8" s="1456" t="s">
        <v>8</v>
      </c>
      <c r="W8" s="1457">
        <f t="shared" si="2"/>
        <v>0</v>
      </c>
      <c r="X8" s="1458"/>
      <c r="Y8" s="3701" t="s">
        <v>516</v>
      </c>
      <c r="Z8" s="3702"/>
      <c r="AA8" s="1459" t="e">
        <f t="shared" ref="AA8:AA36" si="3">D8/F8</f>
        <v>#DIV/0!</v>
      </c>
      <c r="AB8" s="1459" t="e">
        <f t="shared" ref="AB8:AB36" si="4">D8/H8</f>
        <v>#DIV/0!</v>
      </c>
      <c r="AC8" s="1459" t="e">
        <f t="shared" ref="AC8:AC36" si="5">D8/J8</f>
        <v>#DIV/0!</v>
      </c>
    </row>
    <row r="9" spans="1:29" s="1165" customFormat="1" ht="15">
      <c r="A9" s="2550"/>
      <c r="B9" s="2557" t="s">
        <v>2472</v>
      </c>
      <c r="C9" s="829"/>
      <c r="D9" s="252">
        <v>100</v>
      </c>
      <c r="E9" s="832"/>
      <c r="F9" s="252">
        <f>SUMIF(53:53,E9,54:54)-SUMIF(53:53,C9,54:54)+100</f>
        <v>100</v>
      </c>
      <c r="G9" s="830"/>
      <c r="H9" s="252">
        <f>SUMIF(53:53,G9,54:54)-SUMIF(53:53,C9,54:54)+100</f>
        <v>100</v>
      </c>
      <c r="I9" s="830"/>
      <c r="J9" s="252">
        <f>SUMIF(53:53,I9,54:54)-SUMIF(53:53,C9,54:54)+100</f>
        <v>100</v>
      </c>
      <c r="K9" s="501"/>
      <c r="L9" s="1969"/>
      <c r="M9" s="1970"/>
      <c r="N9" s="1970"/>
      <c r="O9" s="1971"/>
      <c r="P9" s="3671" t="s">
        <v>518</v>
      </c>
      <c r="Q9" s="1096" t="str">
        <f t="shared" ref="Q9:Q14" si="6">B9</f>
        <v>用途</v>
      </c>
      <c r="R9" s="1456" t="s">
        <v>8</v>
      </c>
      <c r="S9" s="1457">
        <f t="shared" si="0"/>
        <v>100</v>
      </c>
      <c r="T9" s="1456" t="s">
        <v>8</v>
      </c>
      <c r="U9" s="1457">
        <f t="shared" si="1"/>
        <v>100</v>
      </c>
      <c r="V9" s="1456" t="s">
        <v>8</v>
      </c>
      <c r="W9" s="1457">
        <f t="shared" si="2"/>
        <v>100</v>
      </c>
      <c r="X9" s="1458"/>
      <c r="Y9" s="3619" t="s">
        <v>519</v>
      </c>
      <c r="Z9" s="1095" t="str">
        <f t="shared" ref="Z9:Z14" si="7">Q9</f>
        <v>用途</v>
      </c>
      <c r="AA9" s="1459">
        <f t="shared" si="3"/>
        <v>1</v>
      </c>
      <c r="AB9" s="1459">
        <f t="shared" si="4"/>
        <v>1</v>
      </c>
      <c r="AC9" s="1459">
        <f t="shared" si="5"/>
        <v>1</v>
      </c>
    </row>
    <row r="10" spans="1:29" s="1246" customFormat="1" ht="27">
      <c r="A10" s="2551"/>
      <c r="B10" s="2556" t="s">
        <v>2473</v>
      </c>
      <c r="C10" s="833"/>
      <c r="D10" s="253">
        <v>100</v>
      </c>
      <c r="E10" s="833"/>
      <c r="F10" s="253">
        <f>SUMIF(55:55,E10,56:56)-SUMIF(55:55,C10,56:56)+100</f>
        <v>100</v>
      </c>
      <c r="G10" s="834"/>
      <c r="H10" s="253">
        <f>SUMIF(55:55,G10,56:56)-SUMIF(55:55,C10,56:56)+100</f>
        <v>100</v>
      </c>
      <c r="I10" s="833"/>
      <c r="J10" s="253">
        <f>SUMIF(55:55,I10,56:56)-SUMIF(55:55,C10,56:56)+100</f>
        <v>100</v>
      </c>
      <c r="K10" s="561"/>
      <c r="L10" s="1972"/>
      <c r="M10" s="2011"/>
      <c r="N10" s="2011"/>
      <c r="O10" s="1973"/>
      <c r="P10" s="3671"/>
      <c r="Q10" s="1096" t="str">
        <f t="shared" si="6"/>
        <v>土地使用年限（年）</v>
      </c>
      <c r="R10" s="1456" t="s">
        <v>8</v>
      </c>
      <c r="S10" s="1457">
        <f t="shared" si="0"/>
        <v>100</v>
      </c>
      <c r="T10" s="1456" t="s">
        <v>8</v>
      </c>
      <c r="U10" s="1457">
        <f t="shared" si="1"/>
        <v>100</v>
      </c>
      <c r="V10" s="1456" t="s">
        <v>8</v>
      </c>
      <c r="W10" s="1457">
        <f t="shared" si="2"/>
        <v>100</v>
      </c>
      <c r="X10" s="1458"/>
      <c r="Y10" s="3619"/>
      <c r="Z10" s="1095" t="str">
        <f t="shared" si="7"/>
        <v>土地使用年限（年）</v>
      </c>
      <c r="AA10" s="1459">
        <f t="shared" si="3"/>
        <v>1</v>
      </c>
      <c r="AB10" s="1459">
        <f t="shared" si="4"/>
        <v>1</v>
      </c>
      <c r="AC10" s="1459">
        <f t="shared" si="5"/>
        <v>1</v>
      </c>
    </row>
    <row r="11" spans="1:29" ht="15">
      <c r="A11" s="2553"/>
      <c r="B11" s="2559">
        <v>111</v>
      </c>
      <c r="C11" s="505"/>
      <c r="D11" s="253">
        <v>100</v>
      </c>
      <c r="E11" s="505"/>
      <c r="F11" s="253">
        <f>SUMIF(57:57,E11,58:58)-SUMIF(57:57,C11,58:58)+100</f>
        <v>100</v>
      </c>
      <c r="G11" s="505"/>
      <c r="H11" s="253">
        <f>SUMIF(57:57,G11,58:58)-SUMIF(57:57,C11,58:58)+100</f>
        <v>100</v>
      </c>
      <c r="I11" s="505"/>
      <c r="J11" s="253">
        <f>SUMIF(57:57,I11,58:58)-SUMIF(57:57,C11,58:58)+100</f>
        <v>100</v>
      </c>
      <c r="K11" s="558"/>
      <c r="L11" s="1974"/>
      <c r="M11" s="1968"/>
      <c r="N11" s="1968"/>
      <c r="O11" s="1975"/>
      <c r="P11" s="3671"/>
      <c r="Q11" s="1096">
        <f t="shared" si="6"/>
        <v>111</v>
      </c>
      <c r="R11" s="1456" t="s">
        <v>8</v>
      </c>
      <c r="S11" s="1457">
        <f t="shared" si="0"/>
        <v>100</v>
      </c>
      <c r="T11" s="1456" t="s">
        <v>8</v>
      </c>
      <c r="U11" s="1457">
        <f t="shared" si="1"/>
        <v>100</v>
      </c>
      <c r="V11" s="1456" t="s">
        <v>8</v>
      </c>
      <c r="W11" s="1457">
        <f t="shared" si="2"/>
        <v>100</v>
      </c>
      <c r="X11" s="1458"/>
      <c r="Y11" s="3619"/>
      <c r="Z11" s="1095">
        <f t="shared" si="7"/>
        <v>111</v>
      </c>
      <c r="AA11" s="1459">
        <f t="shared" si="3"/>
        <v>1</v>
      </c>
      <c r="AB11" s="1459">
        <f t="shared" si="4"/>
        <v>1</v>
      </c>
      <c r="AC11" s="1459">
        <f t="shared" si="5"/>
        <v>1</v>
      </c>
    </row>
    <row r="12" spans="1:29" s="1165" customFormat="1" ht="15">
      <c r="A12" s="2553"/>
      <c r="B12" s="2559">
        <v>111</v>
      </c>
      <c r="C12" s="505"/>
      <c r="D12" s="515">
        <v>100</v>
      </c>
      <c r="E12" s="505"/>
      <c r="F12" s="253">
        <f>SUMIF(59:59,E12,60:60)-SUMIF(59:59,C12,60:60)+100</f>
        <v>100</v>
      </c>
      <c r="G12" s="505"/>
      <c r="H12" s="253">
        <f>SUMIF(59:59,G12,60:60)-SUMIF(59:59,C12,60:60)+100</f>
        <v>100</v>
      </c>
      <c r="I12" s="505"/>
      <c r="J12" s="253">
        <f>SUMIF(59:59,I12,60:60)-SUMIF(59:59,C12,60:60)+100</f>
        <v>100</v>
      </c>
      <c r="K12" s="558"/>
      <c r="L12" s="1969"/>
      <c r="M12" s="1970"/>
      <c r="N12" s="1970"/>
      <c r="O12" s="1971"/>
      <c r="P12" s="3671"/>
      <c r="Q12" s="1096">
        <f t="shared" si="6"/>
        <v>111</v>
      </c>
      <c r="R12" s="1456" t="s">
        <v>8</v>
      </c>
      <c r="S12" s="1457">
        <f t="shared" si="0"/>
        <v>100</v>
      </c>
      <c r="T12" s="1456" t="s">
        <v>8</v>
      </c>
      <c r="U12" s="1457">
        <f t="shared" si="1"/>
        <v>100</v>
      </c>
      <c r="V12" s="1456" t="s">
        <v>8</v>
      </c>
      <c r="W12" s="1457">
        <f t="shared" si="2"/>
        <v>100</v>
      </c>
      <c r="X12" s="1458"/>
      <c r="Y12" s="3619"/>
      <c r="Z12" s="1095">
        <f t="shared" si="7"/>
        <v>111</v>
      </c>
      <c r="AA12" s="1459">
        <f>D12/F12</f>
        <v>1</v>
      </c>
      <c r="AB12" s="1459">
        <f>D12/H12</f>
        <v>1</v>
      </c>
      <c r="AC12" s="1459">
        <f>D12/J12</f>
        <v>1</v>
      </c>
    </row>
    <row r="13" spans="1:29" ht="15.75" thickBot="1">
      <c r="A13" s="2554"/>
      <c r="B13" s="2560">
        <v>111</v>
      </c>
      <c r="C13" s="516"/>
      <c r="D13" s="517">
        <v>100</v>
      </c>
      <c r="E13" s="505"/>
      <c r="F13" s="253">
        <f>SUMIF(61:61,E13,62:62)-SUMIF(61:61,C13,62:62)+100</f>
        <v>100</v>
      </c>
      <c r="G13" s="505"/>
      <c r="H13" s="517">
        <f>SUMIF(61:61,G13,62:62)-SUMIF(61:61,C13,62:62)+100</f>
        <v>100</v>
      </c>
      <c r="I13" s="505"/>
      <c r="J13" s="517">
        <f>SUMIF(61:61,I13,62:62)-SUMIF(61:61,C13,62:62)+100</f>
        <v>100</v>
      </c>
      <c r="K13" s="558"/>
      <c r="L13" s="1976"/>
      <c r="M13" s="1968"/>
      <c r="N13" s="1968"/>
      <c r="O13" s="1975"/>
      <c r="P13" s="3671"/>
      <c r="Q13" s="1096">
        <f t="shared" si="6"/>
        <v>111</v>
      </c>
      <c r="R13" s="1456" t="s">
        <v>8</v>
      </c>
      <c r="S13" s="1457">
        <f t="shared" si="0"/>
        <v>100</v>
      </c>
      <c r="T13" s="1456" t="s">
        <v>8</v>
      </c>
      <c r="U13" s="1457">
        <f t="shared" si="1"/>
        <v>100</v>
      </c>
      <c r="V13" s="1456" t="s">
        <v>8</v>
      </c>
      <c r="W13" s="1457">
        <f t="shared" si="2"/>
        <v>100</v>
      </c>
      <c r="X13" s="1458"/>
      <c r="Y13" s="3619"/>
      <c r="Z13" s="1095">
        <f t="shared" si="7"/>
        <v>111</v>
      </c>
      <c r="AA13" s="1459">
        <f t="shared" si="3"/>
        <v>1</v>
      </c>
      <c r="AB13" s="1459">
        <f t="shared" si="4"/>
        <v>1</v>
      </c>
      <c r="AC13" s="1459">
        <f t="shared" si="5"/>
        <v>1</v>
      </c>
    </row>
    <row r="14" spans="1:29" ht="85.5">
      <c r="A14" s="2546" t="s">
        <v>2470</v>
      </c>
      <c r="B14" s="524" t="s">
        <v>526</v>
      </c>
      <c r="C14" s="891"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8"/>
      <c r="L14" s="1976"/>
      <c r="M14" s="1968"/>
      <c r="N14" s="1968"/>
      <c r="O14" s="1975"/>
      <c r="P14" s="3704" t="s">
        <v>523</v>
      </c>
      <c r="Q14" s="1460" t="str">
        <f t="shared" si="6"/>
        <v>交通便捷度</v>
      </c>
      <c r="R14" s="1461" t="s">
        <v>8</v>
      </c>
      <c r="S14" s="1462">
        <f t="shared" si="0"/>
        <v>100</v>
      </c>
      <c r="T14" s="1461" t="s">
        <v>8</v>
      </c>
      <c r="U14" s="1462">
        <f t="shared" si="1"/>
        <v>100</v>
      </c>
      <c r="V14" s="1461" t="s">
        <v>8</v>
      </c>
      <c r="W14" s="1462">
        <f t="shared" si="2"/>
        <v>100</v>
      </c>
      <c r="X14" s="1455"/>
      <c r="Y14" s="3704" t="s">
        <v>523</v>
      </c>
      <c r="Z14" s="1463" t="str">
        <f t="shared" si="7"/>
        <v>交通便捷度</v>
      </c>
      <c r="AA14" s="1464">
        <f t="shared" si="3"/>
        <v>1</v>
      </c>
      <c r="AB14" s="1464">
        <f t="shared" si="4"/>
        <v>1</v>
      </c>
      <c r="AC14" s="1464">
        <f t="shared" si="5"/>
        <v>1</v>
      </c>
    </row>
    <row r="15" spans="1:29" ht="15">
      <c r="A15" s="492"/>
      <c r="B15" s="894"/>
      <c r="C15" s="553"/>
      <c r="D15" s="532"/>
      <c r="E15" s="553"/>
      <c r="F15" s="534"/>
      <c r="G15" s="553"/>
      <c r="H15" s="536"/>
      <c r="I15" s="553"/>
      <c r="J15" s="532"/>
      <c r="K15" s="869"/>
      <c r="L15" s="1976"/>
      <c r="M15" s="1968"/>
      <c r="N15" s="1968"/>
      <c r="O15" s="1975"/>
      <c r="P15" s="3705"/>
      <c r="Q15" s="1460"/>
      <c r="R15" s="1461"/>
      <c r="S15" s="1462"/>
      <c r="T15" s="1461"/>
      <c r="U15" s="1462"/>
      <c r="V15" s="1461"/>
      <c r="W15" s="1462"/>
      <c r="X15" s="1455"/>
      <c r="Y15" s="3705"/>
      <c r="Z15" s="1463"/>
      <c r="AA15" s="1464">
        <v>1</v>
      </c>
      <c r="AB15" s="1464">
        <v>1</v>
      </c>
      <c r="AC15" s="1464">
        <v>1</v>
      </c>
    </row>
    <row r="16" spans="1:29" ht="42.75">
      <c r="A16" s="492"/>
      <c r="B16" s="2367" t="s">
        <v>2263</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8"/>
      <c r="L16" s="1976"/>
      <c r="M16" s="1968"/>
      <c r="N16" s="1968"/>
      <c r="O16" s="1975"/>
      <c r="P16" s="3705"/>
      <c r="Q16" s="1460" t="str">
        <f>B16</f>
        <v>公共配套设施</v>
      </c>
      <c r="R16" s="1461" t="s">
        <v>8</v>
      </c>
      <c r="S16" s="1462">
        <f>F16</f>
        <v>100</v>
      </c>
      <c r="T16" s="1461" t="s">
        <v>8</v>
      </c>
      <c r="U16" s="1462">
        <f>H16</f>
        <v>100</v>
      </c>
      <c r="V16" s="1461" t="s">
        <v>8</v>
      </c>
      <c r="W16" s="1462">
        <f>J16</f>
        <v>100</v>
      </c>
      <c r="X16" s="1455"/>
      <c r="Y16" s="3705"/>
      <c r="Z16" s="1463" t="str">
        <f>Q16</f>
        <v>公共配套设施</v>
      </c>
      <c r="AA16" s="1464">
        <f t="shared" si="3"/>
        <v>1</v>
      </c>
      <c r="AB16" s="1464">
        <f t="shared" si="4"/>
        <v>1</v>
      </c>
      <c r="AC16" s="1464">
        <f t="shared" si="5"/>
        <v>1</v>
      </c>
    </row>
    <row r="17" spans="1:29" ht="15">
      <c r="A17" s="492"/>
      <c r="B17" s="543"/>
      <c r="C17" s="845"/>
      <c r="D17" s="532"/>
      <c r="E17" s="553"/>
      <c r="F17" s="534"/>
      <c r="G17" s="553"/>
      <c r="H17" s="532"/>
      <c r="I17" s="553"/>
      <c r="J17" s="532"/>
      <c r="K17" s="869"/>
      <c r="L17" s="1976"/>
      <c r="M17" s="1968"/>
      <c r="N17" s="1968"/>
      <c r="O17" s="1975"/>
      <c r="P17" s="3705"/>
      <c r="Q17" s="1460"/>
      <c r="R17" s="1461"/>
      <c r="S17" s="1462"/>
      <c r="T17" s="1461"/>
      <c r="U17" s="1462"/>
      <c r="V17" s="1461"/>
      <c r="W17" s="1462"/>
      <c r="X17" s="1455"/>
      <c r="Y17" s="3705"/>
      <c r="Z17" s="1463"/>
      <c r="AA17" s="1464">
        <v>1</v>
      </c>
      <c r="AB17" s="1464">
        <v>1</v>
      </c>
      <c r="AC17" s="1464">
        <v>1</v>
      </c>
    </row>
    <row r="18" spans="1:29" ht="28.5">
      <c r="A18" s="492"/>
      <c r="B18" s="2355" t="s">
        <v>2275</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8"/>
      <c r="L18" s="1976"/>
      <c r="M18" s="1968"/>
      <c r="N18" s="1968"/>
      <c r="O18" s="1975"/>
      <c r="P18" s="3705"/>
      <c r="Q18" s="2349" t="str">
        <f>B18</f>
        <v>基础设施水平</v>
      </c>
      <c r="R18" s="1461" t="s">
        <v>8</v>
      </c>
      <c r="S18" s="1462">
        <f>F18</f>
        <v>100</v>
      </c>
      <c r="T18" s="1461" t="s">
        <v>8</v>
      </c>
      <c r="U18" s="1462">
        <f>H18</f>
        <v>100</v>
      </c>
      <c r="V18" s="1461" t="s">
        <v>8</v>
      </c>
      <c r="W18" s="1462">
        <f>J18</f>
        <v>100</v>
      </c>
      <c r="X18" s="2351"/>
      <c r="Y18" s="3705"/>
      <c r="Z18" s="2350" t="str">
        <f>Q18</f>
        <v>基础设施水平</v>
      </c>
      <c r="AA18" s="1464">
        <f t="shared" ref="AA18" si="8">D18/F18</f>
        <v>1</v>
      </c>
      <c r="AB18" s="1464">
        <f t="shared" ref="AB18" si="9">D18/H18</f>
        <v>1</v>
      </c>
      <c r="AC18" s="1464">
        <f t="shared" ref="AC18" si="10">D18/J18</f>
        <v>1</v>
      </c>
    </row>
    <row r="19" spans="1:29" ht="15">
      <c r="A19" s="492"/>
      <c r="B19" s="555"/>
      <c r="C19" s="845"/>
      <c r="D19" s="536"/>
      <c r="E19" s="553"/>
      <c r="F19" s="534"/>
      <c r="G19" s="553"/>
      <c r="H19" s="532"/>
      <c r="I19" s="553"/>
      <c r="J19" s="532"/>
      <c r="K19" s="2366"/>
      <c r="L19" s="1976"/>
      <c r="M19" s="1968"/>
      <c r="N19" s="1968"/>
      <c r="O19" s="1975"/>
      <c r="P19" s="3705"/>
      <c r="Q19" s="2349"/>
      <c r="R19" s="1461"/>
      <c r="S19" s="1462"/>
      <c r="T19" s="1461"/>
      <c r="U19" s="1462"/>
      <c r="V19" s="1461"/>
      <c r="W19" s="1462"/>
      <c r="X19" s="2351"/>
      <c r="Y19" s="3705"/>
      <c r="Z19" s="2350"/>
      <c r="AA19" s="1464">
        <v>1</v>
      </c>
      <c r="AB19" s="1464">
        <v>1</v>
      </c>
      <c r="AC19" s="1464">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8"/>
      <c r="L20" s="1976"/>
      <c r="M20" s="1968"/>
      <c r="N20" s="1968"/>
      <c r="O20" s="1975"/>
      <c r="P20" s="3705"/>
      <c r="Q20" s="1460" t="str">
        <f>B20</f>
        <v>自然及人文环境</v>
      </c>
      <c r="R20" s="1461" t="s">
        <v>8</v>
      </c>
      <c r="S20" s="1462">
        <f>F20</f>
        <v>100</v>
      </c>
      <c r="T20" s="1461" t="s">
        <v>8</v>
      </c>
      <c r="U20" s="1462">
        <f>H20</f>
        <v>100</v>
      </c>
      <c r="V20" s="1461" t="s">
        <v>8</v>
      </c>
      <c r="W20" s="1462">
        <f>J20</f>
        <v>100</v>
      </c>
      <c r="X20" s="1455"/>
      <c r="Y20" s="3705"/>
      <c r="Z20" s="1463" t="str">
        <f>Q20</f>
        <v>自然及人文环境</v>
      </c>
      <c r="AA20" s="1464">
        <f t="shared" si="3"/>
        <v>1</v>
      </c>
      <c r="AB20" s="1464">
        <f t="shared" si="4"/>
        <v>1</v>
      </c>
      <c r="AC20" s="1464">
        <f t="shared" si="5"/>
        <v>1</v>
      </c>
    </row>
    <row r="21" spans="1:29" ht="15">
      <c r="A21" s="492"/>
      <c r="B21" s="543"/>
      <c r="C21" s="553"/>
      <c r="D21" s="532"/>
      <c r="E21" s="553"/>
      <c r="F21" s="534"/>
      <c r="G21" s="553"/>
      <c r="H21" s="532"/>
      <c r="I21" s="553"/>
      <c r="J21" s="532"/>
      <c r="K21" s="869"/>
      <c r="L21" s="1976"/>
      <c r="M21" s="1968"/>
      <c r="N21" s="1968"/>
      <c r="O21" s="1975"/>
      <c r="P21" s="3705"/>
      <c r="Q21" s="1460"/>
      <c r="R21" s="1461"/>
      <c r="S21" s="1462"/>
      <c r="T21" s="1461"/>
      <c r="U21" s="1462"/>
      <c r="V21" s="1461"/>
      <c r="W21" s="1462"/>
      <c r="X21" s="1455"/>
      <c r="Y21" s="3705"/>
      <c r="Z21" s="1463"/>
      <c r="AA21" s="1464">
        <v>1</v>
      </c>
      <c r="AB21" s="1464">
        <v>1</v>
      </c>
      <c r="AC21" s="1464">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6"/>
      <c r="M22" s="1968"/>
      <c r="N22" s="1968"/>
      <c r="O22" s="1975"/>
      <c r="P22" s="3705"/>
      <c r="Q22" s="1460" t="str">
        <f>B22</f>
        <v>楼层</v>
      </c>
      <c r="R22" s="1461" t="s">
        <v>8</v>
      </c>
      <c r="S22" s="1462">
        <f>F22</f>
        <v>100</v>
      </c>
      <c r="T22" s="1461" t="s">
        <v>8</v>
      </c>
      <c r="U22" s="1462">
        <f>H22</f>
        <v>100</v>
      </c>
      <c r="V22" s="1461" t="s">
        <v>8</v>
      </c>
      <c r="W22" s="1462">
        <f>J22</f>
        <v>100</v>
      </c>
      <c r="X22" s="1455"/>
      <c r="Y22" s="3705"/>
      <c r="Z22" s="1463" t="str">
        <f>Q22</f>
        <v>楼层</v>
      </c>
      <c r="AA22" s="1464">
        <f t="shared" si="3"/>
        <v>1</v>
      </c>
      <c r="AB22" s="1464">
        <f t="shared" si="4"/>
        <v>1</v>
      </c>
      <c r="AC22" s="1464">
        <f t="shared" si="5"/>
        <v>1</v>
      </c>
    </row>
    <row r="23" spans="1:29" ht="15">
      <c r="A23" s="492"/>
      <c r="B23" s="895">
        <v>111</v>
      </c>
      <c r="C23" s="505"/>
      <c r="D23" s="517">
        <v>100</v>
      </c>
      <c r="E23" s="505"/>
      <c r="F23" s="552">
        <f>SUMIF(73:73,E23,74:74)-SUMIF(73:73,C23,74:74)+100</f>
        <v>100</v>
      </c>
      <c r="G23" s="505"/>
      <c r="H23" s="517">
        <f>SUMIF(73:73,G23,74:74)-SUMIF(73:73,C23,74:74)+100</f>
        <v>100</v>
      </c>
      <c r="I23" s="505"/>
      <c r="J23" s="517">
        <f>SUMIF(73:73,I23,74:74)-SUMIF(73:73,C23,74:74)+100</f>
        <v>100</v>
      </c>
      <c r="K23" s="558"/>
      <c r="L23" s="1976"/>
      <c r="M23" s="1968"/>
      <c r="N23" s="1968"/>
      <c r="O23" s="1975"/>
      <c r="P23" s="3705"/>
      <c r="Q23" s="1460">
        <f>B23</f>
        <v>111</v>
      </c>
      <c r="R23" s="1461" t="s">
        <v>8</v>
      </c>
      <c r="S23" s="1462">
        <f>F23</f>
        <v>100</v>
      </c>
      <c r="T23" s="1461" t="s">
        <v>8</v>
      </c>
      <c r="U23" s="1462">
        <f>H23</f>
        <v>100</v>
      </c>
      <c r="V23" s="1461" t="s">
        <v>8</v>
      </c>
      <c r="W23" s="1462">
        <f>J23</f>
        <v>100</v>
      </c>
      <c r="X23" s="1455"/>
      <c r="Y23" s="3705"/>
      <c r="Z23" s="1463">
        <f>Q23</f>
        <v>111</v>
      </c>
      <c r="AA23" s="1464">
        <f t="shared" si="3"/>
        <v>1</v>
      </c>
      <c r="AB23" s="1464">
        <f t="shared" si="4"/>
        <v>1</v>
      </c>
      <c r="AC23" s="1464">
        <f t="shared" si="5"/>
        <v>1</v>
      </c>
    </row>
    <row r="24" spans="1:29" ht="15">
      <c r="A24" s="492"/>
      <c r="B24" s="895">
        <v>111</v>
      </c>
      <c r="C24" s="505"/>
      <c r="D24" s="517">
        <v>100</v>
      </c>
      <c r="E24" s="505"/>
      <c r="F24" s="552">
        <f>SUMIF(75:75,E24,76:76)-SUMIF(75:75,C24,76:76)+100</f>
        <v>100</v>
      </c>
      <c r="G24" s="505"/>
      <c r="H24" s="517">
        <f>SUMIF(75:75,G24,76:76)-SUMIF(75:75,C24,76:76)+100</f>
        <v>100</v>
      </c>
      <c r="I24" s="505"/>
      <c r="J24" s="517">
        <f>SUMIF(75:75,I24,76:76)-SUMIF(75:75,C24,76:76)+100</f>
        <v>100</v>
      </c>
      <c r="K24" s="558"/>
      <c r="L24" s="1976"/>
      <c r="M24" s="1968"/>
      <c r="N24" s="1968"/>
      <c r="O24" s="1975"/>
      <c r="P24" s="3705"/>
      <c r="Q24" s="1460">
        <f t="shared" ref="Q24:Q36" si="11">B24</f>
        <v>111</v>
      </c>
      <c r="R24" s="1461" t="s">
        <v>8</v>
      </c>
      <c r="S24" s="1462">
        <f>F24</f>
        <v>100</v>
      </c>
      <c r="T24" s="1461" t="s">
        <v>8</v>
      </c>
      <c r="U24" s="1462">
        <f>H24</f>
        <v>100</v>
      </c>
      <c r="V24" s="1461" t="s">
        <v>8</v>
      </c>
      <c r="W24" s="1462">
        <f>J24</f>
        <v>100</v>
      </c>
      <c r="X24" s="1455"/>
      <c r="Y24" s="3705"/>
      <c r="Z24" s="1463">
        <f>Q24</f>
        <v>111</v>
      </c>
      <c r="AA24" s="1464">
        <f t="shared" si="3"/>
        <v>1</v>
      </c>
      <c r="AB24" s="1464">
        <f t="shared" si="4"/>
        <v>1</v>
      </c>
      <c r="AC24" s="1464">
        <f t="shared" si="5"/>
        <v>1</v>
      </c>
    </row>
    <row r="25" spans="1:29" s="1165" customFormat="1" ht="15.75" thickBot="1">
      <c r="A25" s="554"/>
      <c r="B25" s="884">
        <v>111</v>
      </c>
      <c r="C25" s="522"/>
      <c r="D25" s="896">
        <v>100</v>
      </c>
      <c r="E25" s="881"/>
      <c r="F25" s="897">
        <f>SUMIF(77:77,E25,78:78)-SUMIF(77:77,C25,78:78)+100</f>
        <v>100</v>
      </c>
      <c r="G25" s="881"/>
      <c r="H25" s="896">
        <f>SUMIF(77:77,G25,78:78)-SUMIF(77:77,C25,78:78)+100</f>
        <v>100</v>
      </c>
      <c r="I25" s="881"/>
      <c r="J25" s="896">
        <f>SUMIF(77:77,I25,78:78)-SUMIF(77:77,C25,78:78)+100</f>
        <v>100</v>
      </c>
      <c r="K25" s="558"/>
      <c r="L25" s="1969"/>
      <c r="M25" s="1970"/>
      <c r="N25" s="1970"/>
      <c r="O25" s="1971"/>
      <c r="P25" s="3705"/>
      <c r="Q25" s="1096">
        <f t="shared" si="11"/>
        <v>111</v>
      </c>
      <c r="R25" s="1456" t="s">
        <v>8</v>
      </c>
      <c r="S25" s="1457">
        <f>F25</f>
        <v>100</v>
      </c>
      <c r="T25" s="1456" t="s">
        <v>8</v>
      </c>
      <c r="U25" s="1457">
        <f>H25</f>
        <v>100</v>
      </c>
      <c r="V25" s="1456" t="s">
        <v>8</v>
      </c>
      <c r="W25" s="1457">
        <f>J25</f>
        <v>100</v>
      </c>
      <c r="X25" s="1458"/>
      <c r="Y25" s="3705"/>
      <c r="Z25" s="1095">
        <f>Q25</f>
        <v>111</v>
      </c>
      <c r="AA25" s="1464">
        <f>D25/F25</f>
        <v>1</v>
      </c>
      <c r="AB25" s="1464">
        <f>D25/H25</f>
        <v>1</v>
      </c>
      <c r="AC25" s="1464">
        <f>D25/J25</f>
        <v>1</v>
      </c>
    </row>
    <row r="26" spans="1:29" ht="15">
      <c r="A26" s="2544" t="s">
        <v>2471</v>
      </c>
      <c r="B26" s="168" t="s">
        <v>788</v>
      </c>
      <c r="C26" s="898">
        <f>B1</f>
        <v>0</v>
      </c>
      <c r="D26" s="532">
        <v>100</v>
      </c>
      <c r="E26" s="553"/>
      <c r="F26" s="534">
        <f>SUMIF(79:79,E26,80:80)-SUMIF(79:79,C26,80:80)+100</f>
        <v>100</v>
      </c>
      <c r="G26" s="553"/>
      <c r="H26" s="532">
        <f>SUMIF(79:79,G26,80:80)-SUMIF(79:79,C26,80:80)+100</f>
        <v>100</v>
      </c>
      <c r="I26" s="553"/>
      <c r="J26" s="532">
        <f>SUMIF(79:79,I26,80:80)-SUMIF(79:79,C26,80:80)+100</f>
        <v>100</v>
      </c>
      <c r="K26" s="561"/>
      <c r="L26" s="1976"/>
      <c r="M26" s="1968"/>
      <c r="N26" s="1968"/>
      <c r="O26" s="1975"/>
      <c r="P26" s="3706" t="s">
        <v>533</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707" t="s">
        <v>533</v>
      </c>
      <c r="Z26" s="1463" t="str">
        <f t="shared" ref="Z26:Z36" si="15">Q26</f>
        <v>配套类型</v>
      </c>
      <c r="AA26" s="1464">
        <f t="shared" si="3"/>
        <v>1</v>
      </c>
      <c r="AB26" s="1464">
        <f t="shared" si="4"/>
        <v>1</v>
      </c>
      <c r="AC26" s="1464">
        <f t="shared" si="5"/>
        <v>1</v>
      </c>
    </row>
    <row r="27" spans="1:29" s="1247" customFormat="1" ht="15">
      <c r="A27" s="899"/>
      <c r="B27" s="559" t="s">
        <v>789</v>
      </c>
      <c r="C27" s="900"/>
      <c r="D27" s="253">
        <v>100</v>
      </c>
      <c r="E27" s="900"/>
      <c r="F27" s="552">
        <f>SUMIF(81:81,E27,82:82)-SUMIF(81:81,C27,82:82)+100</f>
        <v>100</v>
      </c>
      <c r="G27" s="900"/>
      <c r="H27" s="517">
        <f>SUMIF(81:81,G27,82:82)-SUMIF(81:81,C27,82:82)+100</f>
        <v>100</v>
      </c>
      <c r="I27" s="900"/>
      <c r="J27" s="517">
        <f>SUMIF(81:81,I27,82:82)-SUMIF(81:81,C27,82:82)+100</f>
        <v>100</v>
      </c>
      <c r="K27" s="558"/>
      <c r="L27" s="1974"/>
      <c r="M27" s="2004"/>
      <c r="N27" s="2004"/>
      <c r="O27" s="1977"/>
      <c r="P27" s="3707"/>
      <c r="Q27" s="1489" t="str">
        <f t="shared" si="11"/>
        <v>项目停车位配比</v>
      </c>
      <c r="R27" s="1465" t="s">
        <v>8</v>
      </c>
      <c r="S27" s="1466">
        <f t="shared" si="12"/>
        <v>100</v>
      </c>
      <c r="T27" s="1465" t="s">
        <v>8</v>
      </c>
      <c r="U27" s="1466">
        <f t="shared" si="13"/>
        <v>100</v>
      </c>
      <c r="V27" s="1465" t="s">
        <v>8</v>
      </c>
      <c r="W27" s="1466">
        <f t="shared" si="14"/>
        <v>100</v>
      </c>
      <c r="X27" s="1467"/>
      <c r="Y27" s="3707"/>
      <c r="Z27" s="1468" t="str">
        <f t="shared" si="15"/>
        <v>项目停车位配比</v>
      </c>
      <c r="AA27" s="1464">
        <f t="shared" si="3"/>
        <v>1</v>
      </c>
      <c r="AB27" s="1464">
        <f t="shared" si="4"/>
        <v>1</v>
      </c>
      <c r="AC27" s="1464">
        <f t="shared" si="5"/>
        <v>1</v>
      </c>
    </row>
    <row r="28" spans="1:29" ht="15">
      <c r="A28" s="901"/>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6"/>
      <c r="M28" s="1968"/>
      <c r="N28" s="1968"/>
      <c r="O28" s="1975"/>
      <c r="P28" s="3707"/>
      <c r="Q28" s="1460" t="str">
        <f t="shared" si="11"/>
        <v>公共部分装修</v>
      </c>
      <c r="R28" s="1461" t="s">
        <v>8</v>
      </c>
      <c r="S28" s="1462">
        <f t="shared" si="12"/>
        <v>100</v>
      </c>
      <c r="T28" s="1461" t="s">
        <v>8</v>
      </c>
      <c r="U28" s="1462">
        <f t="shared" si="13"/>
        <v>100</v>
      </c>
      <c r="V28" s="1461" t="s">
        <v>8</v>
      </c>
      <c r="W28" s="1462">
        <f t="shared" si="14"/>
        <v>100</v>
      </c>
      <c r="X28" s="1455"/>
      <c r="Y28" s="3707"/>
      <c r="Z28" s="1463" t="str">
        <f t="shared" si="15"/>
        <v>公共部分装修</v>
      </c>
      <c r="AA28" s="1464">
        <f t="shared" si="3"/>
        <v>1</v>
      </c>
      <c r="AB28" s="1464">
        <f t="shared" si="4"/>
        <v>1</v>
      </c>
      <c r="AC28" s="1464">
        <f t="shared" si="5"/>
        <v>1</v>
      </c>
    </row>
    <row r="29" spans="1:29" ht="15">
      <c r="A29" s="901"/>
      <c r="B29" s="559" t="s">
        <v>791</v>
      </c>
      <c r="C29" s="850"/>
      <c r="D29" s="517">
        <v>100</v>
      </c>
      <c r="E29" s="853"/>
      <c r="F29" s="552" t="e">
        <f>LOOKUP(E29,86:86,87:87)-LOOKUP(C29,86:86,87:87)+100</f>
        <v>#N/A</v>
      </c>
      <c r="G29" s="853"/>
      <c r="H29" s="552" t="e">
        <f>LOOKUP(G29,86:86,87:87)-LOOKUP(C29,86:86,87:87)+100</f>
        <v>#N/A</v>
      </c>
      <c r="I29" s="853"/>
      <c r="J29" s="517" t="e">
        <f>LOOKUP(I29,86:86,87:87)-LOOKUP(C29,86:86,87:87)+100</f>
        <v>#N/A</v>
      </c>
      <c r="K29" s="561"/>
      <c r="L29" s="1976"/>
      <c r="M29" s="1968"/>
      <c r="N29" s="1968"/>
      <c r="O29" s="1975"/>
      <c r="P29" s="3707"/>
      <c r="Q29" s="1460" t="str">
        <f t="shared" si="11"/>
        <v>成新率</v>
      </c>
      <c r="R29" s="1461" t="s">
        <v>8</v>
      </c>
      <c r="S29" s="1462" t="e">
        <f t="shared" si="12"/>
        <v>#N/A</v>
      </c>
      <c r="T29" s="1461" t="s">
        <v>8</v>
      </c>
      <c r="U29" s="1462" t="e">
        <f t="shared" si="13"/>
        <v>#N/A</v>
      </c>
      <c r="V29" s="1461" t="s">
        <v>8</v>
      </c>
      <c r="W29" s="1462" t="e">
        <f t="shared" si="14"/>
        <v>#N/A</v>
      </c>
      <c r="X29" s="1455"/>
      <c r="Y29" s="3707"/>
      <c r="Z29" s="1463" t="str">
        <f t="shared" si="15"/>
        <v>成新率</v>
      </c>
      <c r="AA29" s="1464" t="e">
        <f t="shared" si="3"/>
        <v>#N/A</v>
      </c>
      <c r="AB29" s="1464" t="e">
        <f t="shared" si="4"/>
        <v>#N/A</v>
      </c>
      <c r="AC29" s="1464" t="e">
        <f t="shared" si="5"/>
        <v>#N/A</v>
      </c>
    </row>
    <row r="30" spans="1:29" ht="15">
      <c r="A30" s="901"/>
      <c r="B30" s="559" t="s">
        <v>792</v>
      </c>
      <c r="C30" s="902"/>
      <c r="D30" s="517">
        <v>100</v>
      </c>
      <c r="E30" s="902"/>
      <c r="F30" s="552">
        <f>SUMIF(88:88,E30,89:89)-SUMIF(88:88,C30,89:89)+100</f>
        <v>100</v>
      </c>
      <c r="G30" s="902"/>
      <c r="H30" s="517">
        <f>SUMIF(88:88,E30,89:89)-SUMIF(88:88,C30,89:89)+100</f>
        <v>100</v>
      </c>
      <c r="I30" s="902"/>
      <c r="J30" s="517">
        <f>SUMIF(88:88,E30,89:89)-SUMIF(88:88,C30,89:89)+100</f>
        <v>100</v>
      </c>
      <c r="K30" s="561"/>
      <c r="L30" s="1976"/>
      <c r="M30" s="1968"/>
      <c r="N30" s="1968"/>
      <c r="O30" s="1975"/>
      <c r="P30" s="3707"/>
      <c r="Q30" s="1460" t="str">
        <f t="shared" si="11"/>
        <v>物业等级</v>
      </c>
      <c r="R30" s="1461" t="s">
        <v>8</v>
      </c>
      <c r="S30" s="1462">
        <f t="shared" si="12"/>
        <v>100</v>
      </c>
      <c r="T30" s="1461" t="s">
        <v>8</v>
      </c>
      <c r="U30" s="1462">
        <f t="shared" si="13"/>
        <v>100</v>
      </c>
      <c r="V30" s="1461" t="s">
        <v>8</v>
      </c>
      <c r="W30" s="1462">
        <f t="shared" si="14"/>
        <v>100</v>
      </c>
      <c r="X30" s="1455"/>
      <c r="Y30" s="3707"/>
      <c r="Z30" s="1463" t="str">
        <f t="shared" si="15"/>
        <v>物业等级</v>
      </c>
      <c r="AA30" s="1464">
        <f t="shared" si="3"/>
        <v>1</v>
      </c>
      <c r="AB30" s="1464">
        <f t="shared" si="4"/>
        <v>1</v>
      </c>
      <c r="AC30" s="1464">
        <f t="shared" si="5"/>
        <v>1</v>
      </c>
    </row>
    <row r="31" spans="1:29" s="1165" customFormat="1" ht="15">
      <c r="A31" s="903"/>
      <c r="B31" s="559" t="s">
        <v>793</v>
      </c>
      <c r="C31" s="850"/>
      <c r="D31" s="253">
        <v>100</v>
      </c>
      <c r="E31" s="850"/>
      <c r="F31" s="552" t="e">
        <f>LOOKUP(E31,91:91,92:92)-LOOKUP(C31,91:91,92:92)+100</f>
        <v>#N/A</v>
      </c>
      <c r="G31" s="850"/>
      <c r="H31" s="517" t="e">
        <f>LOOKUP(G31,91:91,92:92)-LOOKUP(C31,91:91,92:92)+100</f>
        <v>#N/A</v>
      </c>
      <c r="I31" s="850"/>
      <c r="J31" s="517" t="e">
        <f>LOOKUP(I31,91:91,92:92)-LOOKUP(C31,91:91,92:92)+100</f>
        <v>#N/A</v>
      </c>
      <c r="K31" s="561"/>
      <c r="L31" s="1969"/>
      <c r="M31" s="1970"/>
      <c r="N31" s="1970"/>
      <c r="O31" s="1971"/>
      <c r="P31" s="3707"/>
      <c r="Q31" s="1096" t="str">
        <f t="shared" si="11"/>
        <v>停车位面积</v>
      </c>
      <c r="R31" s="1456" t="s">
        <v>8</v>
      </c>
      <c r="S31" s="1457" t="e">
        <f t="shared" si="12"/>
        <v>#N/A</v>
      </c>
      <c r="T31" s="1456" t="s">
        <v>8</v>
      </c>
      <c r="U31" s="1457" t="e">
        <f t="shared" si="13"/>
        <v>#N/A</v>
      </c>
      <c r="V31" s="1456" t="s">
        <v>8</v>
      </c>
      <c r="W31" s="1457" t="e">
        <f t="shared" si="14"/>
        <v>#N/A</v>
      </c>
      <c r="X31" s="1458"/>
      <c r="Y31" s="3707"/>
      <c r="Z31" s="1095" t="str">
        <f t="shared" si="15"/>
        <v>停车位面积</v>
      </c>
      <c r="AA31" s="1459" t="e">
        <f t="shared" si="3"/>
        <v>#N/A</v>
      </c>
      <c r="AB31" s="1459" t="e">
        <f t="shared" si="4"/>
        <v>#N/A</v>
      </c>
      <c r="AC31" s="1459" t="e">
        <f t="shared" si="5"/>
        <v>#N/A</v>
      </c>
    </row>
    <row r="32" spans="1:29" ht="15">
      <c r="A32" s="901"/>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6"/>
      <c r="M32" s="1968"/>
      <c r="N32" s="1968"/>
      <c r="O32" s="1975"/>
      <c r="P32" s="3707" t="s">
        <v>533</v>
      </c>
      <c r="Q32" s="1460" t="str">
        <f t="shared" si="11"/>
        <v>车位类型</v>
      </c>
      <c r="R32" s="1461" t="s">
        <v>8</v>
      </c>
      <c r="S32" s="1462">
        <f t="shared" si="12"/>
        <v>100</v>
      </c>
      <c r="T32" s="1461" t="s">
        <v>8</v>
      </c>
      <c r="U32" s="1462">
        <f t="shared" si="13"/>
        <v>100</v>
      </c>
      <c r="V32" s="1461" t="s">
        <v>8</v>
      </c>
      <c r="W32" s="1462">
        <f t="shared" si="14"/>
        <v>100</v>
      </c>
      <c r="X32" s="1455"/>
      <c r="Y32" s="3707" t="s">
        <v>533</v>
      </c>
      <c r="Z32" s="1463" t="str">
        <f t="shared" si="15"/>
        <v>车位类型</v>
      </c>
      <c r="AA32" s="1464">
        <f t="shared" si="3"/>
        <v>1</v>
      </c>
      <c r="AB32" s="1464">
        <f t="shared" si="4"/>
        <v>1</v>
      </c>
      <c r="AC32" s="1464">
        <f t="shared" si="5"/>
        <v>1</v>
      </c>
    </row>
    <row r="33" spans="1:29" ht="15">
      <c r="A33" s="901"/>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6"/>
      <c r="M33" s="1968"/>
      <c r="N33" s="1968"/>
      <c r="O33" s="1975"/>
      <c r="P33" s="3707"/>
      <c r="Q33" s="1460" t="str">
        <f t="shared" si="11"/>
        <v>是否直接入户</v>
      </c>
      <c r="R33" s="1461" t="s">
        <v>8</v>
      </c>
      <c r="S33" s="1462">
        <f t="shared" si="12"/>
        <v>100</v>
      </c>
      <c r="T33" s="1461" t="s">
        <v>8</v>
      </c>
      <c r="U33" s="1462">
        <f t="shared" si="13"/>
        <v>100</v>
      </c>
      <c r="V33" s="1461" t="s">
        <v>8</v>
      </c>
      <c r="W33" s="1462">
        <f t="shared" si="14"/>
        <v>100</v>
      </c>
      <c r="X33" s="1455"/>
      <c r="Y33" s="3707"/>
      <c r="Z33" s="1463" t="str">
        <f t="shared" si="15"/>
        <v>是否直接入户</v>
      </c>
      <c r="AA33" s="1464">
        <f t="shared" si="3"/>
        <v>1</v>
      </c>
      <c r="AB33" s="1464">
        <f t="shared" si="4"/>
        <v>1</v>
      </c>
      <c r="AC33" s="1464">
        <f t="shared" si="5"/>
        <v>1</v>
      </c>
    </row>
    <row r="34" spans="1:29" ht="15">
      <c r="A34" s="901"/>
      <c r="B34" s="895">
        <v>111</v>
      </c>
      <c r="C34" s="505"/>
      <c r="D34" s="517">
        <v>100</v>
      </c>
      <c r="E34" s="505"/>
      <c r="F34" s="552">
        <f>SUMIF(97:97,E34,98:98)-SUMIF(97:97,C34,98:98)+100</f>
        <v>100</v>
      </c>
      <c r="G34" s="505"/>
      <c r="H34" s="517">
        <f>SUMIF(97:97,G34,98:98)-SUMIF(97:97,C34,98:98)+100</f>
        <v>100</v>
      </c>
      <c r="I34" s="505"/>
      <c r="J34" s="517">
        <f>SUMIF(97:97,I34,98:98)-SUMIF(97:97,C34,98:98)+100</f>
        <v>100</v>
      </c>
      <c r="K34" s="558"/>
      <c r="L34" s="1976"/>
      <c r="M34" s="1968"/>
      <c r="N34" s="1968"/>
      <c r="O34" s="1975"/>
      <c r="P34" s="3707"/>
      <c r="Q34" s="1460">
        <f t="shared" si="11"/>
        <v>111</v>
      </c>
      <c r="R34" s="1461" t="s">
        <v>8</v>
      </c>
      <c r="S34" s="1462">
        <f t="shared" si="12"/>
        <v>100</v>
      </c>
      <c r="T34" s="1461" t="s">
        <v>8</v>
      </c>
      <c r="U34" s="1462">
        <f t="shared" si="13"/>
        <v>100</v>
      </c>
      <c r="V34" s="1461" t="s">
        <v>8</v>
      </c>
      <c r="W34" s="1462">
        <f t="shared" si="14"/>
        <v>100</v>
      </c>
      <c r="X34" s="1455"/>
      <c r="Y34" s="3707"/>
      <c r="Z34" s="1463">
        <f t="shared" si="15"/>
        <v>111</v>
      </c>
      <c r="AA34" s="1464">
        <f t="shared" si="3"/>
        <v>1</v>
      </c>
      <c r="AB34" s="1464">
        <f t="shared" si="4"/>
        <v>1</v>
      </c>
      <c r="AC34" s="1464">
        <f t="shared" si="5"/>
        <v>1</v>
      </c>
    </row>
    <row r="35" spans="1:29" s="1247" customFormat="1" ht="15">
      <c r="A35" s="899"/>
      <c r="B35" s="895">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4"/>
      <c r="M35" s="2004"/>
      <c r="N35" s="2004"/>
      <c r="O35" s="1977"/>
      <c r="P35" s="3707"/>
      <c r="Q35" s="1489">
        <f t="shared" si="11"/>
        <v>111</v>
      </c>
      <c r="R35" s="1465" t="s">
        <v>8</v>
      </c>
      <c r="S35" s="1466">
        <f t="shared" si="12"/>
        <v>100</v>
      </c>
      <c r="T35" s="1465" t="s">
        <v>8</v>
      </c>
      <c r="U35" s="1466">
        <f t="shared" si="13"/>
        <v>100</v>
      </c>
      <c r="V35" s="1465" t="s">
        <v>8</v>
      </c>
      <c r="W35" s="1466">
        <f t="shared" si="14"/>
        <v>100</v>
      </c>
      <c r="X35" s="1467"/>
      <c r="Y35" s="3707"/>
      <c r="Z35" s="1468">
        <f t="shared" si="15"/>
        <v>111</v>
      </c>
      <c r="AA35" s="1464">
        <f t="shared" si="3"/>
        <v>1</v>
      </c>
      <c r="AB35" s="1464">
        <f t="shared" si="4"/>
        <v>1</v>
      </c>
      <c r="AC35" s="1464">
        <f t="shared" si="5"/>
        <v>1</v>
      </c>
    </row>
    <row r="36" spans="1:29" ht="15.75" thickBot="1">
      <c r="A36" s="904"/>
      <c r="B36" s="884">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6"/>
      <c r="M36" s="1968"/>
      <c r="N36" s="1968"/>
      <c r="O36" s="1975"/>
      <c r="P36" s="3707"/>
      <c r="Q36" s="1460">
        <f t="shared" si="11"/>
        <v>111</v>
      </c>
      <c r="R36" s="1461" t="s">
        <v>8</v>
      </c>
      <c r="S36" s="1462">
        <f t="shared" si="12"/>
        <v>100</v>
      </c>
      <c r="T36" s="1461" t="s">
        <v>8</v>
      </c>
      <c r="U36" s="1462">
        <f t="shared" si="13"/>
        <v>100</v>
      </c>
      <c r="V36" s="1461" t="s">
        <v>8</v>
      </c>
      <c r="W36" s="1462">
        <f t="shared" si="14"/>
        <v>100</v>
      </c>
      <c r="X36" s="1455"/>
      <c r="Y36" s="3707"/>
      <c r="Z36" s="1463">
        <f t="shared" si="15"/>
        <v>111</v>
      </c>
      <c r="AA36" s="1464">
        <f t="shared" si="3"/>
        <v>1</v>
      </c>
      <c r="AB36" s="1464">
        <f t="shared" si="4"/>
        <v>1</v>
      </c>
      <c r="AC36" s="1464">
        <f t="shared" si="5"/>
        <v>1</v>
      </c>
    </row>
    <row r="37" spans="1:29" ht="15">
      <c r="A37" s="1713" t="s">
        <v>1868</v>
      </c>
      <c r="B37" s="1714" t="s">
        <v>1869</v>
      </c>
      <c r="C37" s="2390" t="s">
        <v>1</v>
      </c>
      <c r="D37" s="2391"/>
      <c r="E37" s="2392"/>
      <c r="F37" s="2393"/>
      <c r="G37" s="2394"/>
      <c r="H37" s="2395"/>
      <c r="I37" s="2392"/>
      <c r="J37" s="2395"/>
      <c r="K37" s="1494"/>
      <c r="L37" s="1978"/>
      <c r="M37" s="1979"/>
      <c r="N37" s="1968"/>
      <c r="O37" s="1979"/>
      <c r="P37" s="3671" t="str">
        <f>A37</f>
        <v>成交单价</v>
      </c>
      <c r="Q37" s="3671"/>
      <c r="R37" s="3801">
        <f>E37</f>
        <v>0</v>
      </c>
      <c r="S37" s="3801"/>
      <c r="T37" s="3801">
        <f>G37</f>
        <v>0</v>
      </c>
      <c r="U37" s="3801"/>
      <c r="V37" s="3801">
        <f>I37</f>
        <v>0</v>
      </c>
      <c r="W37" s="3801"/>
      <c r="X37" s="1450"/>
      <c r="Y37" s="1469"/>
      <c r="Z37" s="1450"/>
      <c r="AA37" s="1450"/>
      <c r="AB37" s="1450"/>
      <c r="AC37" s="1450"/>
    </row>
    <row r="38" spans="1:29" ht="15.75" thickBot="1">
      <c r="A38" s="592" t="s">
        <v>2476</v>
      </c>
      <c r="B38" s="858"/>
      <c r="C38" s="2396" t="e">
        <f>R39</f>
        <v>#DIV/0!</v>
      </c>
      <c r="D38" s="2919" t="s">
        <v>2701</v>
      </c>
      <c r="E38" s="2397" t="e">
        <f>R38</f>
        <v>#DIV/0!</v>
      </c>
      <c r="F38" s="2920"/>
      <c r="G38" s="2396" t="e">
        <f>T38</f>
        <v>#DIV/0!</v>
      </c>
      <c r="H38" s="2920"/>
      <c r="I38" s="2397" t="e">
        <f>V38</f>
        <v>#DIV/0!</v>
      </c>
      <c r="J38" s="2920"/>
      <c r="K38" s="2928">
        <f>F38+H38+J38</f>
        <v>0</v>
      </c>
      <c r="L38" s="1978"/>
      <c r="M38" s="1979"/>
      <c r="N38" s="1979"/>
      <c r="O38" s="1979"/>
      <c r="P38" s="3671" t="str">
        <f>A38</f>
        <v>比较价格（元/平方米）</v>
      </c>
      <c r="Q38" s="3671"/>
      <c r="R38" s="3801" t="e">
        <f>IF(F1="售价",ROUND(PRODUCT(R37,AA7:AA36),0),ROUND(PRODUCT(R37,AA7:AA36),1))</f>
        <v>#DIV/0!</v>
      </c>
      <c r="S38" s="3801"/>
      <c r="T38" s="3801" t="e">
        <f>IF(F1="售价",ROUND(PRODUCT(T37,AB7:AB36),0),ROUND(PRODUCT(T37,AB7:AB36),1))</f>
        <v>#DIV/0!</v>
      </c>
      <c r="U38" s="3801"/>
      <c r="V38" s="3801" t="e">
        <f>IF(F1="售价",ROUND(PRODUCT(V37,AC7:AC36),0),ROUND(PRODUCT(V37,AC7:AC36),1))</f>
        <v>#DIV/0!</v>
      </c>
      <c r="W38" s="3801"/>
      <c r="X38" s="1450"/>
      <c r="Y38" s="1450"/>
      <c r="Z38" s="1450"/>
      <c r="AA38" s="1450"/>
      <c r="AB38" s="1450"/>
      <c r="AC38" s="1450"/>
    </row>
    <row r="39" spans="1:29" ht="15.75" thickBot="1">
      <c r="A39" s="596" t="s">
        <v>2636</v>
      </c>
      <c r="B39" s="597"/>
      <c r="C39" s="2398" t="e">
        <f>R39</f>
        <v>#DIV/0!</v>
      </c>
      <c r="D39" s="2398"/>
      <c r="E39" s="2398"/>
      <c r="F39" s="2398"/>
      <c r="G39" s="2398"/>
      <c r="H39" s="2398"/>
      <c r="I39" s="2398"/>
      <c r="J39" s="2398"/>
      <c r="K39" s="1495"/>
      <c r="L39" s="1978"/>
      <c r="M39" s="1979"/>
      <c r="N39" s="1979"/>
      <c r="O39" s="1979"/>
      <c r="P39" s="3708" t="str">
        <f>A39</f>
        <v>估价对象XX用房的比较价格（楼面单价，元/平方米）</v>
      </c>
      <c r="Q39" s="3709"/>
      <c r="R39" s="3800" t="e">
        <f>IF(F1="售价",ROUND(IF(D38="简单平均",AVERAGE(R38:W38),R38*F38+T38*H38+V38*J38),0),ROUND(IF(D38="简单平均",AVERAGE(R38:V38),R38*F38+T38*H38+V38*J38),1))</f>
        <v>#DIV/0!</v>
      </c>
      <c r="S39" s="3800"/>
      <c r="T39" s="3800"/>
      <c r="U39" s="3800"/>
      <c r="V39" s="3800"/>
      <c r="W39" s="3800"/>
      <c r="X39" s="1450"/>
      <c r="Y39" s="1450"/>
      <c r="Z39" s="1450"/>
      <c r="AA39" s="1450"/>
      <c r="AB39" s="1450"/>
      <c r="AC39" s="1450"/>
    </row>
    <row r="40" spans="1:29">
      <c r="A40" s="3119"/>
      <c r="B40" s="3119"/>
      <c r="C40" s="3119"/>
      <c r="D40" s="3119"/>
      <c r="E40" s="3119"/>
      <c r="F40" s="3119"/>
      <c r="G40" s="3121"/>
      <c r="H40" s="3119"/>
      <c r="I40" s="3119"/>
      <c r="J40" s="3119"/>
      <c r="K40" s="3122"/>
      <c r="L40" s="1983"/>
      <c r="M40" s="1979"/>
      <c r="N40" s="1979"/>
      <c r="O40" s="1979"/>
      <c r="P40" s="1979"/>
      <c r="Q40" s="1979"/>
      <c r="R40" s="1979"/>
      <c r="S40" s="1979"/>
      <c r="T40" s="1979"/>
      <c r="U40" s="1979"/>
      <c r="V40" s="1979"/>
      <c r="W40" s="1979"/>
      <c r="X40" s="1979"/>
      <c r="Y40" s="1979"/>
      <c r="Z40" s="1979"/>
      <c r="AA40" s="1979"/>
      <c r="AB40" s="1979"/>
      <c r="AC40" s="1979"/>
    </row>
    <row r="41" spans="1:29">
      <c r="A41" s="3119"/>
      <c r="B41" s="3119"/>
      <c r="C41" s="3119"/>
      <c r="D41" s="3119"/>
      <c r="E41" s="3119"/>
      <c r="F41" s="3119"/>
      <c r="G41" s="3119"/>
      <c r="H41" s="3119"/>
      <c r="I41" s="3119"/>
      <c r="J41" s="3119"/>
      <c r="K41" s="3122"/>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19"/>
      <c r="B42" s="3119"/>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2"/>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19"/>
      <c r="B43" s="3119"/>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2"/>
      <c r="L43" s="1983"/>
      <c r="M43" s="1979"/>
      <c r="N43" s="1979"/>
      <c r="O43" s="1979"/>
      <c r="P43" s="1979"/>
      <c r="Q43" s="1979"/>
      <c r="R43" s="1979"/>
      <c r="S43" s="1979"/>
      <c r="T43" s="1979"/>
      <c r="U43" s="1979"/>
      <c r="V43" s="1979"/>
      <c r="W43" s="1979"/>
      <c r="X43" s="1979"/>
      <c r="Y43" s="1979"/>
      <c r="Z43" s="1979"/>
      <c r="AA43" s="1979"/>
      <c r="AB43" s="1979"/>
      <c r="AC43" s="1979"/>
    </row>
    <row r="44" spans="1:29" s="1252" customFormat="1" ht="13.5" customHeight="1">
      <c r="A44" s="3120"/>
      <c r="B44" s="3120"/>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3"/>
      <c r="L44" s="1986"/>
      <c r="M44" s="1980"/>
      <c r="N44" s="1980"/>
      <c r="O44" s="1980"/>
      <c r="P44" s="1980"/>
      <c r="Q44" s="1980"/>
      <c r="R44" s="1980"/>
      <c r="S44" s="1980"/>
      <c r="T44" s="1980"/>
      <c r="U44" s="1980"/>
      <c r="V44" s="1980"/>
      <c r="W44" s="1980"/>
      <c r="X44" s="1980"/>
      <c r="Y44" s="1980"/>
      <c r="Z44" s="1980"/>
      <c r="AA44" s="1980"/>
      <c r="AB44" s="1980"/>
      <c r="AC44" s="1980"/>
    </row>
    <row r="45" spans="1:29" s="1252"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75" thickBot="1">
      <c r="A47" s="1472" t="s">
        <v>556</v>
      </c>
      <c r="B47" s="1450"/>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4" customFormat="1" ht="15">
      <c r="A48" s="620" t="s">
        <v>512</v>
      </c>
      <c r="B48" s="621"/>
      <c r="C48" s="2439" t="str">
        <f>YEAR(C7)&amp;"-"&amp;MONTH(C7)</f>
        <v>2022-11</v>
      </c>
      <c r="D48" s="2441">
        <f>EDATE(C48,-1)</f>
        <v>44835</v>
      </c>
      <c r="E48" s="2441">
        <f t="shared" ref="E48:O48" si="16">EDATE(D48,-1)</f>
        <v>44805</v>
      </c>
      <c r="F48" s="2441">
        <f t="shared" si="16"/>
        <v>44774</v>
      </c>
      <c r="G48" s="2441">
        <f t="shared" si="16"/>
        <v>44743</v>
      </c>
      <c r="H48" s="2441">
        <f t="shared" si="16"/>
        <v>44713</v>
      </c>
      <c r="I48" s="2441">
        <f t="shared" si="16"/>
        <v>44682</v>
      </c>
      <c r="J48" s="2441">
        <f t="shared" si="16"/>
        <v>44652</v>
      </c>
      <c r="K48" s="2441">
        <f t="shared" si="16"/>
        <v>44621</v>
      </c>
      <c r="L48" s="2441">
        <f t="shared" si="16"/>
        <v>44593</v>
      </c>
      <c r="M48" s="2441">
        <f t="shared" si="16"/>
        <v>44562</v>
      </c>
      <c r="N48" s="2441">
        <f t="shared" si="16"/>
        <v>44531</v>
      </c>
      <c r="O48" s="2441">
        <f t="shared" si="16"/>
        <v>44501</v>
      </c>
      <c r="P48" s="1993"/>
      <c r="Q48" s="1994"/>
      <c r="R48" s="1994"/>
      <c r="S48" s="1994"/>
      <c r="T48" s="1994"/>
      <c r="U48" s="1994"/>
      <c r="V48" s="1994"/>
      <c r="W48" s="1994"/>
      <c r="X48" s="1994"/>
      <c r="Y48" s="1994"/>
      <c r="Z48" s="1994"/>
      <c r="AA48" s="1994"/>
      <c r="AB48" s="1994"/>
      <c r="AC48" s="1994"/>
    </row>
    <row r="49" spans="1:29" s="1165" customFormat="1" ht="15">
      <c r="A49" s="622"/>
      <c r="B49" s="623"/>
      <c r="C49" s="2440">
        <v>100</v>
      </c>
      <c r="D49" s="625"/>
      <c r="E49" s="625"/>
      <c r="F49" s="625"/>
      <c r="G49" s="625"/>
      <c r="H49" s="625"/>
      <c r="I49" s="625"/>
      <c r="J49" s="625"/>
      <c r="K49" s="625"/>
      <c r="L49" s="625"/>
      <c r="M49" s="626"/>
      <c r="N49" s="625"/>
      <c r="O49" s="627"/>
      <c r="P49" s="1991"/>
      <c r="Q49" s="1857"/>
      <c r="R49" s="1857"/>
      <c r="S49" s="1857"/>
      <c r="T49" s="1857"/>
      <c r="U49" s="1857"/>
      <c r="V49" s="1857"/>
      <c r="W49" s="1857"/>
      <c r="X49" s="1857"/>
      <c r="Y49" s="1857"/>
      <c r="Z49" s="1857"/>
      <c r="AA49" s="1857"/>
      <c r="AB49" s="1857"/>
      <c r="AC49" s="1857"/>
    </row>
    <row r="50" spans="1:29" s="1165" customFormat="1" ht="15.75" thickBot="1">
      <c r="A50" s="628" t="s">
        <v>557</v>
      </c>
      <c r="B50" s="629"/>
      <c r="C50" s="630"/>
      <c r="D50" s="631"/>
      <c r="E50" s="631"/>
      <c r="F50" s="631"/>
      <c r="G50" s="631"/>
      <c r="H50" s="631"/>
      <c r="I50" s="631"/>
      <c r="J50" s="631"/>
      <c r="K50" s="631"/>
      <c r="L50" s="631"/>
      <c r="M50" s="632"/>
      <c r="N50" s="631"/>
      <c r="O50" s="633"/>
      <c r="P50" s="1991"/>
      <c r="Q50" s="1991"/>
      <c r="R50" s="1857"/>
      <c r="S50" s="1857"/>
      <c r="T50" s="1857"/>
      <c r="U50" s="1857"/>
      <c r="V50" s="1857"/>
      <c r="W50" s="1857"/>
      <c r="X50" s="1857"/>
      <c r="Y50" s="1857"/>
      <c r="Z50" s="1857"/>
      <c r="AA50" s="1857"/>
      <c r="AB50" s="1857"/>
      <c r="AC50" s="1857"/>
    </row>
    <row r="51" spans="1:29" s="1165" customFormat="1" ht="15">
      <c r="A51" s="634" t="s">
        <v>514</v>
      </c>
      <c r="B51" s="623"/>
      <c r="C51" s="635" t="s">
        <v>558</v>
      </c>
      <c r="D51" s="636"/>
      <c r="E51" s="636"/>
      <c r="F51" s="636"/>
      <c r="G51" s="636"/>
      <c r="H51" s="636"/>
      <c r="I51" s="636"/>
      <c r="J51" s="636"/>
      <c r="K51" s="636"/>
      <c r="L51" s="637"/>
      <c r="M51" s="638"/>
      <c r="N51" s="1995"/>
      <c r="O51" s="1995"/>
      <c r="P51" s="1996"/>
      <c r="Q51" s="1991"/>
      <c r="R51" s="1857"/>
      <c r="S51" s="1857"/>
      <c r="T51" s="1857"/>
      <c r="U51" s="1857"/>
      <c r="V51" s="1857"/>
      <c r="W51" s="1857"/>
      <c r="X51" s="1857"/>
      <c r="Y51" s="1857"/>
      <c r="Z51" s="1857"/>
      <c r="AA51" s="1857"/>
      <c r="AB51" s="1857"/>
      <c r="AC51" s="1857"/>
    </row>
    <row r="52" spans="1:29" s="1165" customFormat="1" ht="15.75" thickBot="1">
      <c r="A52" s="634"/>
      <c r="B52" s="623"/>
      <c r="C52" s="624">
        <v>100</v>
      </c>
      <c r="D52" s="625"/>
      <c r="E52" s="625"/>
      <c r="F52" s="625"/>
      <c r="G52" s="625"/>
      <c r="H52" s="625"/>
      <c r="I52" s="625"/>
      <c r="J52" s="625"/>
      <c r="K52" s="625"/>
      <c r="L52" s="625"/>
      <c r="M52" s="627"/>
      <c r="N52" s="1995"/>
      <c r="O52" s="1995"/>
      <c r="P52" s="1991"/>
      <c r="Q52" s="1991"/>
      <c r="R52" s="1857"/>
      <c r="S52" s="1857"/>
      <c r="T52" s="1857"/>
      <c r="U52" s="1857"/>
      <c r="V52" s="1857"/>
      <c r="W52" s="1857"/>
      <c r="X52" s="1857"/>
      <c r="Y52" s="1857"/>
      <c r="Z52" s="1857"/>
      <c r="AA52" s="1857"/>
      <c r="AB52" s="1857"/>
      <c r="AC52" s="1857"/>
    </row>
    <row r="53" spans="1:29">
      <c r="A53" s="639" t="s">
        <v>559</v>
      </c>
      <c r="B53" s="640" t="s">
        <v>517</v>
      </c>
      <c r="C53" s="679">
        <f>C9</f>
        <v>0</v>
      </c>
      <c r="D53" s="575"/>
      <c r="E53" s="575"/>
      <c r="F53" s="575"/>
      <c r="G53" s="575"/>
      <c r="H53" s="575"/>
      <c r="I53" s="575"/>
      <c r="J53" s="575"/>
      <c r="K53" s="641"/>
      <c r="L53" s="642"/>
      <c r="M53" s="643"/>
      <c r="N53" s="1997"/>
      <c r="O53" s="1997"/>
      <c r="P53" s="1998"/>
      <c r="Q53" s="1991"/>
      <c r="R53" s="1979"/>
      <c r="S53" s="1979"/>
      <c r="T53" s="1979"/>
      <c r="U53" s="1979"/>
      <c r="V53" s="1979"/>
      <c r="W53" s="1979"/>
      <c r="X53" s="1979"/>
      <c r="Y53" s="1979"/>
      <c r="Z53" s="1979"/>
      <c r="AA53" s="1979"/>
      <c r="AB53" s="1979"/>
      <c r="AC53" s="1979"/>
    </row>
    <row r="54" spans="1:29" ht="15.75" thickBot="1">
      <c r="A54" s="644"/>
      <c r="B54" s="645"/>
      <c r="C54" s="646"/>
      <c r="D54" s="646"/>
      <c r="E54" s="646"/>
      <c r="F54" s="646"/>
      <c r="G54" s="646"/>
      <c r="H54" s="646"/>
      <c r="I54" s="646"/>
      <c r="J54" s="646"/>
      <c r="K54" s="646"/>
      <c r="L54" s="646"/>
      <c r="M54" s="647"/>
      <c r="N54" s="1999"/>
      <c r="O54" s="1999"/>
      <c r="P54" s="1998"/>
      <c r="Q54" s="1991"/>
      <c r="R54" s="1979"/>
      <c r="S54" s="1979"/>
      <c r="T54" s="1979"/>
      <c r="U54" s="1979"/>
      <c r="V54" s="1979"/>
      <c r="W54" s="1979"/>
      <c r="X54" s="1979"/>
      <c r="Y54" s="1979"/>
      <c r="Z54" s="1979"/>
      <c r="AA54" s="1979"/>
      <c r="AB54" s="1979"/>
      <c r="AC54" s="1979"/>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7"/>
      <c r="O55" s="1997"/>
      <c r="P55" s="1998"/>
      <c r="Q55" s="1991"/>
      <c r="R55" s="1979"/>
      <c r="S55" s="1979"/>
      <c r="T55" s="1979"/>
      <c r="U55" s="1979"/>
      <c r="V55" s="1979"/>
      <c r="W55" s="1979"/>
      <c r="X55" s="1979"/>
      <c r="Y55" s="1979"/>
      <c r="Z55" s="1979"/>
      <c r="AA55" s="1979"/>
      <c r="AB55" s="1979"/>
      <c r="AC55" s="1979"/>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1999"/>
      <c r="O56" s="1999"/>
      <c r="P56" s="1998"/>
      <c r="Q56" s="1991"/>
      <c r="R56" s="1979"/>
      <c r="S56" s="1979"/>
      <c r="T56" s="1979"/>
      <c r="U56" s="1979"/>
      <c r="V56" s="1979"/>
      <c r="W56" s="1979"/>
      <c r="X56" s="1979"/>
      <c r="Y56" s="1979"/>
      <c r="Z56" s="1979"/>
      <c r="AA56" s="1979"/>
      <c r="AB56" s="1979"/>
      <c r="AC56" s="1979"/>
    </row>
    <row r="57" spans="1:29" ht="15.75" thickTop="1">
      <c r="A57" s="644"/>
      <c r="B57" s="905">
        <f>B11</f>
        <v>111</v>
      </c>
      <c r="C57" s="518"/>
      <c r="D57" s="518"/>
      <c r="E57" s="518"/>
      <c r="F57" s="518"/>
      <c r="G57" s="518"/>
      <c r="H57" s="518"/>
      <c r="I57" s="518"/>
      <c r="J57" s="518"/>
      <c r="K57" s="659"/>
      <c r="L57" s="660"/>
      <c r="M57" s="661"/>
      <c r="N57" s="1997"/>
      <c r="O57" s="1997"/>
      <c r="P57" s="1998"/>
      <c r="Q57" s="1991"/>
      <c r="R57" s="1979"/>
      <c r="S57" s="1979"/>
      <c r="T57" s="1979"/>
      <c r="U57" s="1979"/>
      <c r="V57" s="1979"/>
      <c r="W57" s="1979"/>
      <c r="X57" s="1979"/>
      <c r="Y57" s="1979"/>
      <c r="Z57" s="1979"/>
      <c r="AA57" s="1979"/>
      <c r="AB57" s="1979"/>
      <c r="AC57" s="1979"/>
    </row>
    <row r="58" spans="1:29" ht="15.75" thickBot="1">
      <c r="A58" s="644"/>
      <c r="B58" s="645"/>
      <c r="C58" s="667"/>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s="1247" customFormat="1" ht="15.75" thickTop="1">
      <c r="A59" s="662"/>
      <c r="B59" s="648">
        <f>B12</f>
        <v>111</v>
      </c>
      <c r="C59" s="518"/>
      <c r="D59" s="518"/>
      <c r="E59" s="518"/>
      <c r="F59" s="518"/>
      <c r="G59" s="663"/>
      <c r="H59" s="664"/>
      <c r="I59" s="664"/>
      <c r="J59" s="664"/>
      <c r="K59" s="664"/>
      <c r="L59" s="665"/>
      <c r="M59" s="666"/>
      <c r="N59" s="2000"/>
      <c r="O59" s="2000"/>
      <c r="P59" s="2001"/>
      <c r="Q59" s="2002"/>
      <c r="R59" s="2003"/>
      <c r="S59" s="2003"/>
      <c r="T59" s="2003"/>
      <c r="U59" s="2003"/>
      <c r="V59" s="2003"/>
      <c r="W59" s="2003"/>
      <c r="X59" s="2003"/>
      <c r="Y59" s="2003"/>
      <c r="Z59" s="2003"/>
      <c r="AA59" s="2003"/>
      <c r="AB59" s="2003"/>
      <c r="AC59" s="2003"/>
    </row>
    <row r="60" spans="1:29" s="1247" customFormat="1" ht="15.75" thickBot="1">
      <c r="A60" s="662"/>
      <c r="B60" s="653"/>
      <c r="C60" s="667"/>
      <c r="D60" s="646"/>
      <c r="E60" s="646"/>
      <c r="F60" s="646"/>
      <c r="G60" s="646"/>
      <c r="H60" s="646"/>
      <c r="I60" s="646"/>
      <c r="J60" s="646"/>
      <c r="K60" s="646"/>
      <c r="L60" s="646"/>
      <c r="M60" s="647"/>
      <c r="N60" s="1999"/>
      <c r="O60" s="1999"/>
      <c r="P60" s="2001"/>
      <c r="Q60" s="2002"/>
      <c r="R60" s="2003"/>
      <c r="S60" s="2003"/>
      <c r="T60" s="2003"/>
      <c r="U60" s="2003"/>
      <c r="V60" s="2003"/>
      <c r="W60" s="2003"/>
      <c r="X60" s="2003"/>
      <c r="Y60" s="2003"/>
      <c r="Z60" s="2003"/>
      <c r="AA60" s="2003"/>
      <c r="AB60" s="2003"/>
      <c r="AC60" s="2003"/>
    </row>
    <row r="61" spans="1:29" s="1247" customFormat="1" ht="15.75" thickTop="1">
      <c r="A61" s="662"/>
      <c r="B61" s="648">
        <f>B13</f>
        <v>111</v>
      </c>
      <c r="C61" s="663"/>
      <c r="D61" s="663"/>
      <c r="E61" s="663"/>
      <c r="F61" s="663"/>
      <c r="G61" s="663"/>
      <c r="H61" s="664"/>
      <c r="I61" s="664"/>
      <c r="J61" s="664"/>
      <c r="K61" s="664"/>
      <c r="L61" s="665"/>
      <c r="M61" s="666"/>
      <c r="N61" s="2000"/>
      <c r="O61" s="2000"/>
      <c r="P61" s="2004"/>
      <c r="Q61" s="2005"/>
      <c r="R61" s="2003"/>
      <c r="S61" s="2003"/>
      <c r="T61" s="2003"/>
      <c r="U61" s="2003"/>
      <c r="V61" s="2003"/>
      <c r="W61" s="2003"/>
      <c r="X61" s="2003"/>
      <c r="Y61" s="2003"/>
      <c r="Z61" s="2003"/>
      <c r="AA61" s="2003"/>
      <c r="AB61" s="2003"/>
      <c r="AC61" s="2003"/>
    </row>
    <row r="62" spans="1:29" s="1247" customFormat="1" ht="15.75" thickBot="1">
      <c r="A62" s="662"/>
      <c r="B62" s="653"/>
      <c r="C62" s="667"/>
      <c r="D62" s="667"/>
      <c r="E62" s="667"/>
      <c r="F62" s="667"/>
      <c r="G62" s="667"/>
      <c r="H62" s="668"/>
      <c r="I62" s="668"/>
      <c r="J62" s="668"/>
      <c r="K62" s="668"/>
      <c r="L62" s="668"/>
      <c r="M62" s="669"/>
      <c r="N62" s="2000"/>
      <c r="O62" s="2000"/>
      <c r="P62" s="2001"/>
      <c r="Q62" s="2002"/>
      <c r="R62" s="2003"/>
      <c r="S62" s="2003"/>
      <c r="T62" s="2003"/>
      <c r="U62" s="2003"/>
      <c r="V62" s="2003"/>
      <c r="W62" s="2003"/>
      <c r="X62" s="2003"/>
      <c r="Y62" s="2003"/>
      <c r="Z62" s="2003"/>
      <c r="AA62" s="2003"/>
      <c r="AB62" s="2003"/>
      <c r="AC62" s="2003"/>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7"/>
      <c r="O63" s="1997"/>
      <c r="P63" s="2007"/>
      <c r="Q63" s="1991"/>
      <c r="R63" s="1979"/>
      <c r="S63" s="1979"/>
      <c r="T63" s="1979"/>
      <c r="U63" s="1979"/>
      <c r="V63" s="1979"/>
      <c r="W63" s="1979"/>
      <c r="X63" s="1979"/>
      <c r="Y63" s="1979"/>
      <c r="Z63" s="1979"/>
      <c r="AA63" s="1979"/>
      <c r="AB63" s="1979"/>
      <c r="AC63" s="1979"/>
    </row>
    <row r="64" spans="1:29" ht="15.75" thickBot="1">
      <c r="A64" s="644"/>
      <c r="B64" s="653"/>
      <c r="C64" s="654">
        <v>100</v>
      </c>
      <c r="D64" s="654">
        <f>C64-$K14</f>
        <v>100</v>
      </c>
      <c r="E64" s="654">
        <f>D64-$K14</f>
        <v>100</v>
      </c>
      <c r="F64" s="654">
        <f>E64-$K14</f>
        <v>100</v>
      </c>
      <c r="G64" s="654">
        <f>F64-$K14</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75" thickTop="1">
      <c r="A65" s="644"/>
      <c r="B65" s="1763" t="s">
        <v>2274</v>
      </c>
      <c r="C65" s="683" t="s">
        <v>561</v>
      </c>
      <c r="D65" s="683" t="s">
        <v>562</v>
      </c>
      <c r="E65" s="683" t="s">
        <v>563</v>
      </c>
      <c r="F65" s="683" t="s">
        <v>564</v>
      </c>
      <c r="G65" s="683" t="s">
        <v>565</v>
      </c>
      <c r="H65" s="649"/>
      <c r="I65" s="649"/>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C66-$K16</f>
        <v>100</v>
      </c>
      <c r="E66" s="654">
        <f>D66-$K16</f>
        <v>100</v>
      </c>
      <c r="F66" s="654">
        <f>E66-$K16</f>
        <v>100</v>
      </c>
      <c r="G66" s="654">
        <f>F66-$K16</f>
        <v>100</v>
      </c>
      <c r="H66" s="654"/>
      <c r="I66" s="654"/>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2361" t="s">
        <v>2275</v>
      </c>
      <c r="C67" s="2362" t="s">
        <v>2276</v>
      </c>
      <c r="D67" s="2362" t="s">
        <v>2277</v>
      </c>
      <c r="E67" s="2362" t="s">
        <v>2278</v>
      </c>
      <c r="F67" s="2362" t="s">
        <v>2279</v>
      </c>
      <c r="G67" s="2362" t="s">
        <v>2280</v>
      </c>
      <c r="H67" s="649"/>
      <c r="I67" s="649"/>
      <c r="J67" s="649"/>
      <c r="K67" s="649"/>
      <c r="L67" s="649"/>
      <c r="M67" s="2365"/>
      <c r="N67" s="1999"/>
      <c r="O67" s="1999"/>
      <c r="P67" s="1998"/>
      <c r="Q67" s="1991"/>
      <c r="R67" s="1979"/>
      <c r="S67" s="1979"/>
      <c r="T67" s="1979"/>
      <c r="U67" s="1979"/>
      <c r="V67" s="1979"/>
      <c r="W67" s="1979"/>
      <c r="X67" s="1979"/>
      <c r="Y67" s="1979"/>
      <c r="Z67" s="1979"/>
      <c r="AA67" s="1979"/>
      <c r="AB67" s="1979"/>
      <c r="AC67" s="1979"/>
    </row>
    <row r="68" spans="1:29" ht="15.75" thickBot="1">
      <c r="A68" s="644"/>
      <c r="B68" s="656"/>
      <c r="C68" s="654">
        <v>100</v>
      </c>
      <c r="D68" s="654">
        <f>C68-$K18</f>
        <v>100</v>
      </c>
      <c r="E68" s="654">
        <f>D68-$K18</f>
        <v>100</v>
      </c>
      <c r="F68" s="654">
        <f>E68-$K18</f>
        <v>100</v>
      </c>
      <c r="G68" s="654">
        <f>F68-$K18</f>
        <v>100</v>
      </c>
      <c r="H68" s="905"/>
      <c r="I68" s="905"/>
      <c r="J68" s="905"/>
      <c r="K68" s="905"/>
      <c r="L68" s="905"/>
      <c r="M68" s="536"/>
      <c r="N68" s="1999"/>
      <c r="O68" s="1999"/>
      <c r="P68" s="1998"/>
      <c r="Q68" s="1991"/>
      <c r="R68" s="1979"/>
      <c r="S68" s="1979"/>
      <c r="T68" s="1979"/>
      <c r="U68" s="1979"/>
      <c r="V68" s="1979"/>
      <c r="W68" s="1979"/>
      <c r="X68" s="1979"/>
      <c r="Y68" s="1979"/>
      <c r="Z68" s="1979"/>
      <c r="AA68" s="1979"/>
      <c r="AB68" s="1979"/>
      <c r="AC68" s="1979"/>
    </row>
    <row r="69" spans="1:29" ht="15.75" thickTop="1">
      <c r="A69" s="644"/>
      <c r="B69" s="648" t="s">
        <v>726</v>
      </c>
      <c r="C69" s="683" t="s">
        <v>561</v>
      </c>
      <c r="D69" s="683" t="s">
        <v>562</v>
      </c>
      <c r="E69" s="683" t="s">
        <v>563</v>
      </c>
      <c r="F69" s="683" t="s">
        <v>564</v>
      </c>
      <c r="G69" s="683" t="s">
        <v>565</v>
      </c>
      <c r="H69" s="649"/>
      <c r="I69" s="649"/>
      <c r="J69" s="649"/>
      <c r="K69" s="650"/>
      <c r="L69" s="651"/>
      <c r="M69" s="652"/>
      <c r="N69" s="1997"/>
      <c r="O69" s="1997"/>
      <c r="P69" s="1998"/>
      <c r="Q69" s="1991"/>
      <c r="R69" s="1979"/>
      <c r="S69" s="1979"/>
      <c r="T69" s="1979"/>
      <c r="U69" s="1979"/>
      <c r="V69" s="1979"/>
      <c r="W69" s="1979"/>
      <c r="X69" s="1979"/>
      <c r="Y69" s="1979"/>
      <c r="Z69" s="1979"/>
      <c r="AA69" s="1979"/>
      <c r="AB69" s="1979"/>
      <c r="AC69" s="1979"/>
    </row>
    <row r="70" spans="1:29" ht="15.75" thickBot="1">
      <c r="A70" s="644"/>
      <c r="B70" s="653"/>
      <c r="C70" s="654">
        <v>100</v>
      </c>
      <c r="D70" s="654">
        <f>C70-$K20</f>
        <v>100</v>
      </c>
      <c r="E70" s="654">
        <f>D70-$K20</f>
        <v>100</v>
      </c>
      <c r="F70" s="654">
        <f>E70-$K20</f>
        <v>100</v>
      </c>
      <c r="G70" s="654">
        <f>F70-$K20</f>
        <v>100</v>
      </c>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ht="15.75" thickTop="1">
      <c r="A71" s="644"/>
      <c r="B71" s="648" t="s">
        <v>727</v>
      </c>
      <c r="C71" s="663"/>
      <c r="D71" s="663"/>
      <c r="E71" s="663"/>
      <c r="F71" s="663"/>
      <c r="G71" s="663"/>
      <c r="H71" s="693"/>
      <c r="I71" s="693"/>
      <c r="J71" s="693"/>
      <c r="K71" s="694"/>
      <c r="L71" s="695"/>
      <c r="M71" s="696"/>
      <c r="N71" s="1997"/>
      <c r="O71" s="1997"/>
      <c r="P71" s="1998"/>
      <c r="Q71" s="1991"/>
      <c r="R71" s="1979"/>
      <c r="S71" s="1979"/>
      <c r="T71" s="1979"/>
      <c r="U71" s="1979"/>
      <c r="V71" s="1979"/>
      <c r="W71" s="1979"/>
      <c r="X71" s="1979"/>
      <c r="Y71" s="1979"/>
      <c r="Z71" s="1979"/>
      <c r="AA71" s="1979"/>
      <c r="AB71" s="1979"/>
      <c r="AC71" s="1979"/>
    </row>
    <row r="72" spans="1:29" ht="15.75" thickBot="1">
      <c r="A72" s="644"/>
      <c r="B72" s="653"/>
      <c r="C72" s="654">
        <v>100</v>
      </c>
      <c r="D72" s="654">
        <f>C72-$K22</f>
        <v>100</v>
      </c>
      <c r="E72" s="654">
        <f>D72-$K22</f>
        <v>100</v>
      </c>
      <c r="F72" s="654">
        <f>E72-$K22</f>
        <v>100</v>
      </c>
      <c r="G72" s="654">
        <f>F72-$K22</f>
        <v>100</v>
      </c>
      <c r="H72" s="654"/>
      <c r="I72" s="654"/>
      <c r="J72" s="654"/>
      <c r="K72" s="654"/>
      <c r="L72" s="654"/>
      <c r="M72" s="655"/>
      <c r="N72" s="1999"/>
      <c r="O72" s="1999"/>
      <c r="P72" s="1998"/>
      <c r="Q72" s="1991"/>
      <c r="R72" s="1979"/>
      <c r="S72" s="1979"/>
      <c r="T72" s="1979"/>
      <c r="U72" s="1979"/>
      <c r="V72" s="1979"/>
      <c r="W72" s="1979"/>
      <c r="X72" s="1979"/>
      <c r="Y72" s="1979"/>
      <c r="Z72" s="1979"/>
      <c r="AA72" s="1979"/>
      <c r="AB72" s="1979"/>
      <c r="AC72" s="1979"/>
    </row>
    <row r="73" spans="1:29" s="1165" customFormat="1" ht="15.75" thickTop="1">
      <c r="A73" s="684"/>
      <c r="B73" s="648">
        <f>B23</f>
        <v>111</v>
      </c>
      <c r="C73" s="518"/>
      <c r="D73" s="518"/>
      <c r="E73" s="518"/>
      <c r="F73" s="518"/>
      <c r="G73" s="663"/>
      <c r="H73" s="663"/>
      <c r="I73" s="663"/>
      <c r="J73" s="663"/>
      <c r="K73" s="663"/>
      <c r="L73" s="860"/>
      <c r="M73" s="861"/>
      <c r="N73" s="1995"/>
      <c r="O73" s="1995"/>
      <c r="P73" s="1998"/>
      <c r="Q73" s="1991"/>
      <c r="R73" s="1857"/>
      <c r="S73" s="1857"/>
      <c r="T73" s="1857"/>
      <c r="U73" s="1857"/>
      <c r="V73" s="1857"/>
      <c r="W73" s="1857"/>
      <c r="X73" s="1857"/>
      <c r="Y73" s="1857"/>
      <c r="Z73" s="1857"/>
      <c r="AA73" s="1857"/>
      <c r="AB73" s="1857"/>
      <c r="AC73" s="1857"/>
    </row>
    <row r="74" spans="1:29" s="1165" customFormat="1" ht="15.75"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165" customFormat="1" ht="15.75" thickTop="1">
      <c r="A75" s="684"/>
      <c r="B75" s="648">
        <f>B24</f>
        <v>111</v>
      </c>
      <c r="C75" s="518"/>
      <c r="D75" s="518"/>
      <c r="E75" s="518"/>
      <c r="F75" s="518"/>
      <c r="G75" s="663"/>
      <c r="H75" s="663"/>
      <c r="I75" s="663"/>
      <c r="J75" s="663"/>
      <c r="K75" s="663"/>
      <c r="L75" s="663"/>
      <c r="M75" s="861"/>
      <c r="N75" s="1995"/>
      <c r="O75" s="1995"/>
      <c r="P75" s="1998"/>
      <c r="Q75" s="1991"/>
      <c r="R75" s="1857"/>
      <c r="S75" s="1857"/>
      <c r="T75" s="1857"/>
      <c r="U75" s="1857"/>
      <c r="V75" s="1857"/>
      <c r="W75" s="1857"/>
      <c r="X75" s="1857"/>
      <c r="Y75" s="1857"/>
      <c r="Z75" s="1857"/>
      <c r="AA75" s="1857"/>
      <c r="AB75" s="1857"/>
      <c r="AC75" s="1857"/>
    </row>
    <row r="76" spans="1:29" s="1165" customFormat="1" ht="15.75" thickBot="1">
      <c r="A76" s="684"/>
      <c r="B76" s="653"/>
      <c r="C76" s="667"/>
      <c r="D76" s="646"/>
      <c r="E76" s="646"/>
      <c r="F76" s="646"/>
      <c r="G76" s="646"/>
      <c r="H76" s="646"/>
      <c r="I76" s="646"/>
      <c r="J76" s="646"/>
      <c r="K76" s="646"/>
      <c r="L76" s="646"/>
      <c r="M76" s="647"/>
      <c r="N76" s="1999"/>
      <c r="O76" s="1999"/>
      <c r="P76" s="1998"/>
      <c r="Q76" s="1991"/>
      <c r="R76" s="1857"/>
      <c r="S76" s="1857"/>
      <c r="T76" s="1857"/>
      <c r="U76" s="1857"/>
      <c r="V76" s="1857"/>
      <c r="W76" s="1857"/>
      <c r="X76" s="1857"/>
      <c r="Y76" s="1857"/>
      <c r="Z76" s="1857"/>
      <c r="AA76" s="1857"/>
      <c r="AB76" s="1857"/>
      <c r="AC76" s="1857"/>
    </row>
    <row r="77" spans="1:29" s="1247" customFormat="1" ht="15.75" thickTop="1">
      <c r="A77" s="662"/>
      <c r="B77" s="648">
        <f>B25</f>
        <v>111</v>
      </c>
      <c r="C77" s="663"/>
      <c r="D77" s="663"/>
      <c r="E77" s="663"/>
      <c r="F77" s="663"/>
      <c r="G77" s="663"/>
      <c r="H77" s="664"/>
      <c r="I77" s="664"/>
      <c r="J77" s="664"/>
      <c r="K77" s="664"/>
      <c r="L77" s="665"/>
      <c r="M77" s="666"/>
      <c r="N77" s="2000"/>
      <c r="O77" s="2000"/>
      <c r="P77" s="2001"/>
      <c r="Q77" s="2002"/>
      <c r="R77" s="2003"/>
      <c r="S77" s="2003"/>
      <c r="T77" s="2003"/>
      <c r="U77" s="2003"/>
      <c r="V77" s="2003"/>
      <c r="W77" s="2003"/>
      <c r="X77" s="2003"/>
      <c r="Y77" s="2003"/>
      <c r="Z77" s="2003"/>
      <c r="AA77" s="2003"/>
      <c r="AB77" s="2003"/>
      <c r="AC77" s="2003"/>
    </row>
    <row r="78" spans="1:29" s="1247" customFormat="1" ht="15.75" thickBot="1">
      <c r="A78" s="662"/>
      <c r="B78" s="653"/>
      <c r="C78" s="667"/>
      <c r="D78" s="667"/>
      <c r="E78" s="667"/>
      <c r="F78" s="667"/>
      <c r="G78" s="646"/>
      <c r="H78" s="646"/>
      <c r="I78" s="646"/>
      <c r="J78" s="646"/>
      <c r="K78" s="646"/>
      <c r="L78" s="646"/>
      <c r="M78" s="647"/>
      <c r="N78" s="2000"/>
      <c r="O78" s="2000"/>
      <c r="P78" s="2001"/>
      <c r="Q78" s="2002"/>
      <c r="R78" s="2003"/>
      <c r="S78" s="2003"/>
      <c r="T78" s="2003"/>
      <c r="U78" s="2003"/>
      <c r="V78" s="2003"/>
      <c r="W78" s="2003"/>
      <c r="X78" s="2003"/>
      <c r="Y78" s="2003"/>
      <c r="Z78" s="2003"/>
      <c r="AA78" s="2003"/>
      <c r="AB78" s="2003"/>
      <c r="AC78" s="2003"/>
    </row>
    <row r="79" spans="1:29" ht="27.75" thickTop="1">
      <c r="A79" s="639" t="s">
        <v>534</v>
      </c>
      <c r="B79" s="640" t="s">
        <v>796</v>
      </c>
      <c r="C79" s="679">
        <f>C26</f>
        <v>0</v>
      </c>
      <c r="D79" s="575"/>
      <c r="E79" s="575"/>
      <c r="F79" s="575"/>
      <c r="G79" s="575"/>
      <c r="H79" s="575"/>
      <c r="I79" s="575"/>
      <c r="J79" s="575"/>
      <c r="K79" s="641"/>
      <c r="L79" s="642"/>
      <c r="M79" s="643"/>
      <c r="N79" s="1997"/>
      <c r="O79" s="1997"/>
      <c r="P79" s="1998"/>
      <c r="Q79" s="1991"/>
      <c r="R79" s="1979"/>
      <c r="S79" s="1979"/>
      <c r="T79" s="1979"/>
      <c r="U79" s="1979"/>
      <c r="V79" s="1979"/>
      <c r="W79" s="1979"/>
      <c r="X79" s="1979"/>
      <c r="Y79" s="1979"/>
      <c r="Z79" s="1979"/>
      <c r="AA79" s="1979"/>
      <c r="AB79" s="1979"/>
      <c r="AC79" s="1979"/>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1999"/>
      <c r="O80" s="1999"/>
      <c r="P80" s="1998"/>
      <c r="Q80" s="1991"/>
      <c r="R80" s="1979"/>
      <c r="S80" s="1979"/>
      <c r="T80" s="1979"/>
      <c r="U80" s="1979"/>
      <c r="V80" s="1979"/>
      <c r="W80" s="1979"/>
      <c r="X80" s="1979"/>
      <c r="Y80" s="1979"/>
      <c r="Z80" s="1979"/>
      <c r="AA80" s="1979"/>
      <c r="AB80" s="1979"/>
      <c r="AC80" s="1979"/>
    </row>
    <row r="81" spans="1:29" ht="15.75" thickTop="1">
      <c r="A81" s="644"/>
      <c r="B81" s="648" t="s">
        <v>797</v>
      </c>
      <c r="C81" s="906"/>
      <c r="D81" s="906"/>
      <c r="E81" s="906"/>
      <c r="F81" s="906"/>
      <c r="G81" s="906"/>
      <c r="H81" s="906"/>
      <c r="I81" s="906"/>
      <c r="J81" s="906"/>
      <c r="K81" s="907"/>
      <c r="L81" s="908"/>
      <c r="M81" s="909"/>
      <c r="N81" s="1995"/>
      <c r="O81" s="1995"/>
      <c r="P81" s="1998"/>
      <c r="Q81" s="1991"/>
      <c r="R81" s="1979"/>
      <c r="S81" s="1979"/>
      <c r="T81" s="1979"/>
      <c r="U81" s="1979"/>
      <c r="V81" s="1979"/>
      <c r="W81" s="1979"/>
      <c r="X81" s="1979"/>
      <c r="Y81" s="1979"/>
      <c r="Z81" s="1979"/>
      <c r="AA81" s="1979"/>
      <c r="AB81" s="1979"/>
      <c r="AC81" s="1979"/>
    </row>
    <row r="82" spans="1:29" s="1247" customFormat="1" ht="15.75" thickBot="1">
      <c r="A82" s="662"/>
      <c r="B82" s="653"/>
      <c r="C82" s="667"/>
      <c r="D82" s="646"/>
      <c r="E82" s="646"/>
      <c r="F82" s="646"/>
      <c r="G82" s="646"/>
      <c r="H82" s="646"/>
      <c r="I82" s="646"/>
      <c r="J82" s="646"/>
      <c r="K82" s="646"/>
      <c r="L82" s="646"/>
      <c r="M82" s="647"/>
      <c r="N82" s="1999"/>
      <c r="O82" s="1999"/>
      <c r="P82" s="2001"/>
      <c r="Q82" s="2002"/>
      <c r="R82" s="2003"/>
      <c r="S82" s="2003"/>
      <c r="T82" s="2003"/>
      <c r="U82" s="2003"/>
      <c r="V82" s="2003"/>
      <c r="W82" s="2003"/>
      <c r="X82" s="2003"/>
      <c r="Y82" s="2003"/>
      <c r="Z82" s="2003"/>
      <c r="AA82" s="2003"/>
      <c r="AB82" s="2003"/>
      <c r="AC82" s="2003"/>
    </row>
    <row r="83" spans="1:29" ht="15" thickTop="1">
      <c r="A83" s="710"/>
      <c r="B83" s="648" t="s">
        <v>733</v>
      </c>
      <c r="C83" s="663"/>
      <c r="D83" s="663"/>
      <c r="E83" s="693"/>
      <c r="F83" s="693"/>
      <c r="G83" s="693"/>
      <c r="H83" s="693"/>
      <c r="I83" s="693"/>
      <c r="J83" s="693"/>
      <c r="K83" s="694"/>
      <c r="L83" s="695"/>
      <c r="M83" s="696"/>
      <c r="N83" s="1997"/>
      <c r="O83" s="1997"/>
      <c r="P83" s="1998"/>
      <c r="Q83" s="1991"/>
      <c r="R83" s="1979"/>
      <c r="S83" s="1979"/>
      <c r="T83" s="1979"/>
      <c r="U83" s="1979"/>
      <c r="V83" s="1979"/>
      <c r="W83" s="1979"/>
      <c r="X83" s="1979"/>
      <c r="Y83" s="1979"/>
      <c r="Z83" s="1979"/>
      <c r="AA83" s="1979"/>
      <c r="AB83" s="1979"/>
      <c r="AC83" s="1979"/>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1999"/>
      <c r="O84" s="1999"/>
      <c r="P84" s="1998"/>
      <c r="Q84" s="1991"/>
      <c r="R84" s="1979"/>
      <c r="S84" s="1979"/>
      <c r="T84" s="1979"/>
      <c r="U84" s="1979"/>
      <c r="V84" s="1979"/>
      <c r="W84" s="1979"/>
      <c r="X84" s="1979"/>
      <c r="Y84" s="1979"/>
      <c r="Z84" s="1979"/>
      <c r="AA84" s="1979"/>
      <c r="AB84" s="1979"/>
      <c r="AC84" s="1979"/>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7"/>
      <c r="O85" s="1997"/>
      <c r="P85" s="1998"/>
      <c r="Q85" s="1991"/>
      <c r="R85" s="1979"/>
      <c r="S85" s="1979"/>
      <c r="T85" s="1979"/>
      <c r="U85" s="1979"/>
      <c r="V85" s="1979"/>
      <c r="W85" s="1979"/>
      <c r="X85" s="1979"/>
      <c r="Y85" s="1979"/>
      <c r="Z85" s="1979"/>
      <c r="AA85" s="1979"/>
      <c r="AB85" s="1979"/>
      <c r="AC85" s="1979"/>
    </row>
    <row r="86" spans="1:29">
      <c r="A86" s="710"/>
      <c r="B86" s="656"/>
      <c r="C86" s="864">
        <v>0.5</v>
      </c>
      <c r="D86" s="864">
        <v>0.6</v>
      </c>
      <c r="E86" s="864">
        <v>0.7</v>
      </c>
      <c r="F86" s="864">
        <v>0.8</v>
      </c>
      <c r="G86" s="864">
        <v>0.9</v>
      </c>
      <c r="H86" s="864">
        <v>1.0001</v>
      </c>
      <c r="I86" s="875"/>
      <c r="J86" s="875"/>
      <c r="K86" s="876"/>
      <c r="L86" s="877"/>
      <c r="M86" s="878"/>
      <c r="N86" s="1997"/>
      <c r="O86" s="1997"/>
      <c r="P86" s="1998"/>
      <c r="Q86" s="1991"/>
      <c r="R86" s="1979"/>
      <c r="S86" s="1979"/>
      <c r="T86" s="1979"/>
      <c r="U86" s="1979"/>
      <c r="V86" s="1979"/>
      <c r="W86" s="1979"/>
      <c r="X86" s="1979"/>
      <c r="Y86" s="1979"/>
      <c r="Z86" s="1979"/>
      <c r="AA86" s="1979"/>
      <c r="AB86" s="1979"/>
      <c r="AC86" s="1979"/>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979"/>
      <c r="S87" s="1979"/>
      <c r="T87" s="1979"/>
      <c r="U87" s="1979"/>
      <c r="V87" s="1979"/>
      <c r="W87" s="1979"/>
      <c r="X87" s="1979"/>
      <c r="Y87" s="1979"/>
      <c r="Z87" s="1979"/>
      <c r="AA87" s="1979"/>
      <c r="AB87" s="1979"/>
      <c r="AC87" s="1979"/>
    </row>
    <row r="88" spans="1:29" ht="15" thickTop="1">
      <c r="A88" s="710"/>
      <c r="B88" s="656" t="s">
        <v>799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1999"/>
      <c r="O89" s="1999"/>
      <c r="P89" s="1998"/>
      <c r="Q89" s="1991"/>
      <c r="R89" s="1979"/>
      <c r="S89" s="1979"/>
      <c r="T89" s="1979"/>
      <c r="U89" s="1979"/>
      <c r="V89" s="1979"/>
      <c r="W89" s="1979"/>
      <c r="X89" s="1979"/>
      <c r="Y89" s="1979"/>
      <c r="Z89" s="1979"/>
      <c r="AA89" s="1979"/>
      <c r="AB89" s="1979"/>
      <c r="AC89" s="1979"/>
    </row>
    <row r="90" spans="1:29" s="1247"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0"/>
      <c r="O90" s="2000"/>
      <c r="P90" s="2001"/>
      <c r="Q90" s="2002"/>
      <c r="R90" s="2003"/>
      <c r="S90" s="2003"/>
      <c r="T90" s="2003"/>
      <c r="U90" s="2003"/>
      <c r="V90" s="2003"/>
      <c r="W90" s="2003"/>
      <c r="X90" s="2003"/>
      <c r="Y90" s="2003"/>
      <c r="Z90" s="2003"/>
      <c r="AA90" s="2003"/>
      <c r="AB90" s="2003"/>
      <c r="AC90" s="2003"/>
    </row>
    <row r="91" spans="1:29" s="1247" customFormat="1">
      <c r="A91" s="703"/>
      <c r="B91" s="656"/>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7" customFormat="1" ht="15.75" thickBot="1">
      <c r="A92" s="662"/>
      <c r="B92" s="653"/>
      <c r="C92" s="667"/>
      <c r="D92" s="646"/>
      <c r="E92" s="646"/>
      <c r="F92" s="646"/>
      <c r="G92" s="646"/>
      <c r="H92" s="646"/>
      <c r="I92" s="646"/>
      <c r="J92" s="646"/>
      <c r="K92" s="646"/>
      <c r="L92" s="646"/>
      <c r="M92" s="647"/>
      <c r="N92" s="2000"/>
      <c r="O92" s="2000"/>
      <c r="P92" s="2001"/>
      <c r="Q92" s="2002"/>
      <c r="R92" s="2003"/>
      <c r="S92" s="2003"/>
      <c r="T92" s="2003"/>
      <c r="U92" s="2003"/>
      <c r="V92" s="2003"/>
      <c r="W92" s="2003"/>
      <c r="X92" s="2003"/>
      <c r="Y92" s="2003"/>
      <c r="Z92" s="2003"/>
      <c r="AA92" s="2003"/>
      <c r="AB92" s="2003"/>
      <c r="AC92" s="2003"/>
    </row>
    <row r="93" spans="1:29" ht="15" thickTop="1">
      <c r="A93" s="710"/>
      <c r="B93" s="648" t="s">
        <v>801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802</v>
      </c>
      <c r="C95" s="575"/>
      <c r="D95" s="575"/>
      <c r="E95" s="575"/>
      <c r="F95" s="575"/>
      <c r="G95" s="575"/>
      <c r="H95" s="575"/>
      <c r="I95" s="575"/>
      <c r="J95" s="575"/>
      <c r="K95" s="641"/>
      <c r="L95" s="642"/>
      <c r="M95" s="643"/>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C96-$K33</f>
        <v>100</v>
      </c>
      <c r="E96" s="654">
        <f>D96-$K33</f>
        <v>100</v>
      </c>
      <c r="F96" s="654">
        <f>E96-$K33</f>
        <v>100</v>
      </c>
      <c r="G96" s="654">
        <f>F96-$K33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ht="15" thickTop="1">
      <c r="A97" s="710"/>
      <c r="B97" s="887">
        <f>B34</f>
        <v>111</v>
      </c>
      <c r="C97" s="518"/>
      <c r="D97" s="518"/>
      <c r="E97" s="518"/>
      <c r="F97" s="518"/>
      <c r="G97" s="663"/>
      <c r="H97" s="664"/>
      <c r="I97" s="664"/>
      <c r="J97" s="664"/>
      <c r="K97" s="664"/>
      <c r="L97" s="665"/>
      <c r="M97" s="666"/>
      <c r="N97" s="1999"/>
      <c r="O97" s="1999"/>
      <c r="P97" s="2038"/>
      <c r="Q97" s="2039"/>
      <c r="R97" s="1979"/>
      <c r="S97" s="1979"/>
      <c r="T97" s="1979"/>
      <c r="U97" s="1979"/>
      <c r="V97" s="1979"/>
      <c r="W97" s="1979"/>
      <c r="X97" s="1979"/>
      <c r="Y97" s="1979"/>
      <c r="Z97" s="1979"/>
      <c r="AA97" s="1979"/>
      <c r="AB97" s="1979"/>
      <c r="AC97" s="1979"/>
    </row>
    <row r="98" spans="1:29" ht="15.75" thickBot="1">
      <c r="A98" s="644"/>
      <c r="B98" s="653"/>
      <c r="C98" s="667"/>
      <c r="D98" s="646"/>
      <c r="E98" s="646"/>
      <c r="F98" s="646"/>
      <c r="G98" s="667"/>
      <c r="H98" s="668"/>
      <c r="I98" s="668"/>
      <c r="J98" s="668"/>
      <c r="K98" s="668"/>
      <c r="L98" s="668"/>
      <c r="M98" s="669"/>
      <c r="N98" s="1999"/>
      <c r="O98" s="1999"/>
      <c r="P98" s="1998"/>
      <c r="Q98" s="1991"/>
      <c r="R98" s="1979"/>
      <c r="S98" s="1979"/>
      <c r="T98" s="1979"/>
      <c r="U98" s="1979"/>
      <c r="V98" s="1979"/>
      <c r="W98" s="1979"/>
      <c r="X98" s="1979"/>
      <c r="Y98" s="1979"/>
      <c r="Z98" s="1979"/>
      <c r="AA98" s="1979"/>
      <c r="AB98" s="1979"/>
      <c r="AC98" s="1979"/>
    </row>
    <row r="99" spans="1:29" s="1247" customFormat="1" ht="15" thickTop="1">
      <c r="A99" s="703"/>
      <c r="B99" s="648">
        <f>B35</f>
        <v>111</v>
      </c>
      <c r="C99" s="518"/>
      <c r="D99" s="518"/>
      <c r="E99" s="518"/>
      <c r="F99" s="518"/>
      <c r="G99" s="663"/>
      <c r="H99" s="664"/>
      <c r="I99" s="664"/>
      <c r="J99" s="664"/>
      <c r="K99" s="664"/>
      <c r="L99" s="665"/>
      <c r="M99" s="666"/>
      <c r="N99" s="2000"/>
      <c r="O99" s="2000"/>
      <c r="P99" s="2001"/>
      <c r="Q99" s="2002"/>
      <c r="R99" s="2003"/>
      <c r="S99" s="2003"/>
      <c r="T99" s="2003"/>
      <c r="U99" s="2003"/>
      <c r="V99" s="2003"/>
      <c r="W99" s="2003"/>
      <c r="X99" s="2003"/>
      <c r="Y99" s="2003"/>
      <c r="Z99" s="2003"/>
      <c r="AA99" s="2003"/>
      <c r="AB99" s="2003"/>
      <c r="AC99" s="2003"/>
    </row>
    <row r="100" spans="1:29" s="1247" customFormat="1" ht="15.75" thickBot="1">
      <c r="A100" s="662"/>
      <c r="B100" s="645"/>
      <c r="C100" s="667"/>
      <c r="D100" s="646"/>
      <c r="E100" s="646"/>
      <c r="F100" s="646"/>
      <c r="G100" s="667"/>
      <c r="H100" s="668"/>
      <c r="I100" s="668"/>
      <c r="J100" s="668"/>
      <c r="K100" s="668"/>
      <c r="L100" s="668"/>
      <c r="M100" s="669"/>
      <c r="N100" s="2000"/>
      <c r="O100" s="2000"/>
      <c r="P100" s="2001"/>
      <c r="Q100" s="2002"/>
      <c r="R100" s="2003"/>
      <c r="S100" s="2003"/>
      <c r="T100" s="2003"/>
      <c r="U100" s="2003"/>
      <c r="V100" s="2003"/>
      <c r="W100" s="2003"/>
      <c r="X100" s="2003"/>
      <c r="Y100" s="2003"/>
      <c r="Z100" s="2003"/>
      <c r="AA100" s="2003"/>
      <c r="AB100" s="2003"/>
      <c r="AC100" s="2003"/>
    </row>
    <row r="101" spans="1:29" ht="15" thickTop="1">
      <c r="A101" s="710"/>
      <c r="B101" s="648">
        <f>B36</f>
        <v>111</v>
      </c>
      <c r="C101" s="663"/>
      <c r="D101" s="663"/>
      <c r="E101" s="663"/>
      <c r="F101" s="663"/>
      <c r="G101" s="663"/>
      <c r="H101" s="664"/>
      <c r="I101" s="664"/>
      <c r="J101" s="664"/>
      <c r="K101" s="664"/>
      <c r="L101" s="665"/>
      <c r="M101" s="666"/>
      <c r="N101" s="1997"/>
      <c r="O101" s="1997"/>
      <c r="P101" s="1998"/>
      <c r="Q101" s="1991"/>
      <c r="R101" s="1979"/>
      <c r="S101" s="1979"/>
      <c r="T101" s="1979"/>
      <c r="U101" s="1979"/>
      <c r="V101" s="1979"/>
      <c r="W101" s="1979"/>
      <c r="X101" s="1979"/>
      <c r="Y101" s="1979"/>
      <c r="Z101" s="1979"/>
      <c r="AA101" s="1979"/>
      <c r="AB101" s="1979"/>
      <c r="AC101" s="1979"/>
    </row>
    <row r="102" spans="1:29" ht="15.75" thickBot="1">
      <c r="A102" s="644"/>
      <c r="B102" s="653"/>
      <c r="C102" s="667"/>
      <c r="D102" s="667"/>
      <c r="E102" s="667"/>
      <c r="F102" s="667"/>
      <c r="G102" s="667"/>
      <c r="H102" s="668"/>
      <c r="I102" s="668"/>
      <c r="J102" s="668"/>
      <c r="K102" s="668"/>
      <c r="L102" s="668"/>
      <c r="M102" s="669"/>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2" priority="18" stopIfTrue="1" operator="containsText" text="超过">
      <formula>NOT(ISERROR(SEARCH("超过",F42)))</formula>
    </cfRule>
  </conditionalFormatting>
  <conditionalFormatting sqref="J44">
    <cfRule type="containsText" dxfId="41" priority="17" stopIfTrue="1" operator="containsText" text="超过">
      <formula>NOT(ISERROR(SEARCH("超过",J44)))</formula>
    </cfRule>
  </conditionalFormatting>
  <conditionalFormatting sqref="H44">
    <cfRule type="containsText" dxfId="40" priority="16" stopIfTrue="1" operator="containsText" text="超过">
      <formula>NOT(ISERROR(SEARCH("超过",H44)))</formula>
    </cfRule>
  </conditionalFormatting>
  <conditionalFormatting sqref="F44">
    <cfRule type="containsText" dxfId="39" priority="15" stopIfTrue="1" operator="containsText" text="超过">
      <formula>NOT(ISERROR(SEARCH("超过",F44)))</formula>
    </cfRule>
  </conditionalFormatting>
  <conditionalFormatting sqref="F43 H43 J43">
    <cfRule type="containsText" dxfId="38" priority="14" stopIfTrue="1" operator="containsText" text="超过">
      <formula>NOT(ISERROR(SEARCH("超过",F43)))</formula>
    </cfRule>
  </conditionalFormatting>
  <conditionalFormatting sqref="E42">
    <cfRule type="expression" dxfId="37" priority="13" stopIfTrue="1">
      <formula>$F$42="超过30%"</formula>
    </cfRule>
  </conditionalFormatting>
  <conditionalFormatting sqref="G44">
    <cfRule type="expression" dxfId="36" priority="12" stopIfTrue="1">
      <formula>$H$54+$H$44="超过30%"</formula>
    </cfRule>
  </conditionalFormatting>
  <conditionalFormatting sqref="E43">
    <cfRule type="expression" dxfId="35" priority="11" stopIfTrue="1">
      <formula>$F$43="超过20%"</formula>
    </cfRule>
  </conditionalFormatting>
  <conditionalFormatting sqref="E44">
    <cfRule type="expression" dxfId="34" priority="10" stopIfTrue="1">
      <formula>$F$44="超过30%"</formula>
    </cfRule>
  </conditionalFormatting>
  <conditionalFormatting sqref="G42">
    <cfRule type="expression" dxfId="33" priority="9" stopIfTrue="1">
      <formula>$H$52+$H$42="超过30%"</formula>
    </cfRule>
  </conditionalFormatting>
  <conditionalFormatting sqref="G43">
    <cfRule type="expression" dxfId="32" priority="8" stopIfTrue="1">
      <formula>$H$43="超过20%"</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F38">
    <cfRule type="expression" dxfId="28" priority="4">
      <formula>$D$38="简单平均"</formula>
    </cfRule>
  </conditionalFormatting>
  <conditionalFormatting sqref="H38">
    <cfRule type="expression" dxfId="27" priority="3">
      <formula>$D$38="简单平均"</formula>
    </cfRule>
  </conditionalFormatting>
  <conditionalFormatting sqref="J38">
    <cfRule type="expression" dxfId="26" priority="2">
      <formula>$D$38="简单平均"</formula>
    </cfRule>
  </conditionalFormatting>
  <conditionalFormatting sqref="F7:F36 H7:H36 J7:J36">
    <cfRule type="cellIs" dxfId="2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1699</v>
      </c>
    </row>
    <row r="2" spans="1:4">
      <c r="A2" s="1647"/>
    </row>
    <row r="3" spans="1:4" ht="18.75">
      <c r="A3" s="1665" t="str">
        <f>项目基本情况!B5&amp;"："</f>
        <v>：</v>
      </c>
    </row>
    <row r="4" spans="1:4" ht="18.75">
      <c r="A4" s="1659" t="str">
        <f>"受贵公司委托，我公司对"&amp;项目基本情况!K2&amp;项目基本情况!B9&amp;"进行了预评估。"</f>
        <v>受贵公司委托，我公司对出让国有建设用地使用权抵押价格进行了预评估。</v>
      </c>
    </row>
    <row r="5" spans="1:4" ht="18.75">
      <c r="A5" s="1662" t="s">
        <v>1700</v>
      </c>
    </row>
    <row r="6" spans="1:4" ht="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23308.88平方米。根据《建设工程规划许可证》[]、《出让合同》[]，估价对象规划建筑面积为184715.46平方米。</v>
      </c>
    </row>
    <row r="7" spans="1:4" ht="93.75">
      <c r="A7" s="2510" t="s">
        <v>2464</v>
      </c>
    </row>
    <row r="8" spans="1:4" ht="18.75">
      <c r="A8" s="1662" t="s">
        <v>1701</v>
      </c>
    </row>
    <row r="9" spans="1:4" ht="75">
      <c r="A9" s="166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1817</v>
      </c>
    </row>
    <row r="11" spans="1:4" ht="18.75">
      <c r="A11" s="1648" t="str">
        <f>TEXT(项目基本情况!D3,"yyyy年m月d日;;")&amp;IF(项目基本情况!B3=项目基本情况!D3,"（评估专业人员勘察现场之日）","")</f>
        <v>2022年11月30日</v>
      </c>
    </row>
    <row r="12" spans="1:4" ht="18.75">
      <c r="A12" s="1665" t="s">
        <v>1816</v>
      </c>
    </row>
    <row r="13" spans="1:4" ht="18.75">
      <c r="A13" s="1659" t="s">
        <v>1862</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1863</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1864</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根据《国有土地使用证》[]，估价对象（分摊）出让国有建设用地使用权面积为23308.88平方米。根据《建设工程规划许可证》[]、《出让合同》[]，估价对象规划建筑面积为184715.46平方米。</v>
      </c>
    </row>
    <row r="21" spans="1:1" ht="93.75">
      <c r="A21" s="25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1865</v>
      </c>
    </row>
    <row r="23" spans="1:1" ht="18.75">
      <c r="A23" s="2512" t="s">
        <v>2465</v>
      </c>
    </row>
    <row r="24" spans="1:1" ht="18.75">
      <c r="A24" s="1659" t="s">
        <v>1866</v>
      </c>
    </row>
    <row r="25" spans="1:1" ht="75">
      <c r="A25" s="1659"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row>
    <row r="26" spans="1:1" ht="37.5">
      <c r="A26" s="16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1818</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1819</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893"/>
      <c r="C1" s="481" t="s">
        <v>774</v>
      </c>
      <c r="D1" s="821"/>
      <c r="E1" s="483"/>
      <c r="F1" s="2444"/>
      <c r="G1" s="1485" t="s">
        <v>775</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776</v>
      </c>
      <c r="B2" s="822"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777</v>
      </c>
      <c r="B3" s="487" t="e">
        <f>C37</f>
        <v>#DIV/0!</v>
      </c>
      <c r="C3" s="824" t="s">
        <v>778</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779</v>
      </c>
      <c r="B4" s="490"/>
      <c r="C4" s="3677" t="s">
        <v>780</v>
      </c>
      <c r="D4" s="3678"/>
      <c r="E4" s="3716" t="s">
        <v>781</v>
      </c>
      <c r="F4" s="3717"/>
      <c r="G4" s="3677" t="s">
        <v>782</v>
      </c>
      <c r="H4" s="3678"/>
      <c r="I4" s="3677" t="s">
        <v>783</v>
      </c>
      <c r="J4" s="3678"/>
      <c r="K4" s="491" t="s">
        <v>784</v>
      </c>
      <c r="L4" s="1967"/>
      <c r="M4" s="1968"/>
      <c r="N4" s="1968"/>
      <c r="O4" s="1968"/>
      <c r="P4" s="3679" t="s">
        <v>785</v>
      </c>
      <c r="Q4" s="3680"/>
      <c r="R4" s="3685" t="s">
        <v>781</v>
      </c>
      <c r="S4" s="3686"/>
      <c r="T4" s="3685" t="s">
        <v>782</v>
      </c>
      <c r="U4" s="3686"/>
      <c r="V4" s="3672" t="s">
        <v>783</v>
      </c>
      <c r="W4" s="3672"/>
      <c r="X4" s="1455"/>
      <c r="Y4" s="3685" t="s">
        <v>785</v>
      </c>
      <c r="Z4" s="3686"/>
      <c r="AA4" s="3674" t="s">
        <v>781</v>
      </c>
      <c r="AB4" s="3675" t="s">
        <v>782</v>
      </c>
      <c r="AC4" s="3674" t="s">
        <v>783</v>
      </c>
    </row>
    <row r="5" spans="1:29" ht="15">
      <c r="A5" s="492"/>
      <c r="B5" s="493"/>
      <c r="C5" s="3693" t="s">
        <v>2630</v>
      </c>
      <c r="D5" s="3694"/>
      <c r="E5" s="3718" t="s">
        <v>2631</v>
      </c>
      <c r="F5" s="3719"/>
      <c r="G5" s="3693" t="s">
        <v>2632</v>
      </c>
      <c r="H5" s="3694"/>
      <c r="I5" s="3693" t="s">
        <v>2633</v>
      </c>
      <c r="J5" s="3694"/>
      <c r="K5" s="491"/>
      <c r="L5" s="1967"/>
      <c r="M5" s="1968"/>
      <c r="N5" s="1968"/>
      <c r="O5" s="1968"/>
      <c r="P5" s="3681"/>
      <c r="Q5" s="3682"/>
      <c r="R5" s="3687"/>
      <c r="S5" s="3688"/>
      <c r="T5" s="3687"/>
      <c r="U5" s="3688"/>
      <c r="V5" s="3672"/>
      <c r="W5" s="3672"/>
      <c r="X5" s="1455"/>
      <c r="Y5" s="3687"/>
      <c r="Z5" s="3688"/>
      <c r="AA5" s="3675"/>
      <c r="AB5" s="3675"/>
      <c r="AC5" s="3675"/>
    </row>
    <row r="6" spans="1:29" ht="15.75" thickBot="1">
      <c r="A6" s="494"/>
      <c r="B6" s="495"/>
      <c r="C6" s="3691" t="s">
        <v>2634</v>
      </c>
      <c r="D6" s="3692"/>
      <c r="E6" s="3714" t="s">
        <v>2634</v>
      </c>
      <c r="F6" s="3715"/>
      <c r="G6" s="3691" t="s">
        <v>2634</v>
      </c>
      <c r="H6" s="3692"/>
      <c r="I6" s="3691" t="s">
        <v>2634</v>
      </c>
      <c r="J6" s="3692"/>
      <c r="K6" s="491" t="s">
        <v>511</v>
      </c>
      <c r="L6" s="1967"/>
      <c r="M6" s="1968"/>
      <c r="N6" s="1968"/>
      <c r="O6" s="1968"/>
      <c r="P6" s="3683"/>
      <c r="Q6" s="3684"/>
      <c r="R6" s="3687"/>
      <c r="S6" s="3688"/>
      <c r="T6" s="3689"/>
      <c r="U6" s="3690"/>
      <c r="V6" s="3672"/>
      <c r="W6" s="3672"/>
      <c r="X6" s="1455"/>
      <c r="Y6" s="3689"/>
      <c r="Z6" s="3690"/>
      <c r="AA6" s="3676"/>
      <c r="AB6" s="3676"/>
      <c r="AC6" s="3676"/>
    </row>
    <row r="7" spans="1:29" s="1165" customFormat="1" ht="15.75" thickBot="1">
      <c r="A7" s="2548"/>
      <c r="B7" s="2555" t="s">
        <v>512</v>
      </c>
      <c r="C7" s="496">
        <f>'数据-取费表'!B2</f>
        <v>44895</v>
      </c>
      <c r="D7" s="497">
        <v>100</v>
      </c>
      <c r="E7" s="498"/>
      <c r="F7" s="499">
        <f>SUMIF(46:46,YEAR(E7)&amp;"-"&amp;MONTH(E7),47:47)</f>
        <v>0</v>
      </c>
      <c r="G7" s="500"/>
      <c r="H7" s="497">
        <f>SUMIF(46:46,YEAR(G7)&amp;"-"&amp;MONTH(G7),47:47)</f>
        <v>0</v>
      </c>
      <c r="I7" s="500"/>
      <c r="J7" s="497">
        <f>SUMIF(46:46,YEAR(I7)&amp;"-"&amp;MONTH(I7),47:47)</f>
        <v>0</v>
      </c>
      <c r="K7" s="501"/>
      <c r="L7" s="1969"/>
      <c r="M7" s="1970"/>
      <c r="N7" s="1970"/>
      <c r="O7" s="1970"/>
      <c r="P7" s="3701" t="s">
        <v>513</v>
      </c>
      <c r="Q7" s="3703"/>
      <c r="R7" s="1456" t="s">
        <v>8</v>
      </c>
      <c r="S7" s="1457">
        <f t="shared" ref="S7:S14" si="0">F7</f>
        <v>0</v>
      </c>
      <c r="T7" s="1456" t="s">
        <v>8</v>
      </c>
      <c r="U7" s="1457">
        <f t="shared" ref="U7:U14" si="1">H7</f>
        <v>0</v>
      </c>
      <c r="V7" s="1456" t="s">
        <v>8</v>
      </c>
      <c r="W7" s="1457">
        <f t="shared" ref="W7:W14" si="2">J7</f>
        <v>0</v>
      </c>
      <c r="X7" s="1458"/>
      <c r="Y7" s="3701" t="s">
        <v>513</v>
      </c>
      <c r="Z7" s="3702"/>
      <c r="AA7" s="1459" t="e">
        <f>D7/F7</f>
        <v>#DIV/0!</v>
      </c>
      <c r="AB7" s="1459" t="e">
        <f>D7/H7</f>
        <v>#DIV/0!</v>
      </c>
      <c r="AC7" s="1459" t="e">
        <f>D7/J7</f>
        <v>#DIV/0!</v>
      </c>
    </row>
    <row r="8" spans="1:29" s="1165" customFormat="1" ht="15.75" thickBot="1">
      <c r="A8" s="2549"/>
      <c r="B8" s="2556" t="s">
        <v>514</v>
      </c>
      <c r="C8" s="502" t="s">
        <v>558</v>
      </c>
      <c r="D8" s="497">
        <v>100</v>
      </c>
      <c r="E8" s="502"/>
      <c r="F8" s="499">
        <f>SUMIF(49:49,E8,50:50)-SUMIF(49:49,C8,50:50)+100</f>
        <v>0</v>
      </c>
      <c r="G8" s="502"/>
      <c r="H8" s="497">
        <f>SUMIF(49:49,G8,50:50)-SUMIF(49:49,C8,50:50)+100</f>
        <v>0</v>
      </c>
      <c r="I8" s="502"/>
      <c r="J8" s="497">
        <f>SUMIF(49:49,I8,50:50)-SUMIF(49:49,C8,50:50)+100</f>
        <v>0</v>
      </c>
      <c r="K8" s="501"/>
      <c r="L8" s="1969"/>
      <c r="M8" s="1970"/>
      <c r="N8" s="1970"/>
      <c r="O8" s="1970"/>
      <c r="P8" s="3701" t="s">
        <v>516</v>
      </c>
      <c r="Q8" s="3702"/>
      <c r="R8" s="1456" t="s">
        <v>8</v>
      </c>
      <c r="S8" s="1457">
        <f t="shared" si="0"/>
        <v>0</v>
      </c>
      <c r="T8" s="1456" t="s">
        <v>8</v>
      </c>
      <c r="U8" s="1457">
        <f t="shared" si="1"/>
        <v>0</v>
      </c>
      <c r="V8" s="1456" t="s">
        <v>8</v>
      </c>
      <c r="W8" s="1457">
        <f t="shared" si="2"/>
        <v>0</v>
      </c>
      <c r="X8" s="1458"/>
      <c r="Y8" s="3701" t="s">
        <v>516</v>
      </c>
      <c r="Z8" s="3702"/>
      <c r="AA8" s="1459" t="e">
        <f t="shared" ref="AA8:AA34" si="3">D8/F8</f>
        <v>#DIV/0!</v>
      </c>
      <c r="AB8" s="1459" t="e">
        <f t="shared" ref="AB8:AB34" si="4">D8/H8</f>
        <v>#DIV/0!</v>
      </c>
      <c r="AC8" s="1459" t="e">
        <f t="shared" ref="AC8:AC34" si="5">D8/J8</f>
        <v>#DIV/0!</v>
      </c>
    </row>
    <row r="9" spans="1:29" s="1165" customFormat="1" ht="15">
      <c r="A9" s="2550"/>
      <c r="B9" s="2557" t="s">
        <v>2472</v>
      </c>
      <c r="C9" s="829"/>
      <c r="D9" s="252">
        <v>100</v>
      </c>
      <c r="E9" s="832"/>
      <c r="F9" s="252">
        <f>SUMIF(51:51,E9,52:52)-SUMIF(51:51,C9,52:52)+100</f>
        <v>100</v>
      </c>
      <c r="G9" s="832"/>
      <c r="H9" s="252">
        <f>SUMIF(51:51,G9,52:52)-SUMIF(51:51,C9,52:52)+100</f>
        <v>100</v>
      </c>
      <c r="I9" s="832"/>
      <c r="J9" s="252">
        <f>SUMIF(51:51,I9,52:52)-SUMIF(51:51,C9,52:52)+100</f>
        <v>100</v>
      </c>
      <c r="K9" s="501"/>
      <c r="L9" s="1969"/>
      <c r="M9" s="1970"/>
      <c r="N9" s="1970"/>
      <c r="O9" s="1971"/>
      <c r="P9" s="3671" t="s">
        <v>518</v>
      </c>
      <c r="Q9" s="1096" t="str">
        <f t="shared" ref="Q9:Q14" si="6">B9</f>
        <v>用途</v>
      </c>
      <c r="R9" s="1456" t="s">
        <v>8</v>
      </c>
      <c r="S9" s="1457">
        <f t="shared" si="0"/>
        <v>100</v>
      </c>
      <c r="T9" s="1456" t="s">
        <v>8</v>
      </c>
      <c r="U9" s="1457">
        <f t="shared" si="1"/>
        <v>100</v>
      </c>
      <c r="V9" s="1456" t="s">
        <v>8</v>
      </c>
      <c r="W9" s="1457">
        <f t="shared" si="2"/>
        <v>100</v>
      </c>
      <c r="X9" s="1458"/>
      <c r="Y9" s="3619" t="s">
        <v>519</v>
      </c>
      <c r="Z9" s="1095" t="str">
        <f t="shared" ref="Z9:Z14" si="7">Q9</f>
        <v>用途</v>
      </c>
      <c r="AA9" s="1459">
        <f t="shared" si="3"/>
        <v>1</v>
      </c>
      <c r="AB9" s="1459">
        <f t="shared" si="4"/>
        <v>1</v>
      </c>
      <c r="AC9" s="1459">
        <f t="shared" si="5"/>
        <v>1</v>
      </c>
    </row>
    <row r="10" spans="1:29" s="1246" customFormat="1" ht="27">
      <c r="A10" s="2551"/>
      <c r="B10" s="2556" t="s">
        <v>2473</v>
      </c>
      <c r="C10" s="833"/>
      <c r="D10" s="253">
        <v>100</v>
      </c>
      <c r="E10" s="833"/>
      <c r="F10" s="253">
        <f>SUMIF(53:53,E10,54:54)-SUMIF(53:53,C10,54:54)+100</f>
        <v>100</v>
      </c>
      <c r="G10" s="834"/>
      <c r="H10" s="253">
        <f>SUMIF(53:53,G10,54:54)-SUMIF(53:53,C10,54:54)+100</f>
        <v>100</v>
      </c>
      <c r="I10" s="833"/>
      <c r="J10" s="253">
        <f>SUMIF(53:53,I10,54:54)-SUMIF(53:53,C10,54:54)+100</f>
        <v>100</v>
      </c>
      <c r="K10" s="561"/>
      <c r="L10" s="1972"/>
      <c r="M10" s="2011"/>
      <c r="N10" s="2011"/>
      <c r="O10" s="1973"/>
      <c r="P10" s="3671"/>
      <c r="Q10" s="1096" t="str">
        <f t="shared" si="6"/>
        <v>土地使用年限（年）</v>
      </c>
      <c r="R10" s="1456" t="s">
        <v>8</v>
      </c>
      <c r="S10" s="1457">
        <f t="shared" si="0"/>
        <v>100</v>
      </c>
      <c r="T10" s="1456" t="s">
        <v>8</v>
      </c>
      <c r="U10" s="1457">
        <f t="shared" si="1"/>
        <v>100</v>
      </c>
      <c r="V10" s="1456" t="s">
        <v>8</v>
      </c>
      <c r="W10" s="1457">
        <f t="shared" si="2"/>
        <v>100</v>
      </c>
      <c r="X10" s="1458"/>
      <c r="Y10" s="3619"/>
      <c r="Z10" s="1095" t="str">
        <f t="shared" si="7"/>
        <v>土地使用年限（年）</v>
      </c>
      <c r="AA10" s="1459">
        <f t="shared" si="3"/>
        <v>1</v>
      </c>
      <c r="AB10" s="1459">
        <f t="shared" si="4"/>
        <v>1</v>
      </c>
      <c r="AC10" s="1459">
        <f t="shared" si="5"/>
        <v>1</v>
      </c>
    </row>
    <row r="11" spans="1:29" ht="15">
      <c r="A11" s="2553"/>
      <c r="B11" s="2559">
        <v>111</v>
      </c>
      <c r="C11" s="505"/>
      <c r="D11" s="253">
        <v>100</v>
      </c>
      <c r="E11" s="850"/>
      <c r="F11" s="253">
        <f>SUMIF(55:55,E11,56:56)-SUMIF(55:55,C11,56:56)+100</f>
        <v>100</v>
      </c>
      <c r="G11" s="850"/>
      <c r="H11" s="253">
        <f>SUMIF(55:55,G11,56:56)-SUMIF(55:55,C11,56:56)+100</f>
        <v>100</v>
      </c>
      <c r="I11" s="850"/>
      <c r="J11" s="253">
        <f>SUMIF(55:55,I11,56:56)-SUMIF(55:55,C11,56:56)+100</f>
        <v>100</v>
      </c>
      <c r="K11" s="558"/>
      <c r="L11" s="1974"/>
      <c r="M11" s="1968"/>
      <c r="N11" s="1968"/>
      <c r="O11" s="1975"/>
      <c r="P11" s="3671"/>
      <c r="Q11" s="1096">
        <f t="shared" si="6"/>
        <v>111</v>
      </c>
      <c r="R11" s="1456" t="s">
        <v>8</v>
      </c>
      <c r="S11" s="1457">
        <f t="shared" si="0"/>
        <v>100</v>
      </c>
      <c r="T11" s="1456" t="s">
        <v>8</v>
      </c>
      <c r="U11" s="1457">
        <f t="shared" si="1"/>
        <v>100</v>
      </c>
      <c r="V11" s="1456" t="s">
        <v>8</v>
      </c>
      <c r="W11" s="1457">
        <f t="shared" si="2"/>
        <v>100</v>
      </c>
      <c r="X11" s="1458"/>
      <c r="Y11" s="3619"/>
      <c r="Z11" s="1095">
        <f t="shared" si="7"/>
        <v>111</v>
      </c>
      <c r="AA11" s="1459">
        <f t="shared" si="3"/>
        <v>1</v>
      </c>
      <c r="AB11" s="1459">
        <f t="shared" si="4"/>
        <v>1</v>
      </c>
      <c r="AC11" s="1459">
        <f t="shared" si="5"/>
        <v>1</v>
      </c>
    </row>
    <row r="12" spans="1:29" s="1165" customFormat="1" ht="15">
      <c r="A12" s="2553"/>
      <c r="B12" s="2559">
        <v>111</v>
      </c>
      <c r="C12" s="505"/>
      <c r="D12" s="515">
        <v>100</v>
      </c>
      <c r="E12" s="850"/>
      <c r="F12" s="253">
        <f>SUMIF(57:57,E12,58:58)-SUMIF(57:57,C12,58:58)+100</f>
        <v>100</v>
      </c>
      <c r="G12" s="850"/>
      <c r="H12" s="253">
        <f>SUMIF(57:57,G12,58:58)-SUMIF(57:57,C12,58:58)+100</f>
        <v>100</v>
      </c>
      <c r="I12" s="850"/>
      <c r="J12" s="253">
        <f>SUMIF(57:57,I12,58:58)-SUMIF(57:57,C12,58:58)+100</f>
        <v>100</v>
      </c>
      <c r="K12" s="558"/>
      <c r="L12" s="1969"/>
      <c r="M12" s="1970"/>
      <c r="N12" s="1970"/>
      <c r="O12" s="1971"/>
      <c r="P12" s="3671"/>
      <c r="Q12" s="1096">
        <f t="shared" si="6"/>
        <v>111</v>
      </c>
      <c r="R12" s="1456" t="s">
        <v>8</v>
      </c>
      <c r="S12" s="1457">
        <f t="shared" si="0"/>
        <v>100</v>
      </c>
      <c r="T12" s="1456" t="s">
        <v>8</v>
      </c>
      <c r="U12" s="1457">
        <f t="shared" si="1"/>
        <v>100</v>
      </c>
      <c r="V12" s="1456" t="s">
        <v>8</v>
      </c>
      <c r="W12" s="1457">
        <f t="shared" si="2"/>
        <v>100</v>
      </c>
      <c r="X12" s="1458"/>
      <c r="Y12" s="3619"/>
      <c r="Z12" s="1095">
        <f t="shared" si="7"/>
        <v>111</v>
      </c>
      <c r="AA12" s="1459">
        <f>D12/F12</f>
        <v>1</v>
      </c>
      <c r="AB12" s="1459">
        <f>D12/H12</f>
        <v>1</v>
      </c>
      <c r="AC12" s="1459">
        <f>D12/J12</f>
        <v>1</v>
      </c>
    </row>
    <row r="13" spans="1:29" ht="15.75" thickBot="1">
      <c r="A13" s="2554"/>
      <c r="B13" s="2560">
        <v>111</v>
      </c>
      <c r="C13" s="516"/>
      <c r="D13" s="517">
        <v>100</v>
      </c>
      <c r="E13" s="850"/>
      <c r="F13" s="253">
        <f>SUMIF(59:59,E13,60:60)-SUMIF(59:59,C13,60:60)+100</f>
        <v>100</v>
      </c>
      <c r="G13" s="850"/>
      <c r="H13" s="517">
        <f>SUMIF(59:59,G13,60:60)-SUMIF(59:59,C13,60:60)+100</f>
        <v>100</v>
      </c>
      <c r="I13" s="850"/>
      <c r="J13" s="517">
        <f>SUMIF(59:59,I13,60:60)-SUMIF(59:59,C13,60:60)+100</f>
        <v>100</v>
      </c>
      <c r="K13" s="558"/>
      <c r="L13" s="1976"/>
      <c r="M13" s="1968"/>
      <c r="N13" s="1968"/>
      <c r="O13" s="1975"/>
      <c r="P13" s="3671"/>
      <c r="Q13" s="1096">
        <f t="shared" si="6"/>
        <v>111</v>
      </c>
      <c r="R13" s="1456" t="s">
        <v>8</v>
      </c>
      <c r="S13" s="1457">
        <f t="shared" si="0"/>
        <v>100</v>
      </c>
      <c r="T13" s="1456" t="s">
        <v>8</v>
      </c>
      <c r="U13" s="1457">
        <f t="shared" si="1"/>
        <v>100</v>
      </c>
      <c r="V13" s="1456" t="s">
        <v>8</v>
      </c>
      <c r="W13" s="1457">
        <f t="shared" si="2"/>
        <v>100</v>
      </c>
      <c r="X13" s="1458"/>
      <c r="Y13" s="3619"/>
      <c r="Z13" s="1095">
        <f t="shared" si="7"/>
        <v>111</v>
      </c>
      <c r="AA13" s="1459">
        <f t="shared" si="3"/>
        <v>1</v>
      </c>
      <c r="AB13" s="1459">
        <f t="shared" si="4"/>
        <v>1</v>
      </c>
      <c r="AC13" s="1459">
        <f t="shared" si="5"/>
        <v>1</v>
      </c>
    </row>
    <row r="14" spans="1:29" ht="85.5">
      <c r="A14" s="2546" t="s">
        <v>2470</v>
      </c>
      <c r="B14" s="164" t="s">
        <v>526</v>
      </c>
      <c r="C14" s="891"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8"/>
      <c r="L14" s="1976"/>
      <c r="M14" s="1968"/>
      <c r="N14" s="1968"/>
      <c r="O14" s="1975"/>
      <c r="P14" s="3704" t="s">
        <v>523</v>
      </c>
      <c r="Q14" s="1460" t="str">
        <f t="shared" si="6"/>
        <v>交通便捷度</v>
      </c>
      <c r="R14" s="1461" t="s">
        <v>8</v>
      </c>
      <c r="S14" s="1462">
        <f t="shared" si="0"/>
        <v>100</v>
      </c>
      <c r="T14" s="1461" t="s">
        <v>8</v>
      </c>
      <c r="U14" s="1462">
        <f t="shared" si="1"/>
        <v>100</v>
      </c>
      <c r="V14" s="1461" t="s">
        <v>8</v>
      </c>
      <c r="W14" s="1462">
        <f t="shared" si="2"/>
        <v>100</v>
      </c>
      <c r="X14" s="1455"/>
      <c r="Y14" s="3704" t="s">
        <v>523</v>
      </c>
      <c r="Z14" s="1463" t="str">
        <f t="shared" si="7"/>
        <v>交通便捷度</v>
      </c>
      <c r="AA14" s="1464">
        <f t="shared" si="3"/>
        <v>1</v>
      </c>
      <c r="AB14" s="1464">
        <f t="shared" si="4"/>
        <v>1</v>
      </c>
      <c r="AC14" s="1464">
        <f t="shared" si="5"/>
        <v>1</v>
      </c>
    </row>
    <row r="15" spans="1:29" ht="15">
      <c r="A15" s="509"/>
      <c r="B15" s="841"/>
      <c r="C15" s="553"/>
      <c r="D15" s="532"/>
      <c r="E15" s="553"/>
      <c r="F15" s="534"/>
      <c r="G15" s="553"/>
      <c r="H15" s="536"/>
      <c r="I15" s="553"/>
      <c r="J15" s="532"/>
      <c r="K15" s="869"/>
      <c r="L15" s="1976"/>
      <c r="M15" s="1968"/>
      <c r="N15" s="1968"/>
      <c r="O15" s="1975"/>
      <c r="P15" s="3705"/>
      <c r="Q15" s="1460"/>
      <c r="R15" s="1461"/>
      <c r="S15" s="1462"/>
      <c r="T15" s="1461"/>
      <c r="U15" s="1462"/>
      <c r="V15" s="1461"/>
      <c r="W15" s="1462"/>
      <c r="X15" s="1455"/>
      <c r="Y15" s="3705"/>
      <c r="Z15" s="1463"/>
      <c r="AA15" s="1464">
        <v>1</v>
      </c>
      <c r="AB15" s="1464">
        <v>1</v>
      </c>
      <c r="AC15" s="1464">
        <v>1</v>
      </c>
    </row>
    <row r="16" spans="1:29" ht="42.75">
      <c r="A16" s="509"/>
      <c r="B16" s="2367" t="s">
        <v>2263</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8"/>
      <c r="L16" s="1976"/>
      <c r="M16" s="1968"/>
      <c r="N16" s="1968"/>
      <c r="O16" s="1975"/>
      <c r="P16" s="3705"/>
      <c r="Q16" s="1460" t="str">
        <f>B16</f>
        <v>公共配套设施</v>
      </c>
      <c r="R16" s="1461" t="s">
        <v>8</v>
      </c>
      <c r="S16" s="1462">
        <f>F16</f>
        <v>100</v>
      </c>
      <c r="T16" s="1461" t="s">
        <v>8</v>
      </c>
      <c r="U16" s="1462">
        <f>H16</f>
        <v>100</v>
      </c>
      <c r="V16" s="1461" t="s">
        <v>8</v>
      </c>
      <c r="W16" s="1462">
        <f>J16</f>
        <v>100</v>
      </c>
      <c r="X16" s="1455"/>
      <c r="Y16" s="3705"/>
      <c r="Z16" s="1463" t="str">
        <f>Q16</f>
        <v>公共配套设施</v>
      </c>
      <c r="AA16" s="1464">
        <f t="shared" si="3"/>
        <v>1</v>
      </c>
      <c r="AB16" s="1464">
        <f t="shared" si="4"/>
        <v>1</v>
      </c>
      <c r="AC16" s="1464">
        <f t="shared" si="5"/>
        <v>1</v>
      </c>
    </row>
    <row r="17" spans="1:29" ht="15">
      <c r="A17" s="509"/>
      <c r="B17" s="543"/>
      <c r="C17" s="845"/>
      <c r="D17" s="532"/>
      <c r="E17" s="553"/>
      <c r="F17" s="534"/>
      <c r="G17" s="553"/>
      <c r="H17" s="532"/>
      <c r="I17" s="553"/>
      <c r="J17" s="532"/>
      <c r="K17" s="869"/>
      <c r="L17" s="1976"/>
      <c r="M17" s="1968"/>
      <c r="N17" s="1968"/>
      <c r="O17" s="1975"/>
      <c r="P17" s="3705"/>
      <c r="Q17" s="1460"/>
      <c r="R17" s="1461"/>
      <c r="S17" s="1462"/>
      <c r="T17" s="1461"/>
      <c r="U17" s="1462"/>
      <c r="V17" s="1461"/>
      <c r="W17" s="1462"/>
      <c r="X17" s="1455"/>
      <c r="Y17" s="3705"/>
      <c r="Z17" s="1463"/>
      <c r="AA17" s="1464">
        <v>1</v>
      </c>
      <c r="AB17" s="1464">
        <v>1</v>
      </c>
      <c r="AC17" s="1464">
        <v>1</v>
      </c>
    </row>
    <row r="18" spans="1:29" ht="28.5">
      <c r="A18" s="509"/>
      <c r="B18" s="2355" t="s">
        <v>2275</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8"/>
      <c r="L18" s="1976"/>
      <c r="M18" s="1968"/>
      <c r="N18" s="1968"/>
      <c r="O18" s="1975"/>
      <c r="P18" s="3705"/>
      <c r="Q18" s="2349" t="str">
        <f>B18</f>
        <v>基础设施水平</v>
      </c>
      <c r="R18" s="1461" t="s">
        <v>8</v>
      </c>
      <c r="S18" s="1462">
        <f>F18</f>
        <v>100</v>
      </c>
      <c r="T18" s="1461" t="s">
        <v>8</v>
      </c>
      <c r="U18" s="1462">
        <f>H18</f>
        <v>100</v>
      </c>
      <c r="V18" s="1461" t="s">
        <v>8</v>
      </c>
      <c r="W18" s="1462">
        <f>J18</f>
        <v>100</v>
      </c>
      <c r="X18" s="2351"/>
      <c r="Y18" s="3705"/>
      <c r="Z18" s="2350" t="str">
        <f>Q18</f>
        <v>基础设施水平</v>
      </c>
      <c r="AA18" s="1464">
        <f t="shared" ref="AA18" si="8">D18/F18</f>
        <v>1</v>
      </c>
      <c r="AB18" s="1464">
        <f t="shared" ref="AB18" si="9">D18/H18</f>
        <v>1</v>
      </c>
      <c r="AC18" s="1464">
        <f t="shared" ref="AC18" si="10">D18/J18</f>
        <v>1</v>
      </c>
    </row>
    <row r="19" spans="1:29" ht="15">
      <c r="A19" s="509"/>
      <c r="B19" s="555"/>
      <c r="C19" s="845"/>
      <c r="D19" s="536"/>
      <c r="E19" s="845"/>
      <c r="F19" s="540"/>
      <c r="G19" s="845"/>
      <c r="H19" s="532"/>
      <c r="I19" s="553"/>
      <c r="J19" s="532"/>
      <c r="K19" s="2366"/>
      <c r="L19" s="1976"/>
      <c r="M19" s="1968"/>
      <c r="N19" s="1968"/>
      <c r="O19" s="1975"/>
      <c r="P19" s="3705"/>
      <c r="Q19" s="2349"/>
      <c r="R19" s="1461"/>
      <c r="S19" s="1462"/>
      <c r="T19" s="1461"/>
      <c r="U19" s="1462"/>
      <c r="V19" s="1461"/>
      <c r="W19" s="1462"/>
      <c r="X19" s="2351"/>
      <c r="Y19" s="3705"/>
      <c r="Z19" s="2350"/>
      <c r="AA19" s="1464">
        <v>1</v>
      </c>
      <c r="AB19" s="1464">
        <v>1</v>
      </c>
      <c r="AC19" s="1464">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8"/>
      <c r="L20" s="1976"/>
      <c r="M20" s="1968"/>
      <c r="N20" s="1968"/>
      <c r="O20" s="1975"/>
      <c r="P20" s="3705"/>
      <c r="Q20" s="1460" t="str">
        <f>B20</f>
        <v>自然及人文环境</v>
      </c>
      <c r="R20" s="1461" t="s">
        <v>8</v>
      </c>
      <c r="S20" s="1462">
        <f>F20</f>
        <v>100</v>
      </c>
      <c r="T20" s="1461" t="s">
        <v>8</v>
      </c>
      <c r="U20" s="1462">
        <f>H20</f>
        <v>100</v>
      </c>
      <c r="V20" s="1461" t="s">
        <v>8</v>
      </c>
      <c r="W20" s="1462">
        <f>J20</f>
        <v>100</v>
      </c>
      <c r="X20" s="1455"/>
      <c r="Y20" s="3705"/>
      <c r="Z20" s="1463" t="str">
        <f>Q20</f>
        <v>自然及人文环境</v>
      </c>
      <c r="AA20" s="1464">
        <f t="shared" si="3"/>
        <v>1</v>
      </c>
      <c r="AB20" s="1464">
        <f t="shared" si="4"/>
        <v>1</v>
      </c>
      <c r="AC20" s="1464">
        <f t="shared" si="5"/>
        <v>1</v>
      </c>
    </row>
    <row r="21" spans="1:29" ht="15">
      <c r="A21" s="509"/>
      <c r="B21" s="572"/>
      <c r="C21" s="553"/>
      <c r="D21" s="532"/>
      <c r="E21" s="553"/>
      <c r="F21" s="534"/>
      <c r="G21" s="553"/>
      <c r="H21" s="532"/>
      <c r="I21" s="553"/>
      <c r="J21" s="532"/>
      <c r="K21" s="869"/>
      <c r="L21" s="1976"/>
      <c r="M21" s="1968"/>
      <c r="N21" s="1968"/>
      <c r="O21" s="1975"/>
      <c r="P21" s="3705"/>
      <c r="Q21" s="1460"/>
      <c r="R21" s="1461"/>
      <c r="S21" s="1462"/>
      <c r="T21" s="1461"/>
      <c r="U21" s="1462"/>
      <c r="V21" s="1461"/>
      <c r="W21" s="1462"/>
      <c r="X21" s="1455"/>
      <c r="Y21" s="3705"/>
      <c r="Z21" s="1463"/>
      <c r="AA21" s="1464">
        <v>1</v>
      </c>
      <c r="AB21" s="1464">
        <v>1</v>
      </c>
      <c r="AC21" s="1464">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6"/>
      <c r="M22" s="1968"/>
      <c r="N22" s="1968"/>
      <c r="O22" s="1975"/>
      <c r="P22" s="3705"/>
      <c r="Q22" s="1460" t="str">
        <f>B22</f>
        <v>楼层</v>
      </c>
      <c r="R22" s="1461" t="s">
        <v>8</v>
      </c>
      <c r="S22" s="1462">
        <f>F22</f>
        <v>100</v>
      </c>
      <c r="T22" s="1461" t="s">
        <v>8</v>
      </c>
      <c r="U22" s="1462">
        <f>H22</f>
        <v>100</v>
      </c>
      <c r="V22" s="1461" t="s">
        <v>8</v>
      </c>
      <c r="W22" s="1462">
        <f>J22</f>
        <v>100</v>
      </c>
      <c r="X22" s="1455"/>
      <c r="Y22" s="3705"/>
      <c r="Z22" s="1463" t="str">
        <f>Q22</f>
        <v>楼层</v>
      </c>
      <c r="AA22" s="1464">
        <f t="shared" si="3"/>
        <v>1</v>
      </c>
      <c r="AB22" s="1464">
        <f t="shared" si="4"/>
        <v>1</v>
      </c>
      <c r="AC22" s="1464">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6"/>
      <c r="M23" s="1968"/>
      <c r="N23" s="1968"/>
      <c r="O23" s="1975"/>
      <c r="P23" s="3705"/>
      <c r="Q23" s="1460">
        <f>B23</f>
        <v>111</v>
      </c>
      <c r="R23" s="1461" t="s">
        <v>8</v>
      </c>
      <c r="S23" s="1462">
        <f>F23</f>
        <v>100</v>
      </c>
      <c r="T23" s="1461" t="s">
        <v>8</v>
      </c>
      <c r="U23" s="1462">
        <f>H23</f>
        <v>100</v>
      </c>
      <c r="V23" s="1461" t="s">
        <v>8</v>
      </c>
      <c r="W23" s="1462">
        <f>J23</f>
        <v>100</v>
      </c>
      <c r="X23" s="1455"/>
      <c r="Y23" s="3705"/>
      <c r="Z23" s="1463">
        <f>Q23</f>
        <v>111</v>
      </c>
      <c r="AA23" s="1464">
        <f t="shared" si="3"/>
        <v>1</v>
      </c>
      <c r="AB23" s="1464">
        <f t="shared" si="4"/>
        <v>1</v>
      </c>
      <c r="AC23" s="1464">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6"/>
      <c r="M24" s="1968"/>
      <c r="N24" s="1968"/>
      <c r="O24" s="1975"/>
      <c r="P24" s="3705"/>
      <c r="Q24" s="1460">
        <f t="shared" ref="Q24:Q34" si="11">B24</f>
        <v>111</v>
      </c>
      <c r="R24" s="1461" t="s">
        <v>8</v>
      </c>
      <c r="S24" s="1462">
        <f>F24</f>
        <v>100</v>
      </c>
      <c r="T24" s="1461" t="s">
        <v>8</v>
      </c>
      <c r="U24" s="1462">
        <f>H24</f>
        <v>100</v>
      </c>
      <c r="V24" s="1461" t="s">
        <v>8</v>
      </c>
      <c r="W24" s="1462">
        <f>J24</f>
        <v>100</v>
      </c>
      <c r="X24" s="1455"/>
      <c r="Y24" s="3705"/>
      <c r="Z24" s="1463">
        <f>Q24</f>
        <v>111</v>
      </c>
      <c r="AA24" s="1464">
        <f t="shared" si="3"/>
        <v>1</v>
      </c>
      <c r="AB24" s="1464">
        <f t="shared" si="4"/>
        <v>1</v>
      </c>
      <c r="AC24" s="1464">
        <f t="shared" si="5"/>
        <v>1</v>
      </c>
    </row>
    <row r="25" spans="1:29" s="1165" customFormat="1" ht="15.75" thickBot="1">
      <c r="A25" s="513"/>
      <c r="B25" s="514">
        <v>111</v>
      </c>
      <c r="C25" s="910"/>
      <c r="D25" s="911">
        <v>100</v>
      </c>
      <c r="E25" s="910"/>
      <c r="F25" s="912">
        <f>SUMIF(75:75,E25,76:76)-SUMIF(75:75,C25,76:76)+100</f>
        <v>100</v>
      </c>
      <c r="G25" s="910"/>
      <c r="H25" s="911">
        <f>SUMIF(75:75,G25,76:76)-SUMIF(75:75,C25,76:76)+100</f>
        <v>100</v>
      </c>
      <c r="I25" s="910"/>
      <c r="J25" s="911">
        <f>SUMIF(75:75,I25,76:76)-SUMIF(75:75,C25,76:76)+100</f>
        <v>100</v>
      </c>
      <c r="K25" s="558"/>
      <c r="L25" s="1969"/>
      <c r="M25" s="1970"/>
      <c r="N25" s="1970"/>
      <c r="O25" s="1971"/>
      <c r="P25" s="3705"/>
      <c r="Q25" s="1096">
        <f t="shared" si="11"/>
        <v>111</v>
      </c>
      <c r="R25" s="1456" t="s">
        <v>8</v>
      </c>
      <c r="S25" s="1457">
        <f>F25</f>
        <v>100</v>
      </c>
      <c r="T25" s="1456" t="s">
        <v>8</v>
      </c>
      <c r="U25" s="1457">
        <f>H25</f>
        <v>100</v>
      </c>
      <c r="V25" s="1456" t="s">
        <v>8</v>
      </c>
      <c r="W25" s="1457">
        <f>J25</f>
        <v>100</v>
      </c>
      <c r="X25" s="1458"/>
      <c r="Y25" s="3705"/>
      <c r="Z25" s="1095">
        <f>Q25</f>
        <v>111</v>
      </c>
      <c r="AA25" s="1464">
        <f>D25/F25</f>
        <v>1</v>
      </c>
      <c r="AB25" s="1464">
        <f>D25/H25</f>
        <v>1</v>
      </c>
      <c r="AC25" s="1464">
        <f>D25/J25</f>
        <v>1</v>
      </c>
    </row>
    <row r="26" spans="1:29" ht="15">
      <c r="A26" s="2544" t="s">
        <v>2471</v>
      </c>
      <c r="B26" s="170" t="s">
        <v>790</v>
      </c>
      <c r="C26" s="886"/>
      <c r="D26" s="574">
        <v>100</v>
      </c>
      <c r="E26" s="886"/>
      <c r="F26" s="913">
        <f>SUMIF(77:77,E26,78:78)-SUMIF(77:77,C26,78:78)+100</f>
        <v>100</v>
      </c>
      <c r="G26" s="886"/>
      <c r="H26" s="574">
        <f>SUMIF(77:77,G26,78:78)-SUMIF(77:77,C26,78:78)+100</f>
        <v>100</v>
      </c>
      <c r="I26" s="886"/>
      <c r="J26" s="574">
        <f>SUMIF(77:77,I26,78:78)-SUMIF(77:77,C26,78:78)+100</f>
        <v>100</v>
      </c>
      <c r="K26" s="561"/>
      <c r="L26" s="1976"/>
      <c r="M26" s="1968"/>
      <c r="N26" s="1968"/>
      <c r="O26" s="1975"/>
      <c r="P26" s="3706" t="s">
        <v>803</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707" t="s">
        <v>803</v>
      </c>
      <c r="Z26" s="1463" t="str">
        <f t="shared" ref="Z26:Z34" si="15">Q26</f>
        <v>公共部分装修</v>
      </c>
      <c r="AA26" s="1464">
        <f t="shared" si="3"/>
        <v>1</v>
      </c>
      <c r="AB26" s="1464">
        <f t="shared" si="4"/>
        <v>1</v>
      </c>
      <c r="AC26" s="1464">
        <f t="shared" si="5"/>
        <v>1</v>
      </c>
    </row>
    <row r="27" spans="1:29" s="1247" customFormat="1" ht="15">
      <c r="A27" s="580"/>
      <c r="B27" s="504" t="s">
        <v>791</v>
      </c>
      <c r="C27" s="853"/>
      <c r="D27" s="253">
        <v>100</v>
      </c>
      <c r="E27" s="854"/>
      <c r="F27" s="552" t="e">
        <f>LOOKUP(E27,80:80,81:81)-LOOKUP(C27,80:80,81:81)+100</f>
        <v>#N/A</v>
      </c>
      <c r="G27" s="855"/>
      <c r="H27" s="517" t="e">
        <f>LOOKUP(G27,80:80,81:81)-LOOKUP(C27,80:80,81:81)+100</f>
        <v>#N/A</v>
      </c>
      <c r="I27" s="855"/>
      <c r="J27" s="517" t="e">
        <f>LOOKUP(I27,80:80,81:81)-LOOKUP(C27,80:80,81:81)+100</f>
        <v>#N/A</v>
      </c>
      <c r="K27" s="561"/>
      <c r="L27" s="1974"/>
      <c r="M27" s="2004"/>
      <c r="N27" s="2004"/>
      <c r="O27" s="1977"/>
      <c r="P27" s="3707"/>
      <c r="Q27" s="1489" t="str">
        <f t="shared" si="11"/>
        <v>成新率</v>
      </c>
      <c r="R27" s="1465" t="s">
        <v>8</v>
      </c>
      <c r="S27" s="1466" t="e">
        <f t="shared" si="12"/>
        <v>#N/A</v>
      </c>
      <c r="T27" s="1465" t="s">
        <v>8</v>
      </c>
      <c r="U27" s="1466" t="e">
        <f t="shared" si="13"/>
        <v>#N/A</v>
      </c>
      <c r="V27" s="1465" t="s">
        <v>8</v>
      </c>
      <c r="W27" s="1466" t="e">
        <f t="shared" si="14"/>
        <v>#N/A</v>
      </c>
      <c r="X27" s="1467"/>
      <c r="Y27" s="3707"/>
      <c r="Z27" s="1468" t="str">
        <f t="shared" si="15"/>
        <v>成新率</v>
      </c>
      <c r="AA27" s="1464" t="e">
        <f t="shared" si="3"/>
        <v>#N/A</v>
      </c>
      <c r="AB27" s="1464" t="e">
        <f t="shared" si="4"/>
        <v>#N/A</v>
      </c>
      <c r="AC27" s="1464"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6"/>
      <c r="M28" s="1968"/>
      <c r="N28" s="1968"/>
      <c r="O28" s="1975"/>
      <c r="P28" s="3707"/>
      <c r="Q28" s="1460" t="str">
        <f t="shared" si="11"/>
        <v>物业等级</v>
      </c>
      <c r="R28" s="1461" t="s">
        <v>8</v>
      </c>
      <c r="S28" s="1462">
        <f t="shared" si="12"/>
        <v>100</v>
      </c>
      <c r="T28" s="1461" t="s">
        <v>8</v>
      </c>
      <c r="U28" s="1462">
        <f t="shared" si="13"/>
        <v>100</v>
      </c>
      <c r="V28" s="1461" t="s">
        <v>8</v>
      </c>
      <c r="W28" s="1462">
        <f t="shared" si="14"/>
        <v>100</v>
      </c>
      <c r="X28" s="1455"/>
      <c r="Y28" s="3707"/>
      <c r="Z28" s="1463" t="str">
        <f t="shared" si="15"/>
        <v>物业等级</v>
      </c>
      <c r="AA28" s="1464">
        <f t="shared" si="3"/>
        <v>1</v>
      </c>
      <c r="AB28" s="1464">
        <f t="shared" si="4"/>
        <v>1</v>
      </c>
      <c r="AC28" s="1464">
        <f t="shared" si="5"/>
        <v>1</v>
      </c>
    </row>
    <row r="29" spans="1:29" ht="15">
      <c r="A29" s="571"/>
      <c r="B29" s="504" t="s">
        <v>804</v>
      </c>
      <c r="C29" s="902"/>
      <c r="D29" s="517">
        <v>100</v>
      </c>
      <c r="E29" s="902"/>
      <c r="F29" s="552">
        <f>SUMIF(84:84,E29,85:85)-SUMIF(84:84,C29,85:85)+100</f>
        <v>100</v>
      </c>
      <c r="G29" s="902"/>
      <c r="H29" s="517">
        <f>SUMIF(84:84,G29,85:85)-SUMIF(84:84,C29,85:85)+100</f>
        <v>100</v>
      </c>
      <c r="I29" s="902"/>
      <c r="J29" s="517">
        <f>SUMIF(84:84,I29,85:85)-SUMIF(84:84,C29,85:85)+100</f>
        <v>100</v>
      </c>
      <c r="K29" s="561"/>
      <c r="L29" s="1976"/>
      <c r="M29" s="1968"/>
      <c r="N29" s="1968"/>
      <c r="O29" s="1975"/>
      <c r="P29" s="3707"/>
      <c r="Q29" s="1460" t="str">
        <f t="shared" si="11"/>
        <v>有无电梯</v>
      </c>
      <c r="R29" s="1461" t="s">
        <v>8</v>
      </c>
      <c r="S29" s="1462">
        <f t="shared" si="12"/>
        <v>100</v>
      </c>
      <c r="T29" s="1461" t="s">
        <v>8</v>
      </c>
      <c r="U29" s="1462">
        <f t="shared" si="13"/>
        <v>100</v>
      </c>
      <c r="V29" s="1461" t="s">
        <v>8</v>
      </c>
      <c r="W29" s="1462">
        <f t="shared" si="14"/>
        <v>100</v>
      </c>
      <c r="X29" s="1455"/>
      <c r="Y29" s="3707"/>
      <c r="Z29" s="1463" t="str">
        <f t="shared" si="15"/>
        <v>有无电梯</v>
      </c>
      <c r="AA29" s="1464">
        <f t="shared" si="3"/>
        <v>1</v>
      </c>
      <c r="AB29" s="1464">
        <f t="shared" si="4"/>
        <v>1</v>
      </c>
      <c r="AC29" s="1464">
        <f t="shared" si="5"/>
        <v>1</v>
      </c>
    </row>
    <row r="30" spans="1:29" ht="15">
      <c r="A30" s="571"/>
      <c r="B30" s="504" t="s">
        <v>805</v>
      </c>
      <c r="C30" s="850"/>
      <c r="D30" s="517">
        <v>100</v>
      </c>
      <c r="E30" s="850"/>
      <c r="F30" s="552" t="e">
        <f>LOOKUP(E30,87:87,88:88)-LOOKUP(C30,87:87,88:88)+100</f>
        <v>#N/A</v>
      </c>
      <c r="G30" s="850"/>
      <c r="H30" s="517" t="e">
        <f>LOOKUP(G30,87:87,88:88)-LOOKUP(C30,87:87,88:88)+100</f>
        <v>#N/A</v>
      </c>
      <c r="I30" s="850"/>
      <c r="J30" s="517" t="e">
        <f>LOOKUP(I30,87:87,88:88)-LOOKUP(C30,87:87,88:88)+100</f>
        <v>#N/A</v>
      </c>
      <c r="K30" s="558"/>
      <c r="L30" s="1976"/>
      <c r="M30" s="1968"/>
      <c r="N30" s="1968"/>
      <c r="O30" s="1975"/>
      <c r="P30" s="3707"/>
      <c r="Q30" s="1460" t="str">
        <f t="shared" si="11"/>
        <v>建筑面积</v>
      </c>
      <c r="R30" s="1461" t="s">
        <v>8</v>
      </c>
      <c r="S30" s="1462" t="e">
        <f t="shared" si="12"/>
        <v>#N/A</v>
      </c>
      <c r="T30" s="1461" t="s">
        <v>8</v>
      </c>
      <c r="U30" s="1462" t="e">
        <f t="shared" si="13"/>
        <v>#N/A</v>
      </c>
      <c r="V30" s="1461" t="s">
        <v>8</v>
      </c>
      <c r="W30" s="1462" t="e">
        <f t="shared" si="14"/>
        <v>#N/A</v>
      </c>
      <c r="X30" s="1455"/>
      <c r="Y30" s="3707"/>
      <c r="Z30" s="1463" t="str">
        <f t="shared" si="15"/>
        <v>建筑面积</v>
      </c>
      <c r="AA30" s="1464" t="e">
        <f t="shared" si="3"/>
        <v>#N/A</v>
      </c>
      <c r="AB30" s="1464" t="e">
        <f t="shared" si="4"/>
        <v>#N/A</v>
      </c>
      <c r="AC30" s="1464" t="e">
        <f t="shared" si="5"/>
        <v>#N/A</v>
      </c>
    </row>
    <row r="31" spans="1:29" s="1165" customFormat="1" ht="15">
      <c r="A31" s="577"/>
      <c r="B31" s="504" t="s">
        <v>806</v>
      </c>
      <c r="C31" s="902"/>
      <c r="D31" s="253">
        <v>100</v>
      </c>
      <c r="E31" s="902"/>
      <c r="F31" s="552">
        <f>SUMIF(89:89,E31,90:90)-SUMIF(89:89,C31,90:90)+100</f>
        <v>100</v>
      </c>
      <c r="G31" s="902"/>
      <c r="H31" s="517">
        <f>SUMIF(89:89,G31,90:90)-SUMIF(89:89,C31,90:90)+100</f>
        <v>100</v>
      </c>
      <c r="I31" s="902"/>
      <c r="J31" s="517">
        <f>SUMIF(89:89,I31,90:90)-SUMIF(89:89,C31,90:90)+100</f>
        <v>100</v>
      </c>
      <c r="K31" s="561"/>
      <c r="L31" s="1969"/>
      <c r="M31" s="1970"/>
      <c r="N31" s="1970"/>
      <c r="O31" s="1971"/>
      <c r="P31" s="3707"/>
      <c r="Q31" s="1096" t="str">
        <f t="shared" si="11"/>
        <v>是否封闭</v>
      </c>
      <c r="R31" s="1456" t="s">
        <v>8</v>
      </c>
      <c r="S31" s="1457">
        <f t="shared" si="12"/>
        <v>100</v>
      </c>
      <c r="T31" s="1456" t="s">
        <v>8</v>
      </c>
      <c r="U31" s="1457">
        <f t="shared" si="13"/>
        <v>100</v>
      </c>
      <c r="V31" s="1456" t="s">
        <v>8</v>
      </c>
      <c r="W31" s="1457">
        <f t="shared" si="14"/>
        <v>100</v>
      </c>
      <c r="X31" s="1458"/>
      <c r="Y31" s="3707"/>
      <c r="Z31" s="1095" t="str">
        <f t="shared" si="15"/>
        <v>是否封闭</v>
      </c>
      <c r="AA31" s="1459">
        <f t="shared" si="3"/>
        <v>1</v>
      </c>
      <c r="AB31" s="1459">
        <f t="shared" si="4"/>
        <v>1</v>
      </c>
      <c r="AC31" s="1459">
        <f t="shared" si="5"/>
        <v>1</v>
      </c>
    </row>
    <row r="32" spans="1:29" ht="15">
      <c r="A32" s="571"/>
      <c r="B32" s="514">
        <v>111</v>
      </c>
      <c r="C32" s="505"/>
      <c r="D32" s="517">
        <v>100</v>
      </c>
      <c r="E32" s="850"/>
      <c r="F32" s="552">
        <f>SUMIF(91:91,E32,92:92)-SUMIF(91:91,C32,92:92)+100</f>
        <v>100</v>
      </c>
      <c r="G32" s="850"/>
      <c r="H32" s="517">
        <f>SUMIF(91:91,G32,92:92)-SUMIF(91:91,C32,92:92)+100</f>
        <v>100</v>
      </c>
      <c r="I32" s="850"/>
      <c r="J32" s="517">
        <f>SUMIF(91:91,I32,92:92)-SUMIF(91:91,C32,92:92)+100</f>
        <v>100</v>
      </c>
      <c r="K32" s="558"/>
      <c r="L32" s="1976"/>
      <c r="M32" s="1968"/>
      <c r="N32" s="1968"/>
      <c r="O32" s="1975"/>
      <c r="P32" s="3707" t="s">
        <v>533</v>
      </c>
      <c r="Q32" s="1460">
        <f t="shared" si="11"/>
        <v>111</v>
      </c>
      <c r="R32" s="1461" t="s">
        <v>8</v>
      </c>
      <c r="S32" s="1462">
        <f t="shared" si="12"/>
        <v>100</v>
      </c>
      <c r="T32" s="1461" t="s">
        <v>8</v>
      </c>
      <c r="U32" s="1462">
        <f t="shared" si="13"/>
        <v>100</v>
      </c>
      <c r="V32" s="1461" t="s">
        <v>8</v>
      </c>
      <c r="W32" s="1462">
        <f t="shared" si="14"/>
        <v>100</v>
      </c>
      <c r="X32" s="1455"/>
      <c r="Y32" s="3707" t="s">
        <v>533</v>
      </c>
      <c r="Z32" s="1463">
        <f t="shared" si="15"/>
        <v>111</v>
      </c>
      <c r="AA32" s="1464">
        <f t="shared" si="3"/>
        <v>1</v>
      </c>
      <c r="AB32" s="1464">
        <f t="shared" si="4"/>
        <v>1</v>
      </c>
      <c r="AC32" s="1464">
        <f t="shared" si="5"/>
        <v>1</v>
      </c>
    </row>
    <row r="33" spans="1:29" ht="15">
      <c r="A33" s="571"/>
      <c r="B33" s="514">
        <v>111</v>
      </c>
      <c r="C33" s="505"/>
      <c r="D33" s="517">
        <v>100</v>
      </c>
      <c r="E33" s="850"/>
      <c r="F33" s="552">
        <f>SUMIF(93:93,E33,94:94)-SUMIF(93:93,C33,94:94)+100</f>
        <v>100</v>
      </c>
      <c r="G33" s="850"/>
      <c r="H33" s="517">
        <f>SUMIF(93:93,G33,94:94)-SUMIF(93:93,C33,94:94)+100</f>
        <v>100</v>
      </c>
      <c r="I33" s="850"/>
      <c r="J33" s="517">
        <f>SUMIF(93:93,I33,94:94)-SUMIF(93:93,C33,94:94)+100</f>
        <v>100</v>
      </c>
      <c r="K33" s="558"/>
      <c r="L33" s="1976"/>
      <c r="M33" s="1968"/>
      <c r="N33" s="1968"/>
      <c r="O33" s="1975"/>
      <c r="P33" s="3707"/>
      <c r="Q33" s="1460">
        <f t="shared" si="11"/>
        <v>111</v>
      </c>
      <c r="R33" s="1461" t="s">
        <v>8</v>
      </c>
      <c r="S33" s="1462">
        <f t="shared" si="12"/>
        <v>100</v>
      </c>
      <c r="T33" s="1461" t="s">
        <v>8</v>
      </c>
      <c r="U33" s="1462">
        <f t="shared" si="13"/>
        <v>100</v>
      </c>
      <c r="V33" s="1461" t="s">
        <v>8</v>
      </c>
      <c r="W33" s="1462">
        <f t="shared" si="14"/>
        <v>100</v>
      </c>
      <c r="X33" s="1455"/>
      <c r="Y33" s="3707"/>
      <c r="Z33" s="1463">
        <f t="shared" si="15"/>
        <v>111</v>
      </c>
      <c r="AA33" s="1464">
        <f t="shared" si="3"/>
        <v>1</v>
      </c>
      <c r="AB33" s="1464">
        <f t="shared" si="4"/>
        <v>1</v>
      </c>
      <c r="AC33" s="1464">
        <f t="shared" si="5"/>
        <v>1</v>
      </c>
    </row>
    <row r="34" spans="1:29" ht="15.75" thickBot="1">
      <c r="A34" s="856"/>
      <c r="B34" s="521">
        <v>111</v>
      </c>
      <c r="C34" s="522"/>
      <c r="D34" s="523">
        <v>100</v>
      </c>
      <c r="E34" s="914"/>
      <c r="F34" s="838">
        <f>SUMIF(95:95,E34,96:96)-SUMIF(95:95,C34,96:96)+100</f>
        <v>100</v>
      </c>
      <c r="G34" s="914"/>
      <c r="H34" s="523">
        <f>SUMIF(95:95,G34,96:96)-SUMIF(95:95,C34,96:96)+100</f>
        <v>100</v>
      </c>
      <c r="I34" s="914"/>
      <c r="J34" s="523">
        <f>SUMIF(95:95,I34,96:96)-SUMIF(95:95,C34,96:96)+100</f>
        <v>100</v>
      </c>
      <c r="K34" s="558"/>
      <c r="L34" s="1976"/>
      <c r="M34" s="1968"/>
      <c r="N34" s="1968"/>
      <c r="O34" s="1975"/>
      <c r="P34" s="3707"/>
      <c r="Q34" s="1460">
        <f t="shared" si="11"/>
        <v>111</v>
      </c>
      <c r="R34" s="1461" t="s">
        <v>8</v>
      </c>
      <c r="S34" s="1462">
        <f t="shared" si="12"/>
        <v>100</v>
      </c>
      <c r="T34" s="1461" t="s">
        <v>8</v>
      </c>
      <c r="U34" s="1462">
        <f t="shared" si="13"/>
        <v>100</v>
      </c>
      <c r="V34" s="1461" t="s">
        <v>8</v>
      </c>
      <c r="W34" s="1462">
        <f t="shared" si="14"/>
        <v>100</v>
      </c>
      <c r="X34" s="1455"/>
      <c r="Y34" s="3707"/>
      <c r="Z34" s="1463">
        <f t="shared" si="15"/>
        <v>111</v>
      </c>
      <c r="AA34" s="1464">
        <f t="shared" si="3"/>
        <v>1</v>
      </c>
      <c r="AB34" s="1464">
        <f t="shared" si="4"/>
        <v>1</v>
      </c>
      <c r="AC34" s="1464">
        <f t="shared" si="5"/>
        <v>1</v>
      </c>
    </row>
    <row r="35" spans="1:29" ht="15">
      <c r="A35" s="584" t="s">
        <v>718</v>
      </c>
      <c r="B35" s="857"/>
      <c r="C35" s="2390" t="s">
        <v>1</v>
      </c>
      <c r="D35" s="2391"/>
      <c r="E35" s="2392"/>
      <c r="F35" s="2393"/>
      <c r="G35" s="2394"/>
      <c r="H35" s="2395"/>
      <c r="I35" s="2392"/>
      <c r="J35" s="2395"/>
      <c r="K35" s="1494"/>
      <c r="L35" s="1978"/>
      <c r="M35" s="1979"/>
      <c r="N35" s="1968"/>
      <c r="O35" s="1979"/>
      <c r="P35" s="3671" t="str">
        <f>A35</f>
        <v>成交单价（元/平方米）</v>
      </c>
      <c r="Q35" s="3671"/>
      <c r="R35" s="3801">
        <f>E35</f>
        <v>0</v>
      </c>
      <c r="S35" s="3801"/>
      <c r="T35" s="3801">
        <f>G35</f>
        <v>0</v>
      </c>
      <c r="U35" s="3801"/>
      <c r="V35" s="3801">
        <f>I35</f>
        <v>0</v>
      </c>
      <c r="W35" s="3801"/>
      <c r="X35" s="1450"/>
      <c r="Y35" s="1469"/>
      <c r="Z35" s="1450"/>
      <c r="AA35" s="1450"/>
      <c r="AB35" s="1450"/>
      <c r="AC35" s="1450"/>
    </row>
    <row r="36" spans="1:29" ht="15.75" thickBot="1">
      <c r="A36" s="592" t="s">
        <v>2476</v>
      </c>
      <c r="B36" s="858"/>
      <c r="C36" s="2396" t="e">
        <f>R37</f>
        <v>#DIV/0!</v>
      </c>
      <c r="D36" s="2919" t="s">
        <v>2702</v>
      </c>
      <c r="E36" s="2397" t="e">
        <f>R36</f>
        <v>#DIV/0!</v>
      </c>
      <c r="F36" s="2920"/>
      <c r="G36" s="2396" t="e">
        <f>T36</f>
        <v>#DIV/0!</v>
      </c>
      <c r="H36" s="2920"/>
      <c r="I36" s="2397" t="e">
        <f>V36</f>
        <v>#DIV/0!</v>
      </c>
      <c r="J36" s="2920"/>
      <c r="K36" s="2928">
        <f>F36+H36+J36</f>
        <v>0</v>
      </c>
      <c r="L36" s="1978"/>
      <c r="M36" s="1979"/>
      <c r="N36" s="1968"/>
      <c r="O36" s="1979"/>
      <c r="P36" s="3671" t="str">
        <f>A36</f>
        <v>比较价格（元/平方米）</v>
      </c>
      <c r="Q36" s="3671"/>
      <c r="R36" s="3801" t="e">
        <f>IF(F1="售价",ROUND(PRODUCT(R35,AA7:AA34),0),ROUND(PRODUCT(R35,AA7:AA34),1))</f>
        <v>#DIV/0!</v>
      </c>
      <c r="S36" s="3801"/>
      <c r="T36" s="3801" t="e">
        <f>IF(F1="售价",ROUND(PRODUCT(T35,AB7:AB34),0),ROUND(PRODUCT(T35,AB7:AB34),1))</f>
        <v>#DIV/0!</v>
      </c>
      <c r="U36" s="3801"/>
      <c r="V36" s="3801" t="e">
        <f>IF(F1="售价",ROUND(PRODUCT(V35,AC7:AC34),0),ROUND(PRODUCT(V35,AC7:AC34),1))</f>
        <v>#DIV/0!</v>
      </c>
      <c r="W36" s="3801"/>
      <c r="X36" s="1450"/>
      <c r="Y36" s="1450"/>
      <c r="Z36" s="1450"/>
      <c r="AA36" s="1450"/>
      <c r="AB36" s="1450"/>
      <c r="AC36" s="1450"/>
    </row>
    <row r="37" spans="1:29" ht="15.75" thickBot="1">
      <c r="A37" s="596" t="s">
        <v>2636</v>
      </c>
      <c r="B37" s="597"/>
      <c r="C37" s="2398" t="e">
        <f>R37</f>
        <v>#DIV/0!</v>
      </c>
      <c r="D37" s="2398"/>
      <c r="E37" s="2398"/>
      <c r="F37" s="2398"/>
      <c r="G37" s="2398"/>
      <c r="H37" s="2398"/>
      <c r="I37" s="2398"/>
      <c r="J37" s="2398"/>
      <c r="K37" s="1495"/>
      <c r="L37" s="1978"/>
      <c r="M37" s="1979"/>
      <c r="N37" s="1979"/>
      <c r="O37" s="1979"/>
      <c r="P37" s="3708" t="str">
        <f>A37</f>
        <v>估价对象XX用房的比较价格（楼面单价，元/平方米）</v>
      </c>
      <c r="Q37" s="3709"/>
      <c r="R37" s="3800" t="e">
        <f>IF(F1="售价",ROUND(IF(D36="简单平均",AVERAGE(R36:W36),R36*F36+T36*H36+V36*J36),0),ROUND(IF(D36="简单平均",AVERAGE(R36:V36),R36*F36+T36*H36+V36*J36),1))</f>
        <v>#DIV/0!</v>
      </c>
      <c r="S37" s="3800"/>
      <c r="T37" s="3800"/>
      <c r="U37" s="3800"/>
      <c r="V37" s="3800"/>
      <c r="W37" s="3800"/>
      <c r="X37" s="1450"/>
      <c r="Y37" s="1450"/>
      <c r="Z37" s="1450"/>
      <c r="AA37" s="1450"/>
      <c r="AB37" s="1450"/>
      <c r="AC37" s="1450"/>
    </row>
    <row r="38" spans="1:29">
      <c r="A38" s="3119"/>
      <c r="B38" s="3119"/>
      <c r="C38" s="3119"/>
      <c r="D38" s="3119"/>
      <c r="E38" s="3119"/>
      <c r="F38" s="3119"/>
      <c r="G38" s="3121"/>
      <c r="H38" s="3119"/>
      <c r="I38" s="3119"/>
      <c r="J38" s="3119"/>
      <c r="K38" s="3122"/>
      <c r="L38" s="1983"/>
      <c r="M38" s="1979"/>
      <c r="N38" s="1979"/>
      <c r="O38" s="1979"/>
      <c r="P38" s="1979"/>
      <c r="Q38" s="1979"/>
      <c r="R38" s="1979"/>
      <c r="S38" s="1979"/>
      <c r="T38" s="1979"/>
      <c r="U38" s="1979"/>
      <c r="V38" s="1979"/>
      <c r="W38" s="1979"/>
      <c r="X38" s="1979"/>
      <c r="Y38" s="1979"/>
      <c r="Z38" s="1979"/>
      <c r="AA38" s="1979"/>
      <c r="AB38" s="1979"/>
      <c r="AC38" s="1979"/>
    </row>
    <row r="39" spans="1:29">
      <c r="A39" s="3119"/>
      <c r="B39" s="3119"/>
      <c r="C39" s="3119"/>
      <c r="D39" s="3119"/>
      <c r="E39" s="3119"/>
      <c r="F39" s="3119"/>
      <c r="G39" s="3119"/>
      <c r="H39" s="3119"/>
      <c r="I39" s="3119"/>
      <c r="J39" s="3119"/>
      <c r="K39" s="3122"/>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19"/>
      <c r="B40" s="3119"/>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2"/>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19"/>
      <c r="B41" s="3119"/>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2"/>
      <c r="L41" s="1983"/>
      <c r="M41" s="1979"/>
      <c r="N41" s="1979"/>
      <c r="O41" s="1979"/>
      <c r="P41" s="1979"/>
      <c r="Q41" s="1979"/>
      <c r="R41" s="1979"/>
      <c r="S41" s="1979"/>
      <c r="T41" s="1979"/>
      <c r="U41" s="1979"/>
      <c r="V41" s="1979"/>
      <c r="W41" s="1979"/>
      <c r="X41" s="1979"/>
      <c r="Y41" s="1979"/>
      <c r="Z41" s="1979"/>
      <c r="AA41" s="1979"/>
      <c r="AB41" s="1979"/>
      <c r="AC41" s="1979"/>
    </row>
    <row r="42" spans="1:29" s="1252" customFormat="1" ht="13.5" customHeight="1">
      <c r="A42" s="3120"/>
      <c r="B42" s="3120"/>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3"/>
      <c r="L42" s="1986"/>
      <c r="M42" s="1980"/>
      <c r="N42" s="1980"/>
      <c r="O42" s="1980"/>
      <c r="P42" s="1980"/>
      <c r="Q42" s="1980"/>
      <c r="R42" s="1980"/>
      <c r="S42" s="1980"/>
      <c r="T42" s="1980"/>
      <c r="U42" s="1980"/>
      <c r="V42" s="1980"/>
      <c r="W42" s="1980"/>
      <c r="X42" s="1980"/>
      <c r="Y42" s="1980"/>
      <c r="Z42" s="1980"/>
      <c r="AA42" s="1980"/>
      <c r="AB42" s="1980"/>
      <c r="AC42" s="1980"/>
    </row>
    <row r="43" spans="1:29" s="1252"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75" thickBot="1">
      <c r="A45" s="1472" t="s">
        <v>556</v>
      </c>
      <c r="B45" s="1450"/>
      <c r="C45" s="1471"/>
      <c r="D45" s="1471"/>
      <c r="E45" s="1471"/>
      <c r="F45" s="1473"/>
      <c r="G45" s="1473"/>
      <c r="H45" s="1471"/>
      <c r="I45" s="1471"/>
      <c r="J45" s="1471"/>
      <c r="K45" s="1474"/>
      <c r="L45" s="1470"/>
      <c r="M45" s="1471"/>
      <c r="N45" s="1990"/>
      <c r="O45" s="1990"/>
      <c r="P45" s="1990"/>
      <c r="Q45" s="1991"/>
      <c r="R45" s="1979"/>
      <c r="S45" s="1979"/>
      <c r="T45" s="1979"/>
      <c r="U45" s="1979"/>
      <c r="V45" s="1979"/>
      <c r="W45" s="1979"/>
      <c r="X45" s="1979"/>
      <c r="Y45" s="1979"/>
      <c r="Z45" s="1979"/>
      <c r="AA45" s="1979"/>
      <c r="AB45" s="1979"/>
      <c r="AC45" s="1979"/>
    </row>
    <row r="46" spans="1:29" s="1254" customFormat="1" ht="15">
      <c r="A46" s="620" t="s">
        <v>512</v>
      </c>
      <c r="B46" s="621"/>
      <c r="C46" s="2439" t="str">
        <f>YEAR(C7)&amp;"-"&amp;MONTH(C7)</f>
        <v>2022-11</v>
      </c>
      <c r="D46" s="2441">
        <f>EDATE(C46,-1)</f>
        <v>44835</v>
      </c>
      <c r="E46" s="2441">
        <f t="shared" ref="E46:O46" si="16">EDATE(D46,-1)</f>
        <v>44805</v>
      </c>
      <c r="F46" s="2441">
        <f t="shared" si="16"/>
        <v>44774</v>
      </c>
      <c r="G46" s="2441">
        <f t="shared" si="16"/>
        <v>44743</v>
      </c>
      <c r="H46" s="2441">
        <f t="shared" si="16"/>
        <v>44713</v>
      </c>
      <c r="I46" s="2441">
        <f t="shared" si="16"/>
        <v>44682</v>
      </c>
      <c r="J46" s="2441">
        <f t="shared" si="16"/>
        <v>44652</v>
      </c>
      <c r="K46" s="2441">
        <f t="shared" si="16"/>
        <v>44621</v>
      </c>
      <c r="L46" s="2441">
        <f t="shared" si="16"/>
        <v>44593</v>
      </c>
      <c r="M46" s="2441">
        <f t="shared" si="16"/>
        <v>44562</v>
      </c>
      <c r="N46" s="2441">
        <f t="shared" si="16"/>
        <v>44531</v>
      </c>
      <c r="O46" s="2441">
        <f t="shared" si="16"/>
        <v>44501</v>
      </c>
      <c r="P46" s="1993"/>
      <c r="Q46" s="1994"/>
      <c r="R46" s="1994"/>
      <c r="S46" s="1994"/>
      <c r="T46" s="1994"/>
      <c r="U46" s="1994"/>
      <c r="V46" s="1994"/>
      <c r="W46" s="1994"/>
      <c r="X46" s="1994"/>
      <c r="Y46" s="1994"/>
      <c r="Z46" s="1994"/>
      <c r="AA46" s="1994"/>
      <c r="AB46" s="1994"/>
      <c r="AC46" s="1994"/>
    </row>
    <row r="47" spans="1:29" s="1165" customFormat="1" ht="15">
      <c r="A47" s="622"/>
      <c r="B47" s="623"/>
      <c r="C47" s="624">
        <v>100</v>
      </c>
      <c r="D47" s="625"/>
      <c r="E47" s="625"/>
      <c r="F47" s="625"/>
      <c r="G47" s="625"/>
      <c r="H47" s="625"/>
      <c r="I47" s="625"/>
      <c r="J47" s="625"/>
      <c r="K47" s="625"/>
      <c r="L47" s="625"/>
      <c r="M47" s="626"/>
      <c r="N47" s="625"/>
      <c r="O47" s="627"/>
      <c r="P47" s="1991"/>
      <c r="Q47" s="1857"/>
      <c r="R47" s="1857"/>
      <c r="S47" s="1857"/>
      <c r="T47" s="1857"/>
      <c r="U47" s="1857"/>
      <c r="V47" s="1857"/>
      <c r="W47" s="1857"/>
      <c r="X47" s="1857"/>
      <c r="Y47" s="1857"/>
      <c r="Z47" s="1857"/>
      <c r="AA47" s="1857"/>
      <c r="AB47" s="1857"/>
      <c r="AC47" s="1857"/>
    </row>
    <row r="48" spans="1:29" s="1165" customFormat="1" ht="15.75" thickBot="1">
      <c r="A48" s="628" t="s">
        <v>557</v>
      </c>
      <c r="B48" s="629"/>
      <c r="C48" s="630"/>
      <c r="D48" s="631"/>
      <c r="E48" s="631"/>
      <c r="F48" s="631"/>
      <c r="G48" s="631"/>
      <c r="H48" s="631"/>
      <c r="I48" s="631"/>
      <c r="J48" s="631"/>
      <c r="K48" s="631"/>
      <c r="L48" s="631"/>
      <c r="M48" s="632"/>
      <c r="N48" s="631"/>
      <c r="O48" s="633"/>
      <c r="P48" s="1991"/>
      <c r="Q48" s="1991"/>
      <c r="R48" s="1857"/>
      <c r="S48" s="1857"/>
      <c r="T48" s="1857"/>
      <c r="U48" s="1857"/>
      <c r="V48" s="1857"/>
      <c r="W48" s="1857"/>
      <c r="X48" s="1857"/>
      <c r="Y48" s="1857"/>
      <c r="Z48" s="1857"/>
      <c r="AA48" s="1857"/>
      <c r="AB48" s="1857"/>
      <c r="AC48" s="1857"/>
    </row>
    <row r="49" spans="1:29" s="1165" customFormat="1" ht="15">
      <c r="A49" s="634" t="s">
        <v>514</v>
      </c>
      <c r="B49" s="623"/>
      <c r="C49" s="635" t="s">
        <v>558</v>
      </c>
      <c r="D49" s="636"/>
      <c r="E49" s="636"/>
      <c r="F49" s="636"/>
      <c r="G49" s="636"/>
      <c r="H49" s="636"/>
      <c r="I49" s="636"/>
      <c r="J49" s="636"/>
      <c r="K49" s="636"/>
      <c r="L49" s="637"/>
      <c r="M49" s="638"/>
      <c r="N49" s="1995"/>
      <c r="O49" s="1995"/>
      <c r="P49" s="1996"/>
      <c r="Q49" s="1991"/>
      <c r="R49" s="1857"/>
      <c r="S49" s="1857"/>
      <c r="T49" s="1857"/>
      <c r="U49" s="1857"/>
      <c r="V49" s="1857"/>
      <c r="W49" s="1857"/>
      <c r="X49" s="1857"/>
      <c r="Y49" s="1857"/>
      <c r="Z49" s="1857"/>
      <c r="AA49" s="1857"/>
      <c r="AB49" s="1857"/>
      <c r="AC49" s="1857"/>
    </row>
    <row r="50" spans="1:29" s="1165" customFormat="1" ht="15.75" thickBot="1">
      <c r="A50" s="634"/>
      <c r="B50" s="623"/>
      <c r="C50" s="624">
        <v>100</v>
      </c>
      <c r="D50" s="625"/>
      <c r="E50" s="625"/>
      <c r="F50" s="625"/>
      <c r="G50" s="625"/>
      <c r="H50" s="625"/>
      <c r="I50" s="625"/>
      <c r="J50" s="625"/>
      <c r="K50" s="625"/>
      <c r="L50" s="625"/>
      <c r="M50" s="627"/>
      <c r="N50" s="1995"/>
      <c r="O50" s="1995"/>
      <c r="P50" s="1991"/>
      <c r="Q50" s="1991"/>
      <c r="R50" s="1857"/>
      <c r="S50" s="1857"/>
      <c r="T50" s="1857"/>
      <c r="U50" s="1857"/>
      <c r="V50" s="1857"/>
      <c r="W50" s="1857"/>
      <c r="X50" s="1857"/>
      <c r="Y50" s="1857"/>
      <c r="Z50" s="1857"/>
      <c r="AA50" s="1857"/>
      <c r="AB50" s="1857"/>
      <c r="AC50" s="1857"/>
    </row>
    <row r="51" spans="1:29">
      <c r="A51" s="639" t="s">
        <v>559</v>
      </c>
      <c r="B51" s="640" t="s">
        <v>517</v>
      </c>
      <c r="C51" s="679">
        <f>C9</f>
        <v>0</v>
      </c>
      <c r="D51" s="575"/>
      <c r="E51" s="575"/>
      <c r="F51" s="575"/>
      <c r="G51" s="575"/>
      <c r="H51" s="575"/>
      <c r="I51" s="575"/>
      <c r="J51" s="575"/>
      <c r="K51" s="641"/>
      <c r="L51" s="642"/>
      <c r="M51" s="643"/>
      <c r="N51" s="1997"/>
      <c r="O51" s="1997"/>
      <c r="P51" s="1998"/>
      <c r="Q51" s="1991"/>
      <c r="R51" s="1979"/>
      <c r="S51" s="1979"/>
      <c r="T51" s="1979"/>
      <c r="U51" s="1979"/>
      <c r="V51" s="1979"/>
      <c r="W51" s="1979"/>
      <c r="X51" s="1979"/>
      <c r="Y51" s="1979"/>
      <c r="Z51" s="1979"/>
      <c r="AA51" s="1979"/>
      <c r="AB51" s="1979"/>
      <c r="AC51" s="1979"/>
    </row>
    <row r="52" spans="1:29" ht="15.75" thickBot="1">
      <c r="A52" s="644"/>
      <c r="B52" s="645"/>
      <c r="C52" s="646">
        <v>100</v>
      </c>
      <c r="D52" s="646"/>
      <c r="E52" s="646"/>
      <c r="F52" s="646"/>
      <c r="G52" s="646"/>
      <c r="H52" s="646"/>
      <c r="I52" s="646"/>
      <c r="J52" s="646"/>
      <c r="K52" s="646"/>
      <c r="L52" s="646"/>
      <c r="M52" s="647"/>
      <c r="N52" s="1999"/>
      <c r="O52" s="1999"/>
      <c r="P52" s="1998"/>
      <c r="Q52" s="1991"/>
      <c r="R52" s="1979"/>
      <c r="S52" s="1979"/>
      <c r="T52" s="1979"/>
      <c r="U52" s="1979"/>
      <c r="V52" s="1979"/>
      <c r="W52" s="1979"/>
      <c r="X52" s="1979"/>
      <c r="Y52" s="1979"/>
      <c r="Z52" s="1979"/>
      <c r="AA52" s="1979"/>
      <c r="AB52" s="1979"/>
      <c r="AC52" s="1979"/>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7"/>
      <c r="O53" s="1997"/>
      <c r="P53" s="1998"/>
      <c r="Q53" s="1991"/>
      <c r="R53" s="1979"/>
      <c r="S53" s="1979"/>
      <c r="T53" s="1979"/>
      <c r="U53" s="1979"/>
      <c r="V53" s="1979"/>
      <c r="W53" s="1979"/>
      <c r="X53" s="1979"/>
      <c r="Y53" s="1979"/>
      <c r="Z53" s="1979"/>
      <c r="AA53" s="1979"/>
      <c r="AB53" s="1979"/>
      <c r="AC53" s="1979"/>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1999"/>
      <c r="O54" s="1999"/>
      <c r="P54" s="1998"/>
      <c r="Q54" s="1991"/>
      <c r="R54" s="1979"/>
      <c r="S54" s="1979"/>
      <c r="T54" s="1979"/>
      <c r="U54" s="1979"/>
      <c r="V54" s="1979"/>
      <c r="W54" s="1979"/>
      <c r="X54" s="1979"/>
      <c r="Y54" s="1979"/>
      <c r="Z54" s="1979"/>
      <c r="AA54" s="1979"/>
      <c r="AB54" s="1979"/>
      <c r="AC54" s="1979"/>
    </row>
    <row r="55" spans="1:29" ht="15.75" thickTop="1">
      <c r="A55" s="644"/>
      <c r="B55" s="905">
        <f>B11</f>
        <v>111</v>
      </c>
      <c r="C55" s="518"/>
      <c r="D55" s="518"/>
      <c r="E55" s="518"/>
      <c r="F55" s="518"/>
      <c r="G55" s="518"/>
      <c r="H55" s="518"/>
      <c r="I55" s="518"/>
      <c r="J55" s="518"/>
      <c r="K55" s="659"/>
      <c r="L55" s="660"/>
      <c r="M55" s="661"/>
      <c r="N55" s="1997"/>
      <c r="O55" s="1997"/>
      <c r="P55" s="1998"/>
      <c r="Q55" s="1991"/>
      <c r="R55" s="1979"/>
      <c r="S55" s="1979"/>
      <c r="T55" s="1979"/>
      <c r="U55" s="1979"/>
      <c r="V55" s="1979"/>
      <c r="W55" s="1979"/>
      <c r="X55" s="1979"/>
      <c r="Y55" s="1979"/>
      <c r="Z55" s="1979"/>
      <c r="AA55" s="1979"/>
      <c r="AB55" s="1979"/>
      <c r="AC55" s="1979"/>
    </row>
    <row r="56" spans="1:29" ht="15.75" thickBot="1">
      <c r="A56" s="644"/>
      <c r="B56" s="645"/>
      <c r="C56" s="667"/>
      <c r="D56" s="646"/>
      <c r="E56" s="646"/>
      <c r="F56" s="646"/>
      <c r="G56" s="646"/>
      <c r="H56" s="646"/>
      <c r="I56" s="646"/>
      <c r="J56" s="646"/>
      <c r="K56" s="646"/>
      <c r="L56" s="646"/>
      <c r="M56" s="647"/>
      <c r="N56" s="1999"/>
      <c r="O56" s="1999"/>
      <c r="P56" s="1998"/>
      <c r="Q56" s="1991"/>
      <c r="R56" s="1979"/>
      <c r="S56" s="1979"/>
      <c r="T56" s="1979"/>
      <c r="U56" s="1979"/>
      <c r="V56" s="1979"/>
      <c r="W56" s="1979"/>
      <c r="X56" s="1979"/>
      <c r="Y56" s="1979"/>
      <c r="Z56" s="1979"/>
      <c r="AA56" s="1979"/>
      <c r="AB56" s="1979"/>
      <c r="AC56" s="1979"/>
    </row>
    <row r="57" spans="1:29" s="1247" customFormat="1" ht="15.75" thickTop="1">
      <c r="A57" s="662"/>
      <c r="B57" s="648">
        <f>B12</f>
        <v>111</v>
      </c>
      <c r="C57" s="518"/>
      <c r="D57" s="518"/>
      <c r="E57" s="518"/>
      <c r="F57" s="518"/>
      <c r="G57" s="663"/>
      <c r="H57" s="664"/>
      <c r="I57" s="664"/>
      <c r="J57" s="664"/>
      <c r="K57" s="664"/>
      <c r="L57" s="665"/>
      <c r="M57" s="666"/>
      <c r="N57" s="2000"/>
      <c r="O57" s="2000"/>
      <c r="P57" s="2001"/>
      <c r="Q57" s="2002"/>
      <c r="R57" s="2003"/>
      <c r="S57" s="2003"/>
      <c r="T57" s="2003"/>
      <c r="U57" s="2003"/>
      <c r="V57" s="2003"/>
      <c r="W57" s="2003"/>
      <c r="X57" s="2003"/>
      <c r="Y57" s="2003"/>
      <c r="Z57" s="2003"/>
      <c r="AA57" s="2003"/>
      <c r="AB57" s="2003"/>
      <c r="AC57" s="2003"/>
    </row>
    <row r="58" spans="1:29" s="1247" customFormat="1" ht="15.75" thickBot="1">
      <c r="A58" s="662"/>
      <c r="B58" s="653"/>
      <c r="C58" s="667"/>
      <c r="D58" s="646"/>
      <c r="E58" s="646"/>
      <c r="F58" s="646"/>
      <c r="G58" s="646"/>
      <c r="H58" s="646"/>
      <c r="I58" s="646"/>
      <c r="J58" s="646"/>
      <c r="K58" s="646"/>
      <c r="L58" s="646"/>
      <c r="M58" s="647"/>
      <c r="N58" s="1999"/>
      <c r="O58" s="1999"/>
      <c r="P58" s="2001"/>
      <c r="Q58" s="2002"/>
      <c r="R58" s="2003"/>
      <c r="S58" s="2003"/>
      <c r="T58" s="2003"/>
      <c r="U58" s="2003"/>
      <c r="V58" s="2003"/>
      <c r="W58" s="2003"/>
      <c r="X58" s="2003"/>
      <c r="Y58" s="2003"/>
      <c r="Z58" s="2003"/>
      <c r="AA58" s="2003"/>
      <c r="AB58" s="2003"/>
      <c r="AC58" s="2003"/>
    </row>
    <row r="59" spans="1:29" s="1247" customFormat="1" ht="15.75" thickTop="1">
      <c r="A59" s="662"/>
      <c r="B59" s="648">
        <f>B13</f>
        <v>111</v>
      </c>
      <c r="C59" s="518"/>
      <c r="D59" s="518"/>
      <c r="E59" s="518"/>
      <c r="F59" s="518"/>
      <c r="G59" s="663"/>
      <c r="H59" s="664"/>
      <c r="I59" s="664"/>
      <c r="J59" s="664"/>
      <c r="K59" s="664"/>
      <c r="L59" s="665"/>
      <c r="M59" s="666"/>
      <c r="N59" s="2000"/>
      <c r="O59" s="2000"/>
      <c r="P59" s="2004"/>
      <c r="Q59" s="2005"/>
      <c r="R59" s="2003"/>
      <c r="S59" s="2003"/>
      <c r="T59" s="2003"/>
      <c r="U59" s="2003"/>
      <c r="V59" s="2003"/>
      <c r="W59" s="2003"/>
      <c r="X59" s="2003"/>
      <c r="Y59" s="2003"/>
      <c r="Z59" s="2003"/>
      <c r="AA59" s="2003"/>
      <c r="AB59" s="2003"/>
      <c r="AC59" s="2003"/>
    </row>
    <row r="60" spans="1:29" s="1247" customFormat="1" ht="15.75" thickBot="1">
      <c r="A60" s="662"/>
      <c r="B60" s="653"/>
      <c r="C60" s="667"/>
      <c r="D60" s="667"/>
      <c r="E60" s="667"/>
      <c r="F60" s="667"/>
      <c r="G60" s="667"/>
      <c r="H60" s="668"/>
      <c r="I60" s="668"/>
      <c r="J60" s="668"/>
      <c r="K60" s="668"/>
      <c r="L60" s="668"/>
      <c r="M60" s="669"/>
      <c r="N60" s="2000"/>
      <c r="O60" s="2000"/>
      <c r="P60" s="2001"/>
      <c r="Q60" s="2002"/>
      <c r="R60" s="2003"/>
      <c r="S60" s="2003"/>
      <c r="T60" s="2003"/>
      <c r="U60" s="2003"/>
      <c r="V60" s="2003"/>
      <c r="W60" s="2003"/>
      <c r="X60" s="2003"/>
      <c r="Y60" s="2003"/>
      <c r="Z60" s="2003"/>
      <c r="AA60" s="2003"/>
      <c r="AB60" s="2003"/>
      <c r="AC60" s="2003"/>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7"/>
      <c r="O61" s="1997"/>
      <c r="P61" s="2007"/>
      <c r="Q61" s="1991"/>
      <c r="R61" s="1979"/>
      <c r="S61" s="1979"/>
      <c r="T61" s="1979"/>
      <c r="U61" s="1979"/>
      <c r="V61" s="1979"/>
      <c r="W61" s="1979"/>
      <c r="X61" s="1979"/>
      <c r="Y61" s="1979"/>
      <c r="Z61" s="1979"/>
      <c r="AA61" s="1979"/>
      <c r="AB61" s="1979"/>
      <c r="AC61" s="1979"/>
    </row>
    <row r="62" spans="1:29" ht="15.75" thickBot="1">
      <c r="A62" s="644"/>
      <c r="B62" s="653"/>
      <c r="C62" s="654">
        <v>100</v>
      </c>
      <c r="D62" s="654">
        <f>C62-$K14</f>
        <v>100</v>
      </c>
      <c r="E62" s="654">
        <f>D62-$K14</f>
        <v>100</v>
      </c>
      <c r="F62" s="654">
        <f>E62-$K14</f>
        <v>100</v>
      </c>
      <c r="G62" s="654">
        <f>F62-$K14</f>
        <v>100</v>
      </c>
      <c r="H62" s="654"/>
      <c r="I62" s="654"/>
      <c r="J62" s="654"/>
      <c r="K62" s="654"/>
      <c r="L62" s="654"/>
      <c r="M62" s="655"/>
      <c r="N62" s="1999"/>
      <c r="O62" s="1999"/>
      <c r="P62" s="1998"/>
      <c r="Q62" s="1991"/>
      <c r="R62" s="1979"/>
      <c r="S62" s="1979"/>
      <c r="T62" s="1979"/>
      <c r="U62" s="1979"/>
      <c r="V62" s="1979"/>
      <c r="W62" s="1979"/>
      <c r="X62" s="1979"/>
      <c r="Y62" s="1979"/>
      <c r="Z62" s="1979"/>
      <c r="AA62" s="1979"/>
      <c r="AB62" s="1979"/>
      <c r="AC62" s="1979"/>
    </row>
    <row r="63" spans="1:29" ht="15.75" thickTop="1">
      <c r="A63" s="644"/>
      <c r="B63" s="1763" t="s">
        <v>2274</v>
      </c>
      <c r="C63" s="683" t="s">
        <v>561</v>
      </c>
      <c r="D63" s="683" t="s">
        <v>562</v>
      </c>
      <c r="E63" s="683" t="s">
        <v>563</v>
      </c>
      <c r="F63" s="683" t="s">
        <v>564</v>
      </c>
      <c r="G63" s="683" t="s">
        <v>565</v>
      </c>
      <c r="H63" s="649"/>
      <c r="I63" s="649"/>
      <c r="J63" s="649"/>
      <c r="K63" s="650"/>
      <c r="L63" s="651"/>
      <c r="M63" s="652"/>
      <c r="N63" s="1997"/>
      <c r="O63" s="1997"/>
      <c r="P63" s="1998"/>
      <c r="Q63" s="1991"/>
      <c r="R63" s="1979"/>
      <c r="S63" s="1979"/>
      <c r="T63" s="1979"/>
      <c r="U63" s="1979"/>
      <c r="V63" s="1979"/>
      <c r="W63" s="1979"/>
      <c r="X63" s="1979"/>
      <c r="Y63" s="1979"/>
      <c r="Z63" s="1979"/>
      <c r="AA63" s="1979"/>
      <c r="AB63" s="1979"/>
      <c r="AC63" s="1979"/>
    </row>
    <row r="64" spans="1:29" ht="15.75" thickBot="1">
      <c r="A64" s="644"/>
      <c r="B64" s="653"/>
      <c r="C64" s="654">
        <v>100</v>
      </c>
      <c r="D64" s="654">
        <f>C64-$K16</f>
        <v>100</v>
      </c>
      <c r="E64" s="654">
        <f>D64-$K16</f>
        <v>100</v>
      </c>
      <c r="F64" s="654">
        <f>E64-$K16</f>
        <v>100</v>
      </c>
      <c r="G64" s="654">
        <f>F64-$K16</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75" thickTop="1">
      <c r="A65" s="644"/>
      <c r="B65" s="2361" t="s">
        <v>2275</v>
      </c>
      <c r="C65" s="2362" t="s">
        <v>2276</v>
      </c>
      <c r="D65" s="2362" t="s">
        <v>2277</v>
      </c>
      <c r="E65" s="2362" t="s">
        <v>2278</v>
      </c>
      <c r="F65" s="2362" t="s">
        <v>2279</v>
      </c>
      <c r="G65" s="2362" t="s">
        <v>2280</v>
      </c>
      <c r="H65" s="649"/>
      <c r="I65" s="649"/>
      <c r="J65" s="649"/>
      <c r="K65" s="649"/>
      <c r="L65" s="649"/>
      <c r="M65" s="2365"/>
      <c r="N65" s="1999"/>
      <c r="O65" s="1999"/>
      <c r="P65" s="1998"/>
      <c r="Q65" s="1991"/>
      <c r="R65" s="1979"/>
      <c r="S65" s="1979"/>
      <c r="T65" s="1979"/>
      <c r="U65" s="1979"/>
      <c r="V65" s="1979"/>
      <c r="W65" s="1979"/>
      <c r="X65" s="1979"/>
      <c r="Y65" s="1979"/>
      <c r="Z65" s="1979"/>
      <c r="AA65" s="1979"/>
      <c r="AB65" s="1979"/>
      <c r="AC65" s="1979"/>
    </row>
    <row r="66" spans="1:29" ht="15.75" thickBot="1">
      <c r="A66" s="644"/>
      <c r="B66" s="656"/>
      <c r="C66" s="654">
        <v>100</v>
      </c>
      <c r="D66" s="654">
        <f>C66-$K18</f>
        <v>100</v>
      </c>
      <c r="E66" s="654">
        <f>D66-$K18</f>
        <v>100</v>
      </c>
      <c r="F66" s="654">
        <f>E66-$K18</f>
        <v>100</v>
      </c>
      <c r="G66" s="654">
        <f>F66-$K18</f>
        <v>100</v>
      </c>
      <c r="H66" s="905"/>
      <c r="I66" s="905"/>
      <c r="J66" s="905"/>
      <c r="K66" s="905"/>
      <c r="L66" s="905"/>
      <c r="M66" s="536"/>
      <c r="N66" s="1999"/>
      <c r="O66" s="1999"/>
      <c r="P66" s="1998"/>
      <c r="Q66" s="1991"/>
      <c r="R66" s="1979"/>
      <c r="S66" s="1979"/>
      <c r="T66" s="1979"/>
      <c r="U66" s="1979"/>
      <c r="V66" s="1979"/>
      <c r="W66" s="1979"/>
      <c r="X66" s="1979"/>
      <c r="Y66" s="1979"/>
      <c r="Z66" s="1979"/>
      <c r="AA66" s="1979"/>
      <c r="AB66" s="1979"/>
      <c r="AC66" s="1979"/>
    </row>
    <row r="67" spans="1:29" ht="15.75" thickTop="1">
      <c r="A67" s="644"/>
      <c r="B67" s="648" t="s">
        <v>726</v>
      </c>
      <c r="C67" s="683" t="s">
        <v>561</v>
      </c>
      <c r="D67" s="683" t="s">
        <v>562</v>
      </c>
      <c r="E67" s="683" t="s">
        <v>563</v>
      </c>
      <c r="F67" s="683" t="s">
        <v>564</v>
      </c>
      <c r="G67" s="683" t="s">
        <v>565</v>
      </c>
      <c r="H67" s="649"/>
      <c r="I67" s="649"/>
      <c r="J67" s="649"/>
      <c r="K67" s="650"/>
      <c r="L67" s="651"/>
      <c r="M67" s="652"/>
      <c r="N67" s="1997"/>
      <c r="O67" s="1997"/>
      <c r="P67" s="1998"/>
      <c r="Q67" s="1991"/>
      <c r="R67" s="1979"/>
      <c r="S67" s="1979"/>
      <c r="T67" s="1979"/>
      <c r="U67" s="1979"/>
      <c r="V67" s="1979"/>
      <c r="W67" s="1979"/>
      <c r="X67" s="1979"/>
      <c r="Y67" s="1979"/>
      <c r="Z67" s="1979"/>
      <c r="AA67" s="1979"/>
      <c r="AB67" s="1979"/>
      <c r="AC67" s="1979"/>
    </row>
    <row r="68" spans="1:29" ht="15.75" thickBot="1">
      <c r="A68" s="644"/>
      <c r="B68" s="653"/>
      <c r="C68" s="654">
        <v>100</v>
      </c>
      <c r="D68" s="654">
        <f>C68-$K20</f>
        <v>100</v>
      </c>
      <c r="E68" s="654">
        <f>D68-$K20</f>
        <v>100</v>
      </c>
      <c r="F68" s="654">
        <f>E68-$K20</f>
        <v>100</v>
      </c>
      <c r="G68" s="654">
        <f>F68-$K20</f>
        <v>100</v>
      </c>
      <c r="H68" s="654"/>
      <c r="I68" s="654"/>
      <c r="J68" s="654"/>
      <c r="K68" s="654"/>
      <c r="L68" s="654"/>
      <c r="M68" s="655"/>
      <c r="N68" s="1999"/>
      <c r="O68" s="1999"/>
      <c r="P68" s="1998"/>
      <c r="Q68" s="1991"/>
      <c r="R68" s="1979"/>
      <c r="S68" s="1979"/>
      <c r="T68" s="1979"/>
      <c r="U68" s="1979"/>
      <c r="V68" s="1979"/>
      <c r="W68" s="1979"/>
      <c r="X68" s="1979"/>
      <c r="Y68" s="1979"/>
      <c r="Z68" s="1979"/>
      <c r="AA68" s="1979"/>
      <c r="AB68" s="1979"/>
      <c r="AC68" s="1979"/>
    </row>
    <row r="69" spans="1:29" ht="15.75" thickTop="1">
      <c r="A69" s="644"/>
      <c r="B69" s="648" t="s">
        <v>727</v>
      </c>
      <c r="C69" s="663"/>
      <c r="D69" s="663"/>
      <c r="E69" s="663"/>
      <c r="F69" s="663"/>
      <c r="G69" s="663"/>
      <c r="H69" s="693"/>
      <c r="I69" s="693"/>
      <c r="J69" s="693"/>
      <c r="K69" s="694"/>
      <c r="L69" s="695"/>
      <c r="M69" s="696"/>
      <c r="N69" s="1997"/>
      <c r="O69" s="1997"/>
      <c r="P69" s="1998"/>
      <c r="Q69" s="1991"/>
      <c r="R69" s="1979"/>
      <c r="S69" s="1979"/>
      <c r="T69" s="1979"/>
      <c r="U69" s="1979"/>
      <c r="V69" s="1979"/>
      <c r="W69" s="1979"/>
      <c r="X69" s="1979"/>
      <c r="Y69" s="1979"/>
      <c r="Z69" s="1979"/>
      <c r="AA69" s="1979"/>
      <c r="AB69" s="1979"/>
      <c r="AC69" s="1979"/>
    </row>
    <row r="70" spans="1:29" ht="15.75" thickBot="1">
      <c r="A70" s="644"/>
      <c r="B70" s="653"/>
      <c r="C70" s="654">
        <v>100</v>
      </c>
      <c r="D70" s="654">
        <f>C70-$K22</f>
        <v>100</v>
      </c>
      <c r="E70" s="654"/>
      <c r="F70" s="654"/>
      <c r="G70" s="654"/>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s="1165" customFormat="1" ht="15.75" thickTop="1">
      <c r="A71" s="684"/>
      <c r="B71" s="648">
        <f>B23</f>
        <v>111</v>
      </c>
      <c r="C71" s="518"/>
      <c r="D71" s="518"/>
      <c r="E71" s="518"/>
      <c r="F71" s="518"/>
      <c r="G71" s="663"/>
      <c r="H71" s="663"/>
      <c r="I71" s="663"/>
      <c r="J71" s="663"/>
      <c r="K71" s="663"/>
      <c r="L71" s="860"/>
      <c r="M71" s="861"/>
      <c r="N71" s="1995"/>
      <c r="O71" s="1995"/>
      <c r="P71" s="1998"/>
      <c r="Q71" s="1991"/>
      <c r="R71" s="1857"/>
      <c r="S71" s="1857"/>
      <c r="T71" s="1857"/>
      <c r="U71" s="1857"/>
      <c r="V71" s="1857"/>
      <c r="W71" s="1857"/>
      <c r="X71" s="1857"/>
      <c r="Y71" s="1857"/>
      <c r="Z71" s="1857"/>
      <c r="AA71" s="1857"/>
      <c r="AB71" s="1857"/>
      <c r="AC71" s="1857"/>
    </row>
    <row r="72" spans="1:29" s="1165" customFormat="1" ht="15.75" thickBot="1">
      <c r="A72" s="684"/>
      <c r="B72" s="653"/>
      <c r="C72" s="667"/>
      <c r="D72" s="646"/>
      <c r="E72" s="646"/>
      <c r="F72" s="646"/>
      <c r="G72" s="646"/>
      <c r="H72" s="646"/>
      <c r="I72" s="646"/>
      <c r="J72" s="646"/>
      <c r="K72" s="646"/>
      <c r="L72" s="646"/>
      <c r="M72" s="647"/>
      <c r="N72" s="1999"/>
      <c r="O72" s="1999"/>
      <c r="P72" s="1998"/>
      <c r="Q72" s="1991"/>
      <c r="R72" s="1857"/>
      <c r="S72" s="1857"/>
      <c r="T72" s="1857"/>
      <c r="U72" s="1857"/>
      <c r="V72" s="1857"/>
      <c r="W72" s="1857"/>
      <c r="X72" s="1857"/>
      <c r="Y72" s="1857"/>
      <c r="Z72" s="1857"/>
      <c r="AA72" s="1857"/>
      <c r="AB72" s="1857"/>
      <c r="AC72" s="1857"/>
    </row>
    <row r="73" spans="1:29" s="1165" customFormat="1" ht="15.75" thickTop="1">
      <c r="A73" s="684"/>
      <c r="B73" s="648">
        <f>B24</f>
        <v>111</v>
      </c>
      <c r="C73" s="518"/>
      <c r="D73" s="518"/>
      <c r="E73" s="518"/>
      <c r="F73" s="518"/>
      <c r="G73" s="663"/>
      <c r="H73" s="663"/>
      <c r="I73" s="663"/>
      <c r="J73" s="663"/>
      <c r="K73" s="663"/>
      <c r="L73" s="663"/>
      <c r="M73" s="861"/>
      <c r="N73" s="1995"/>
      <c r="O73" s="1995"/>
      <c r="P73" s="1998"/>
      <c r="Q73" s="1991"/>
      <c r="R73" s="1857"/>
      <c r="S73" s="1857"/>
      <c r="T73" s="1857"/>
      <c r="U73" s="1857"/>
      <c r="V73" s="1857"/>
      <c r="W73" s="1857"/>
      <c r="X73" s="1857"/>
      <c r="Y73" s="1857"/>
      <c r="Z73" s="1857"/>
      <c r="AA73" s="1857"/>
      <c r="AB73" s="1857"/>
      <c r="AC73" s="1857"/>
    </row>
    <row r="74" spans="1:29" s="1165" customFormat="1" ht="15.75"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247" customFormat="1" ht="15.75" thickTop="1">
      <c r="A75" s="662"/>
      <c r="B75" s="648">
        <f>B25</f>
        <v>111</v>
      </c>
      <c r="C75" s="518"/>
      <c r="D75" s="518"/>
      <c r="E75" s="518"/>
      <c r="F75" s="518"/>
      <c r="G75" s="663"/>
      <c r="H75" s="664"/>
      <c r="I75" s="664"/>
      <c r="J75" s="664"/>
      <c r="K75" s="664"/>
      <c r="L75" s="665"/>
      <c r="M75" s="666"/>
      <c r="N75" s="2000"/>
      <c r="O75" s="2000"/>
      <c r="P75" s="2001"/>
      <c r="Q75" s="2002"/>
      <c r="R75" s="2003"/>
      <c r="S75" s="2003"/>
      <c r="T75" s="2003"/>
      <c r="U75" s="2003"/>
      <c r="V75" s="2003"/>
      <c r="W75" s="2003"/>
      <c r="X75" s="2003"/>
      <c r="Y75" s="2003"/>
      <c r="Z75" s="2003"/>
      <c r="AA75" s="2003"/>
      <c r="AB75" s="2003"/>
      <c r="AC75" s="2003"/>
    </row>
    <row r="76" spans="1:29" s="1247" customFormat="1" ht="15.75" thickBot="1">
      <c r="A76" s="662"/>
      <c r="B76" s="653"/>
      <c r="C76" s="667"/>
      <c r="D76" s="667"/>
      <c r="E76" s="667"/>
      <c r="F76" s="667"/>
      <c r="G76" s="646"/>
      <c r="H76" s="646"/>
      <c r="I76" s="646"/>
      <c r="J76" s="646"/>
      <c r="K76" s="646"/>
      <c r="L76" s="646"/>
      <c r="M76" s="647"/>
      <c r="N76" s="2000"/>
      <c r="O76" s="2000"/>
      <c r="P76" s="2001"/>
      <c r="Q76" s="2002"/>
      <c r="R76" s="2003"/>
      <c r="S76" s="2003"/>
      <c r="T76" s="2003"/>
      <c r="U76" s="2003"/>
      <c r="V76" s="2003"/>
      <c r="W76" s="2003"/>
      <c r="X76" s="2003"/>
      <c r="Y76" s="2003"/>
      <c r="Z76" s="2003"/>
      <c r="AA76" s="2003"/>
      <c r="AB76" s="2003"/>
      <c r="AC76" s="2003"/>
    </row>
    <row r="77" spans="1:29" ht="15" thickTop="1">
      <c r="A77" s="639" t="s">
        <v>534</v>
      </c>
      <c r="B77" s="640" t="s">
        <v>733</v>
      </c>
      <c r="C77" s="663"/>
      <c r="D77" s="663"/>
      <c r="E77" s="575"/>
      <c r="F77" s="575"/>
      <c r="G77" s="575"/>
      <c r="H77" s="575"/>
      <c r="I77" s="575"/>
      <c r="J77" s="575"/>
      <c r="K77" s="641"/>
      <c r="L77" s="642"/>
      <c r="M77" s="643"/>
      <c r="N77" s="1997"/>
      <c r="O77" s="1997"/>
      <c r="P77" s="1998"/>
      <c r="Q77" s="1991"/>
      <c r="R77" s="1979"/>
      <c r="S77" s="1979"/>
      <c r="T77" s="1979"/>
      <c r="U77" s="1979"/>
      <c r="V77" s="1979"/>
      <c r="W77" s="1979"/>
      <c r="X77" s="1979"/>
      <c r="Y77" s="1979"/>
      <c r="Z77" s="1979"/>
      <c r="AA77" s="1979"/>
      <c r="AB77" s="1979"/>
      <c r="AC77" s="1979"/>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1999"/>
      <c r="O78" s="1999"/>
      <c r="P78" s="1998"/>
      <c r="Q78" s="1991"/>
      <c r="R78" s="1979"/>
      <c r="S78" s="1979"/>
      <c r="T78" s="1979"/>
      <c r="U78" s="1979"/>
      <c r="V78" s="1979"/>
      <c r="W78" s="1979"/>
      <c r="X78" s="1979"/>
      <c r="Y78" s="1979"/>
      <c r="Z78" s="1979"/>
      <c r="AA78" s="1979"/>
      <c r="AB78" s="1979"/>
      <c r="AC78" s="1979"/>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5"/>
      <c r="O79" s="1995"/>
      <c r="P79" s="1998"/>
      <c r="Q79" s="1991"/>
      <c r="R79" s="1979"/>
      <c r="S79" s="1979"/>
      <c r="T79" s="1979"/>
      <c r="U79" s="1979"/>
      <c r="V79" s="1979"/>
      <c r="W79" s="1979"/>
      <c r="X79" s="1979"/>
      <c r="Y79" s="1979"/>
      <c r="Z79" s="1979"/>
      <c r="AA79" s="1979"/>
      <c r="AB79" s="1979"/>
      <c r="AC79" s="1979"/>
    </row>
    <row r="80" spans="1:29" ht="15">
      <c r="A80" s="644"/>
      <c r="B80" s="656"/>
      <c r="C80" s="864">
        <v>0.5</v>
      </c>
      <c r="D80" s="864">
        <v>0.6</v>
      </c>
      <c r="E80" s="864">
        <v>0.7</v>
      </c>
      <c r="F80" s="864">
        <v>0.8</v>
      </c>
      <c r="G80" s="864">
        <v>0.9</v>
      </c>
      <c r="H80" s="864">
        <v>1.0001</v>
      </c>
      <c r="I80" s="905"/>
      <c r="J80" s="905"/>
      <c r="K80" s="915"/>
      <c r="L80" s="916"/>
      <c r="M80" s="917"/>
      <c r="N80" s="1995"/>
      <c r="O80" s="1995"/>
      <c r="P80" s="1998"/>
      <c r="Q80" s="1991"/>
      <c r="R80" s="1979"/>
      <c r="S80" s="1979"/>
      <c r="T80" s="1979"/>
      <c r="U80" s="1979"/>
      <c r="V80" s="1979"/>
      <c r="W80" s="1979"/>
      <c r="X80" s="1979"/>
      <c r="Y80" s="1979"/>
      <c r="Z80" s="1979"/>
      <c r="AA80" s="1979"/>
      <c r="AB80" s="1979"/>
      <c r="AC80" s="1979"/>
    </row>
    <row r="81" spans="1:29" s="1247"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1999"/>
      <c r="O81" s="1999"/>
      <c r="P81" s="2001"/>
      <c r="Q81" s="2002"/>
      <c r="R81" s="2003"/>
      <c r="S81" s="2003"/>
      <c r="T81" s="2003"/>
      <c r="U81" s="2003"/>
      <c r="V81" s="2003"/>
      <c r="W81" s="2003"/>
      <c r="X81" s="2003"/>
      <c r="Y81" s="2003"/>
      <c r="Z81" s="2003"/>
      <c r="AA81" s="2003"/>
      <c r="AB81" s="2003"/>
      <c r="AC81" s="2003"/>
    </row>
    <row r="82" spans="1:29" ht="15" thickTop="1">
      <c r="A82" s="710"/>
      <c r="B82" s="656" t="s">
        <v>799</v>
      </c>
      <c r="C82" s="663"/>
      <c r="D82" s="663"/>
      <c r="E82" s="693"/>
      <c r="F82" s="693"/>
      <c r="G82" s="693"/>
      <c r="H82" s="693"/>
      <c r="I82" s="693"/>
      <c r="J82" s="693"/>
      <c r="K82" s="694"/>
      <c r="L82" s="695"/>
      <c r="M82" s="696"/>
      <c r="N82" s="1997"/>
      <c r="O82" s="1997"/>
      <c r="P82" s="1998"/>
      <c r="Q82" s="1991"/>
      <c r="R82" s="1979"/>
      <c r="S82" s="1979"/>
      <c r="T82" s="1979"/>
      <c r="U82" s="1979"/>
      <c r="V82" s="1979"/>
      <c r="W82" s="1979"/>
      <c r="X82" s="1979"/>
      <c r="Y82" s="1979"/>
      <c r="Z82" s="1979"/>
      <c r="AA82" s="1979"/>
      <c r="AB82" s="1979"/>
      <c r="AC82" s="1979"/>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1999"/>
      <c r="O83" s="1999"/>
      <c r="P83" s="1998"/>
      <c r="Q83" s="1991"/>
      <c r="R83" s="1979"/>
      <c r="S83" s="1979"/>
      <c r="T83" s="1979"/>
      <c r="U83" s="1979"/>
      <c r="V83" s="1979"/>
      <c r="W83" s="1979"/>
      <c r="X83" s="1979"/>
      <c r="Y83" s="1979"/>
      <c r="Z83" s="1979"/>
      <c r="AA83" s="1979"/>
      <c r="AB83" s="1979"/>
      <c r="AC83" s="1979"/>
    </row>
    <row r="84" spans="1:29" ht="15" thickTop="1">
      <c r="A84" s="710"/>
      <c r="B84" s="648" t="s">
        <v>807</v>
      </c>
      <c r="C84" s="663"/>
      <c r="D84" s="663"/>
      <c r="E84" s="663"/>
      <c r="F84" s="663"/>
      <c r="G84" s="663"/>
      <c r="H84" s="663"/>
      <c r="I84" s="693"/>
      <c r="J84" s="693"/>
      <c r="K84" s="694"/>
      <c r="L84" s="695"/>
      <c r="M84" s="696"/>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1999"/>
      <c r="O85" s="1999"/>
      <c r="P85" s="1998"/>
      <c r="Q85" s="1991"/>
      <c r="R85" s="1979"/>
      <c r="S85" s="1979"/>
      <c r="T85" s="1979"/>
      <c r="U85" s="1979"/>
      <c r="V85" s="1979"/>
      <c r="W85" s="1979"/>
      <c r="X85" s="1979"/>
      <c r="Y85" s="1979"/>
      <c r="Z85" s="1979"/>
      <c r="AA85" s="1979"/>
      <c r="AB85" s="1979"/>
      <c r="AC85" s="1979"/>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7"/>
      <c r="O86" s="1997"/>
      <c r="P86" s="1998"/>
      <c r="Q86" s="1991"/>
      <c r="R86" s="1979"/>
      <c r="S86" s="1979"/>
      <c r="T86" s="1979"/>
      <c r="U86" s="1979"/>
      <c r="V86" s="1979"/>
      <c r="W86" s="1979"/>
      <c r="X86" s="1979"/>
      <c r="Y86" s="1979"/>
      <c r="Z86" s="1979"/>
      <c r="AA86" s="1979"/>
      <c r="AB86" s="1979"/>
      <c r="AC86" s="1979"/>
    </row>
    <row r="87" spans="1:29">
      <c r="A87" s="710"/>
      <c r="B87" s="656"/>
      <c r="C87" s="705"/>
      <c r="D87" s="705"/>
      <c r="E87" s="705"/>
      <c r="F87" s="705"/>
      <c r="G87" s="705"/>
      <c r="H87" s="705"/>
      <c r="I87" s="705"/>
      <c r="J87" s="706"/>
      <c r="K87" s="706"/>
      <c r="L87" s="707"/>
      <c r="M87" s="708"/>
      <c r="N87" s="1997"/>
      <c r="O87" s="1997"/>
      <c r="P87" s="1998"/>
      <c r="Q87" s="1991"/>
      <c r="R87" s="1979"/>
      <c r="S87" s="1979"/>
      <c r="T87" s="1979"/>
      <c r="U87" s="1979"/>
      <c r="V87" s="1979"/>
      <c r="W87" s="1979"/>
      <c r="X87" s="1979"/>
      <c r="Y87" s="1979"/>
      <c r="Z87" s="1979"/>
      <c r="AA87" s="1979"/>
      <c r="AB87" s="1979"/>
      <c r="AC87" s="1979"/>
    </row>
    <row r="88" spans="1:29" ht="15.75" thickBot="1">
      <c r="A88" s="644"/>
      <c r="B88" s="653"/>
      <c r="C88" s="667"/>
      <c r="D88" s="646"/>
      <c r="E88" s="646"/>
      <c r="F88" s="646"/>
      <c r="G88" s="646"/>
      <c r="H88" s="646"/>
      <c r="I88" s="646"/>
      <c r="J88" s="646"/>
      <c r="K88" s="646"/>
      <c r="L88" s="646"/>
      <c r="M88" s="646"/>
      <c r="N88" s="1999"/>
      <c r="O88" s="1999"/>
      <c r="P88" s="1998"/>
      <c r="Q88" s="1991"/>
      <c r="R88" s="1979"/>
      <c r="S88" s="1979"/>
      <c r="T88" s="1979"/>
      <c r="U88" s="1979"/>
      <c r="V88" s="1979"/>
      <c r="W88" s="1979"/>
      <c r="X88" s="1979"/>
      <c r="Y88" s="1979"/>
      <c r="Z88" s="1979"/>
      <c r="AA88" s="1979"/>
      <c r="AB88" s="1979"/>
      <c r="AC88" s="1979"/>
    </row>
    <row r="89" spans="1:29" s="1247" customFormat="1" ht="15" thickTop="1">
      <c r="A89" s="703"/>
      <c r="B89" s="648" t="s">
        <v>809</v>
      </c>
      <c r="C89" s="663"/>
      <c r="D89" s="663"/>
      <c r="E89" s="663"/>
      <c r="F89" s="663"/>
      <c r="G89" s="663"/>
      <c r="H89" s="663"/>
      <c r="I89" s="663"/>
      <c r="J89" s="663"/>
      <c r="K89" s="663"/>
      <c r="L89" s="663"/>
      <c r="M89" s="861"/>
      <c r="N89" s="2000"/>
      <c r="O89" s="2000"/>
      <c r="P89" s="2001"/>
      <c r="Q89" s="2002"/>
      <c r="R89" s="2003"/>
      <c r="S89" s="2003"/>
      <c r="T89" s="2003"/>
      <c r="U89" s="2003"/>
      <c r="V89" s="2003"/>
      <c r="W89" s="2003"/>
      <c r="X89" s="2003"/>
      <c r="Y89" s="2003"/>
      <c r="Z89" s="2003"/>
      <c r="AA89" s="2003"/>
      <c r="AB89" s="2003"/>
      <c r="AC89" s="2003"/>
    </row>
    <row r="90" spans="1:29" s="1247" customFormat="1" ht="15.75" thickBot="1">
      <c r="A90" s="662"/>
      <c r="B90" s="653"/>
      <c r="C90" s="667"/>
      <c r="D90" s="646"/>
      <c r="E90" s="646"/>
      <c r="F90" s="646"/>
      <c r="G90" s="646"/>
      <c r="H90" s="646"/>
      <c r="I90" s="646"/>
      <c r="J90" s="646"/>
      <c r="K90" s="646"/>
      <c r="L90" s="646"/>
      <c r="M90" s="647"/>
      <c r="N90" s="2000"/>
      <c r="O90" s="2000"/>
      <c r="P90" s="2001"/>
      <c r="Q90" s="2002"/>
      <c r="R90" s="2003"/>
      <c r="S90" s="2003"/>
      <c r="T90" s="2003"/>
      <c r="U90" s="2003"/>
      <c r="V90" s="2003"/>
      <c r="W90" s="2003"/>
      <c r="X90" s="2003"/>
      <c r="Y90" s="2003"/>
      <c r="Z90" s="2003"/>
      <c r="AA90" s="2003"/>
      <c r="AB90" s="2003"/>
      <c r="AC90" s="2003"/>
    </row>
    <row r="91" spans="1:29" ht="15" thickTop="1">
      <c r="A91" s="710"/>
      <c r="B91" s="648">
        <f>B32</f>
        <v>111</v>
      </c>
      <c r="C91" s="518"/>
      <c r="D91" s="518"/>
      <c r="E91" s="518"/>
      <c r="F91" s="518"/>
      <c r="G91" s="663"/>
      <c r="H91" s="664"/>
      <c r="I91" s="664"/>
      <c r="J91" s="664"/>
      <c r="K91" s="664"/>
      <c r="L91" s="665"/>
      <c r="M91" s="666"/>
      <c r="N91" s="1997"/>
      <c r="O91" s="1997"/>
      <c r="P91" s="1998"/>
      <c r="Q91" s="1991"/>
      <c r="R91" s="1979"/>
      <c r="S91" s="1979"/>
      <c r="T91" s="1979"/>
      <c r="U91" s="1979"/>
      <c r="V91" s="1979"/>
      <c r="W91" s="1979"/>
      <c r="X91" s="1979"/>
      <c r="Y91" s="1979"/>
      <c r="Z91" s="1979"/>
      <c r="AA91" s="1979"/>
      <c r="AB91" s="1979"/>
      <c r="AC91" s="1979"/>
    </row>
    <row r="92" spans="1:29" ht="15.75" thickBot="1">
      <c r="A92" s="644"/>
      <c r="B92" s="653"/>
      <c r="C92" s="667"/>
      <c r="D92" s="646"/>
      <c r="E92" s="646"/>
      <c r="F92" s="646"/>
      <c r="G92" s="667"/>
      <c r="H92" s="668"/>
      <c r="I92" s="668"/>
      <c r="J92" s="668"/>
      <c r="K92" s="668"/>
      <c r="L92" s="668"/>
      <c r="M92" s="669"/>
      <c r="N92" s="1999"/>
      <c r="O92" s="1999"/>
      <c r="P92" s="1998"/>
      <c r="Q92" s="1991"/>
      <c r="R92" s="1979"/>
      <c r="S92" s="1979"/>
      <c r="T92" s="1979"/>
      <c r="U92" s="1979"/>
      <c r="V92" s="1979"/>
      <c r="W92" s="1979"/>
      <c r="X92" s="1979"/>
      <c r="Y92" s="1979"/>
      <c r="Z92" s="1979"/>
      <c r="AA92" s="1979"/>
      <c r="AB92" s="1979"/>
      <c r="AC92" s="1979"/>
    </row>
    <row r="93" spans="1:29" ht="15" thickTop="1">
      <c r="A93" s="710"/>
      <c r="B93" s="648">
        <f>B33</f>
        <v>111</v>
      </c>
      <c r="C93" s="518"/>
      <c r="D93" s="518"/>
      <c r="E93" s="518"/>
      <c r="F93" s="518"/>
      <c r="G93" s="663"/>
      <c r="H93" s="664"/>
      <c r="I93" s="664"/>
      <c r="J93" s="664"/>
      <c r="K93" s="664"/>
      <c r="L93" s="665"/>
      <c r="M93" s="66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67"/>
      <c r="D94" s="646"/>
      <c r="E94" s="646"/>
      <c r="F94" s="646"/>
      <c r="G94" s="667"/>
      <c r="H94" s="668"/>
      <c r="I94" s="668"/>
      <c r="J94" s="668"/>
      <c r="K94" s="668"/>
      <c r="L94" s="668"/>
      <c r="M94" s="669"/>
      <c r="N94" s="1999"/>
      <c r="O94" s="1999"/>
      <c r="P94" s="1998"/>
      <c r="Q94" s="1991"/>
      <c r="R94" s="1979"/>
      <c r="S94" s="1979"/>
      <c r="T94" s="1979"/>
      <c r="U94" s="1979"/>
      <c r="V94" s="1979"/>
      <c r="W94" s="1979"/>
      <c r="X94" s="1979"/>
      <c r="Y94" s="1979"/>
      <c r="Z94" s="1979"/>
      <c r="AA94" s="1979"/>
      <c r="AB94" s="1979"/>
      <c r="AC94" s="1979"/>
    </row>
    <row r="95" spans="1:29" ht="15" thickTop="1">
      <c r="A95" s="710"/>
      <c r="B95" s="887">
        <f>B34</f>
        <v>111</v>
      </c>
      <c r="C95" s="518"/>
      <c r="D95" s="518"/>
      <c r="E95" s="518"/>
      <c r="F95" s="518"/>
      <c r="G95" s="663"/>
      <c r="H95" s="664"/>
      <c r="I95" s="664"/>
      <c r="J95" s="664"/>
      <c r="K95" s="664"/>
      <c r="L95" s="665"/>
      <c r="M95" s="666"/>
      <c r="N95" s="1999"/>
      <c r="O95" s="1999"/>
      <c r="P95" s="2038"/>
      <c r="Q95" s="2039"/>
      <c r="R95" s="1979"/>
      <c r="S95" s="1979"/>
      <c r="T95" s="1979"/>
      <c r="U95" s="1979"/>
      <c r="V95" s="1979"/>
      <c r="W95" s="1979"/>
      <c r="X95" s="1979"/>
      <c r="Y95" s="1979"/>
      <c r="Z95" s="1979"/>
      <c r="AA95" s="1979"/>
      <c r="AB95" s="1979"/>
      <c r="AC95" s="1979"/>
    </row>
    <row r="96" spans="1:29" ht="15.75" thickBot="1">
      <c r="A96" s="644"/>
      <c r="B96" s="653"/>
      <c r="C96" s="667"/>
      <c r="D96" s="667"/>
      <c r="E96" s="667"/>
      <c r="F96" s="667"/>
      <c r="G96" s="667"/>
      <c r="H96" s="668"/>
      <c r="I96" s="668"/>
      <c r="J96" s="668"/>
      <c r="K96" s="668"/>
      <c r="L96" s="668"/>
      <c r="M96" s="669"/>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4" priority="18" stopIfTrue="1" operator="containsText" text="超过">
      <formula>NOT(ISERROR(SEARCH("超过",F40)))</formula>
    </cfRule>
  </conditionalFormatting>
  <conditionalFormatting sqref="J42">
    <cfRule type="containsText" dxfId="23" priority="17" stopIfTrue="1" operator="containsText" text="超过">
      <formula>NOT(ISERROR(SEARCH("超过",J42)))</formula>
    </cfRule>
  </conditionalFormatting>
  <conditionalFormatting sqref="H42">
    <cfRule type="containsText" dxfId="22" priority="16" stopIfTrue="1" operator="containsText" text="超过">
      <formula>NOT(ISERROR(SEARCH("超过",H42)))</formula>
    </cfRule>
  </conditionalFormatting>
  <conditionalFormatting sqref="F42">
    <cfRule type="containsText" dxfId="21" priority="15" stopIfTrue="1" operator="containsText" text="超过">
      <formula>NOT(ISERROR(SEARCH("超过",F42)))</formula>
    </cfRule>
  </conditionalFormatting>
  <conditionalFormatting sqref="F41 H41 J41">
    <cfRule type="containsText" dxfId="20" priority="14" stopIfTrue="1" operator="containsText" text="超过">
      <formula>NOT(ISERROR(SEARCH("超过",F41)))</formula>
    </cfRule>
  </conditionalFormatting>
  <conditionalFormatting sqref="E40">
    <cfRule type="expression" dxfId="19" priority="13" stopIfTrue="1">
      <formula>$F$40="超过30%"</formula>
    </cfRule>
  </conditionalFormatting>
  <conditionalFormatting sqref="G42">
    <cfRule type="expression" dxfId="18" priority="12" stopIfTrue="1">
      <formula>$H$54+$H$42="超过30%"</formula>
    </cfRule>
  </conditionalFormatting>
  <conditionalFormatting sqref="E41">
    <cfRule type="expression" dxfId="17" priority="11" stopIfTrue="1">
      <formula>$F$41="超过20%"</formula>
    </cfRule>
  </conditionalFormatting>
  <conditionalFormatting sqref="E42">
    <cfRule type="expression" dxfId="16" priority="10" stopIfTrue="1">
      <formula>$F$42="超过30%"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I40">
    <cfRule type="expression" dxfId="13" priority="7" stopIfTrue="1">
      <formula>$J$40="超过30%"</formula>
    </cfRule>
  </conditionalFormatting>
  <conditionalFormatting sqref="I41">
    <cfRule type="expression" dxfId="12" priority="6" stopIfTrue="1">
      <formula>$J$41="超过20%"</formula>
    </cfRule>
  </conditionalFormatting>
  <conditionalFormatting sqref="I42">
    <cfRule type="expression" dxfId="11" priority="5" stopIfTrue="1">
      <formula>$J$42="超过30%"</formula>
    </cfRule>
  </conditionalFormatting>
  <conditionalFormatting sqref="F36">
    <cfRule type="expression" dxfId="10" priority="4">
      <formula>$D$36="简单平均"</formula>
    </cfRule>
  </conditionalFormatting>
  <conditionalFormatting sqref="H36">
    <cfRule type="expression" dxfId="9" priority="3">
      <formula>$D$36="简单平均"</formula>
    </cfRule>
  </conditionalFormatting>
  <conditionalFormatting sqref="J36">
    <cfRule type="expression" dxfId="8" priority="2">
      <formula>$D$36="简单平均"</formula>
    </cfRule>
  </conditionalFormatting>
  <conditionalFormatting sqref="F7:F34 H7:H34 J7:J34">
    <cfRule type="cellIs" dxfId="7"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77" customWidth="1"/>
    <col min="2" max="2" width="13.25" style="2583" customWidth="1"/>
    <col min="3" max="3" width="15.625" style="2583" customWidth="1"/>
    <col min="4" max="4" width="9.375" style="2583" bestFit="1" customWidth="1"/>
    <col min="5" max="5" width="13.5" style="2583" customWidth="1"/>
    <col min="6" max="6" width="9" style="2583"/>
    <col min="7" max="7" width="9.375" style="2583" bestFit="1" customWidth="1"/>
    <col min="8" max="9" width="9" style="2583"/>
    <col min="10" max="10" width="9.375" style="2583" bestFit="1" customWidth="1"/>
    <col min="11" max="11" width="4" style="2577" customWidth="1"/>
    <col min="12" max="12" width="5.125" style="2583" customWidth="1"/>
    <col min="13" max="13" width="13.75" style="2583" customWidth="1"/>
    <col min="14" max="256" width="9" style="2583"/>
    <col min="257" max="257" width="4.875" style="2575" customWidth="1"/>
    <col min="258" max="258" width="13.25" style="2575" customWidth="1"/>
    <col min="259" max="259" width="15.625" style="2575" customWidth="1"/>
    <col min="260" max="260" width="9.375" style="2575" bestFit="1" customWidth="1"/>
    <col min="261" max="261" width="13.5" style="2575" customWidth="1"/>
    <col min="262" max="262" width="9" style="2575"/>
    <col min="263" max="263" width="9.375" style="2575" bestFit="1" customWidth="1"/>
    <col min="264" max="265" width="9" style="2575"/>
    <col min="266" max="266" width="9.375" style="2575" bestFit="1" customWidth="1"/>
    <col min="267" max="267" width="4" style="2575" customWidth="1"/>
    <col min="268" max="268" width="5.125" style="2575" customWidth="1"/>
    <col min="269" max="269" width="13.75" style="2575" customWidth="1"/>
    <col min="270" max="512" width="9" style="2575"/>
    <col min="513" max="513" width="4.875" style="2575" customWidth="1"/>
    <col min="514" max="514" width="13.25" style="2575" customWidth="1"/>
    <col min="515" max="515" width="15.625" style="2575" customWidth="1"/>
    <col min="516" max="516" width="9.375" style="2575" bestFit="1" customWidth="1"/>
    <col min="517" max="517" width="13.5" style="2575" customWidth="1"/>
    <col min="518" max="518" width="9" style="2575"/>
    <col min="519" max="519" width="9.375" style="2575" bestFit="1" customWidth="1"/>
    <col min="520" max="521" width="9" style="2575"/>
    <col min="522" max="522" width="9.375" style="2575" bestFit="1" customWidth="1"/>
    <col min="523" max="523" width="4" style="2575" customWidth="1"/>
    <col min="524" max="524" width="5.125" style="2575" customWidth="1"/>
    <col min="525" max="525" width="13.75" style="2575" customWidth="1"/>
    <col min="526" max="768" width="9" style="2575"/>
    <col min="769" max="769" width="4.875" style="2575" customWidth="1"/>
    <col min="770" max="770" width="13.25" style="2575" customWidth="1"/>
    <col min="771" max="771" width="15.625" style="2575" customWidth="1"/>
    <col min="772" max="772" width="9.375" style="2575" bestFit="1" customWidth="1"/>
    <col min="773" max="773" width="13.5" style="2575" customWidth="1"/>
    <col min="774" max="774" width="9" style="2575"/>
    <col min="775" max="775" width="9.375" style="2575" bestFit="1" customWidth="1"/>
    <col min="776" max="777" width="9" style="2575"/>
    <col min="778" max="778" width="9.375" style="2575" bestFit="1" customWidth="1"/>
    <col min="779" max="779" width="4" style="2575" customWidth="1"/>
    <col min="780" max="780" width="5.125" style="2575" customWidth="1"/>
    <col min="781" max="781" width="13.75" style="2575" customWidth="1"/>
    <col min="782" max="1024" width="9" style="2575"/>
    <col min="1025" max="1025" width="4.875" style="2575" customWidth="1"/>
    <col min="1026" max="1026" width="13.25" style="2575" customWidth="1"/>
    <col min="1027" max="1027" width="15.625" style="2575" customWidth="1"/>
    <col min="1028" max="1028" width="9.375" style="2575" bestFit="1" customWidth="1"/>
    <col min="1029" max="1029" width="13.5" style="2575" customWidth="1"/>
    <col min="1030" max="1030" width="9" style="2575"/>
    <col min="1031" max="1031" width="9.375" style="2575" bestFit="1" customWidth="1"/>
    <col min="1032" max="1033" width="9" style="2575"/>
    <col min="1034" max="1034" width="9.375" style="2575" bestFit="1" customWidth="1"/>
    <col min="1035" max="1035" width="4" style="2575" customWidth="1"/>
    <col min="1036" max="1036" width="5.125" style="2575" customWidth="1"/>
    <col min="1037" max="1037" width="13.75" style="2575" customWidth="1"/>
    <col min="1038" max="1280" width="9" style="2575"/>
    <col min="1281" max="1281" width="4.875" style="2575" customWidth="1"/>
    <col min="1282" max="1282" width="13.25" style="2575" customWidth="1"/>
    <col min="1283" max="1283" width="15.625" style="2575" customWidth="1"/>
    <col min="1284" max="1284" width="9.375" style="2575" bestFit="1" customWidth="1"/>
    <col min="1285" max="1285" width="13.5" style="2575" customWidth="1"/>
    <col min="1286" max="1286" width="9" style="2575"/>
    <col min="1287" max="1287" width="9.375" style="2575" bestFit="1" customWidth="1"/>
    <col min="1288" max="1289" width="9" style="2575"/>
    <col min="1290" max="1290" width="9.375" style="2575" bestFit="1" customWidth="1"/>
    <col min="1291" max="1291" width="4" style="2575" customWidth="1"/>
    <col min="1292" max="1292" width="5.125" style="2575" customWidth="1"/>
    <col min="1293" max="1293" width="13.75" style="2575" customWidth="1"/>
    <col min="1294" max="1536" width="9" style="2575"/>
    <col min="1537" max="1537" width="4.875" style="2575" customWidth="1"/>
    <col min="1538" max="1538" width="13.25" style="2575" customWidth="1"/>
    <col min="1539" max="1539" width="15.625" style="2575" customWidth="1"/>
    <col min="1540" max="1540" width="9.375" style="2575" bestFit="1" customWidth="1"/>
    <col min="1541" max="1541" width="13.5" style="2575" customWidth="1"/>
    <col min="1542" max="1542" width="9" style="2575"/>
    <col min="1543" max="1543" width="9.375" style="2575" bestFit="1" customWidth="1"/>
    <col min="1544" max="1545" width="9" style="2575"/>
    <col min="1546" max="1546" width="9.375" style="2575" bestFit="1" customWidth="1"/>
    <col min="1547" max="1547" width="4" style="2575" customWidth="1"/>
    <col min="1548" max="1548" width="5.125" style="2575" customWidth="1"/>
    <col min="1549" max="1549" width="13.75" style="2575" customWidth="1"/>
    <col min="1550" max="1792" width="9" style="2575"/>
    <col min="1793" max="1793" width="4.875" style="2575" customWidth="1"/>
    <col min="1794" max="1794" width="13.25" style="2575" customWidth="1"/>
    <col min="1795" max="1795" width="15.625" style="2575" customWidth="1"/>
    <col min="1796" max="1796" width="9.375" style="2575" bestFit="1" customWidth="1"/>
    <col min="1797" max="1797" width="13.5" style="2575" customWidth="1"/>
    <col min="1798" max="1798" width="9" style="2575"/>
    <col min="1799" max="1799" width="9.375" style="2575" bestFit="1" customWidth="1"/>
    <col min="1800" max="1801" width="9" style="2575"/>
    <col min="1802" max="1802" width="9.375" style="2575" bestFit="1" customWidth="1"/>
    <col min="1803" max="1803" width="4" style="2575" customWidth="1"/>
    <col min="1804" max="1804" width="5.125" style="2575" customWidth="1"/>
    <col min="1805" max="1805" width="13.75" style="2575" customWidth="1"/>
    <col min="1806" max="2048" width="9" style="2575"/>
    <col min="2049" max="2049" width="4.875" style="2575" customWidth="1"/>
    <col min="2050" max="2050" width="13.25" style="2575" customWidth="1"/>
    <col min="2051" max="2051" width="15.625" style="2575" customWidth="1"/>
    <col min="2052" max="2052" width="9.375" style="2575" bestFit="1" customWidth="1"/>
    <col min="2053" max="2053" width="13.5" style="2575" customWidth="1"/>
    <col min="2054" max="2054" width="9" style="2575"/>
    <col min="2055" max="2055" width="9.375" style="2575" bestFit="1" customWidth="1"/>
    <col min="2056" max="2057" width="9" style="2575"/>
    <col min="2058" max="2058" width="9.375" style="2575" bestFit="1" customWidth="1"/>
    <col min="2059" max="2059" width="4" style="2575" customWidth="1"/>
    <col min="2060" max="2060" width="5.125" style="2575" customWidth="1"/>
    <col min="2061" max="2061" width="13.75" style="2575" customWidth="1"/>
    <col min="2062" max="2304" width="9" style="2575"/>
    <col min="2305" max="2305" width="4.875" style="2575" customWidth="1"/>
    <col min="2306" max="2306" width="13.25" style="2575" customWidth="1"/>
    <col min="2307" max="2307" width="15.625" style="2575" customWidth="1"/>
    <col min="2308" max="2308" width="9.375" style="2575" bestFit="1" customWidth="1"/>
    <col min="2309" max="2309" width="13.5" style="2575" customWidth="1"/>
    <col min="2310" max="2310" width="9" style="2575"/>
    <col min="2311" max="2311" width="9.375" style="2575" bestFit="1" customWidth="1"/>
    <col min="2312" max="2313" width="9" style="2575"/>
    <col min="2314" max="2314" width="9.375" style="2575" bestFit="1" customWidth="1"/>
    <col min="2315" max="2315" width="4" style="2575" customWidth="1"/>
    <col min="2316" max="2316" width="5.125" style="2575" customWidth="1"/>
    <col min="2317" max="2317" width="13.75" style="2575" customWidth="1"/>
    <col min="2318" max="2560" width="9" style="2575"/>
    <col min="2561" max="2561" width="4.875" style="2575" customWidth="1"/>
    <col min="2562" max="2562" width="13.25" style="2575" customWidth="1"/>
    <col min="2563" max="2563" width="15.625" style="2575" customWidth="1"/>
    <col min="2564" max="2564" width="9.375" style="2575" bestFit="1" customWidth="1"/>
    <col min="2565" max="2565" width="13.5" style="2575" customWidth="1"/>
    <col min="2566" max="2566" width="9" style="2575"/>
    <col min="2567" max="2567" width="9.375" style="2575" bestFit="1" customWidth="1"/>
    <col min="2568" max="2569" width="9" style="2575"/>
    <col min="2570" max="2570" width="9.375" style="2575" bestFit="1" customWidth="1"/>
    <col min="2571" max="2571" width="4" style="2575" customWidth="1"/>
    <col min="2572" max="2572" width="5.125" style="2575" customWidth="1"/>
    <col min="2573" max="2573" width="13.75" style="2575" customWidth="1"/>
    <col min="2574" max="2816" width="9" style="2575"/>
    <col min="2817" max="2817" width="4.875" style="2575" customWidth="1"/>
    <col min="2818" max="2818" width="13.25" style="2575" customWidth="1"/>
    <col min="2819" max="2819" width="15.625" style="2575" customWidth="1"/>
    <col min="2820" max="2820" width="9.375" style="2575" bestFit="1" customWidth="1"/>
    <col min="2821" max="2821" width="13.5" style="2575" customWidth="1"/>
    <col min="2822" max="2822" width="9" style="2575"/>
    <col min="2823" max="2823" width="9.375" style="2575" bestFit="1" customWidth="1"/>
    <col min="2824" max="2825" width="9" style="2575"/>
    <col min="2826" max="2826" width="9.375" style="2575" bestFit="1" customWidth="1"/>
    <col min="2827" max="2827" width="4" style="2575" customWidth="1"/>
    <col min="2828" max="2828" width="5.125" style="2575" customWidth="1"/>
    <col min="2829" max="2829" width="13.75" style="2575" customWidth="1"/>
    <col min="2830" max="3072" width="9" style="2575"/>
    <col min="3073" max="3073" width="4.875" style="2575" customWidth="1"/>
    <col min="3074" max="3074" width="13.25" style="2575" customWidth="1"/>
    <col min="3075" max="3075" width="15.625" style="2575" customWidth="1"/>
    <col min="3076" max="3076" width="9.375" style="2575" bestFit="1" customWidth="1"/>
    <col min="3077" max="3077" width="13.5" style="2575" customWidth="1"/>
    <col min="3078" max="3078" width="9" style="2575"/>
    <col min="3079" max="3079" width="9.375" style="2575" bestFit="1" customWidth="1"/>
    <col min="3080" max="3081" width="9" style="2575"/>
    <col min="3082" max="3082" width="9.375" style="2575" bestFit="1" customWidth="1"/>
    <col min="3083" max="3083" width="4" style="2575" customWidth="1"/>
    <col min="3084" max="3084" width="5.125" style="2575" customWidth="1"/>
    <col min="3085" max="3085" width="13.75" style="2575" customWidth="1"/>
    <col min="3086" max="3328" width="9" style="2575"/>
    <col min="3329" max="3329" width="4.875" style="2575" customWidth="1"/>
    <col min="3330" max="3330" width="13.25" style="2575" customWidth="1"/>
    <col min="3331" max="3331" width="15.625" style="2575" customWidth="1"/>
    <col min="3332" max="3332" width="9.375" style="2575" bestFit="1" customWidth="1"/>
    <col min="3333" max="3333" width="13.5" style="2575" customWidth="1"/>
    <col min="3334" max="3334" width="9" style="2575"/>
    <col min="3335" max="3335" width="9.375" style="2575" bestFit="1" customWidth="1"/>
    <col min="3336" max="3337" width="9" style="2575"/>
    <col min="3338" max="3338" width="9.375" style="2575" bestFit="1" customWidth="1"/>
    <col min="3339" max="3339" width="4" style="2575" customWidth="1"/>
    <col min="3340" max="3340" width="5.125" style="2575" customWidth="1"/>
    <col min="3341" max="3341" width="13.75" style="2575" customWidth="1"/>
    <col min="3342" max="3584" width="9" style="2575"/>
    <col min="3585" max="3585" width="4.875" style="2575" customWidth="1"/>
    <col min="3586" max="3586" width="13.25" style="2575" customWidth="1"/>
    <col min="3587" max="3587" width="15.625" style="2575" customWidth="1"/>
    <col min="3588" max="3588" width="9.375" style="2575" bestFit="1" customWidth="1"/>
    <col min="3589" max="3589" width="13.5" style="2575" customWidth="1"/>
    <col min="3590" max="3590" width="9" style="2575"/>
    <col min="3591" max="3591" width="9.375" style="2575" bestFit="1" customWidth="1"/>
    <col min="3592" max="3593" width="9" style="2575"/>
    <col min="3594" max="3594" width="9.375" style="2575" bestFit="1" customWidth="1"/>
    <col min="3595" max="3595" width="4" style="2575" customWidth="1"/>
    <col min="3596" max="3596" width="5.125" style="2575" customWidth="1"/>
    <col min="3597" max="3597" width="13.75" style="2575" customWidth="1"/>
    <col min="3598" max="3840" width="9" style="2575"/>
    <col min="3841" max="3841" width="4.875" style="2575" customWidth="1"/>
    <col min="3842" max="3842" width="13.25" style="2575" customWidth="1"/>
    <col min="3843" max="3843" width="15.625" style="2575" customWidth="1"/>
    <col min="3844" max="3844" width="9.375" style="2575" bestFit="1" customWidth="1"/>
    <col min="3845" max="3845" width="13.5" style="2575" customWidth="1"/>
    <col min="3846" max="3846" width="9" style="2575"/>
    <col min="3847" max="3847" width="9.375" style="2575" bestFit="1" customWidth="1"/>
    <col min="3848" max="3849" width="9" style="2575"/>
    <col min="3850" max="3850" width="9.375" style="2575" bestFit="1" customWidth="1"/>
    <col min="3851" max="3851" width="4" style="2575" customWidth="1"/>
    <col min="3852" max="3852" width="5.125" style="2575" customWidth="1"/>
    <col min="3853" max="3853" width="13.75" style="2575" customWidth="1"/>
    <col min="3854" max="4096" width="9" style="2575"/>
    <col min="4097" max="4097" width="4.875" style="2575" customWidth="1"/>
    <col min="4098" max="4098" width="13.25" style="2575" customWidth="1"/>
    <col min="4099" max="4099" width="15.625" style="2575" customWidth="1"/>
    <col min="4100" max="4100" width="9.375" style="2575" bestFit="1" customWidth="1"/>
    <col min="4101" max="4101" width="13.5" style="2575" customWidth="1"/>
    <col min="4102" max="4102" width="9" style="2575"/>
    <col min="4103" max="4103" width="9.375" style="2575" bestFit="1" customWidth="1"/>
    <col min="4104" max="4105" width="9" style="2575"/>
    <col min="4106" max="4106" width="9.375" style="2575" bestFit="1" customWidth="1"/>
    <col min="4107" max="4107" width="4" style="2575" customWidth="1"/>
    <col min="4108" max="4108" width="5.125" style="2575" customWidth="1"/>
    <col min="4109" max="4109" width="13.75" style="2575" customWidth="1"/>
    <col min="4110" max="4352" width="9" style="2575"/>
    <col min="4353" max="4353" width="4.875" style="2575" customWidth="1"/>
    <col min="4354" max="4354" width="13.25" style="2575" customWidth="1"/>
    <col min="4355" max="4355" width="15.625" style="2575" customWidth="1"/>
    <col min="4356" max="4356" width="9.375" style="2575" bestFit="1" customWidth="1"/>
    <col min="4357" max="4357" width="13.5" style="2575" customWidth="1"/>
    <col min="4358" max="4358" width="9" style="2575"/>
    <col min="4359" max="4359" width="9.375" style="2575" bestFit="1" customWidth="1"/>
    <col min="4360" max="4361" width="9" style="2575"/>
    <col min="4362" max="4362" width="9.375" style="2575" bestFit="1" customWidth="1"/>
    <col min="4363" max="4363" width="4" style="2575" customWidth="1"/>
    <col min="4364" max="4364" width="5.125" style="2575" customWidth="1"/>
    <col min="4365" max="4365" width="13.75" style="2575" customWidth="1"/>
    <col min="4366" max="4608" width="9" style="2575"/>
    <col min="4609" max="4609" width="4.875" style="2575" customWidth="1"/>
    <col min="4610" max="4610" width="13.25" style="2575" customWidth="1"/>
    <col min="4611" max="4611" width="15.625" style="2575" customWidth="1"/>
    <col min="4612" max="4612" width="9.375" style="2575" bestFit="1" customWidth="1"/>
    <col min="4613" max="4613" width="13.5" style="2575" customWidth="1"/>
    <col min="4614" max="4614" width="9" style="2575"/>
    <col min="4615" max="4615" width="9.375" style="2575" bestFit="1" customWidth="1"/>
    <col min="4616" max="4617" width="9" style="2575"/>
    <col min="4618" max="4618" width="9.375" style="2575" bestFit="1" customWidth="1"/>
    <col min="4619" max="4619" width="4" style="2575" customWidth="1"/>
    <col min="4620" max="4620" width="5.125" style="2575" customWidth="1"/>
    <col min="4621" max="4621" width="13.75" style="2575" customWidth="1"/>
    <col min="4622" max="4864" width="9" style="2575"/>
    <col min="4865" max="4865" width="4.875" style="2575" customWidth="1"/>
    <col min="4866" max="4866" width="13.25" style="2575" customWidth="1"/>
    <col min="4867" max="4867" width="15.625" style="2575" customWidth="1"/>
    <col min="4868" max="4868" width="9.375" style="2575" bestFit="1" customWidth="1"/>
    <col min="4869" max="4869" width="13.5" style="2575" customWidth="1"/>
    <col min="4870" max="4870" width="9" style="2575"/>
    <col min="4871" max="4871" width="9.375" style="2575" bestFit="1" customWidth="1"/>
    <col min="4872" max="4873" width="9" style="2575"/>
    <col min="4874" max="4874" width="9.375" style="2575" bestFit="1" customWidth="1"/>
    <col min="4875" max="4875" width="4" style="2575" customWidth="1"/>
    <col min="4876" max="4876" width="5.125" style="2575" customWidth="1"/>
    <col min="4877" max="4877" width="13.75" style="2575" customWidth="1"/>
    <col min="4878" max="5120" width="9" style="2575"/>
    <col min="5121" max="5121" width="4.875" style="2575" customWidth="1"/>
    <col min="5122" max="5122" width="13.25" style="2575" customWidth="1"/>
    <col min="5123" max="5123" width="15.625" style="2575" customWidth="1"/>
    <col min="5124" max="5124" width="9.375" style="2575" bestFit="1" customWidth="1"/>
    <col min="5125" max="5125" width="13.5" style="2575" customWidth="1"/>
    <col min="5126" max="5126" width="9" style="2575"/>
    <col min="5127" max="5127" width="9.375" style="2575" bestFit="1" customWidth="1"/>
    <col min="5128" max="5129" width="9" style="2575"/>
    <col min="5130" max="5130" width="9.375" style="2575" bestFit="1" customWidth="1"/>
    <col min="5131" max="5131" width="4" style="2575" customWidth="1"/>
    <col min="5132" max="5132" width="5.125" style="2575" customWidth="1"/>
    <col min="5133" max="5133" width="13.75" style="2575" customWidth="1"/>
    <col min="5134" max="5376" width="9" style="2575"/>
    <col min="5377" max="5377" width="4.875" style="2575" customWidth="1"/>
    <col min="5378" max="5378" width="13.25" style="2575" customWidth="1"/>
    <col min="5379" max="5379" width="15.625" style="2575" customWidth="1"/>
    <col min="5380" max="5380" width="9.375" style="2575" bestFit="1" customWidth="1"/>
    <col min="5381" max="5381" width="13.5" style="2575" customWidth="1"/>
    <col min="5382" max="5382" width="9" style="2575"/>
    <col min="5383" max="5383" width="9.375" style="2575" bestFit="1" customWidth="1"/>
    <col min="5384" max="5385" width="9" style="2575"/>
    <col min="5386" max="5386" width="9.375" style="2575" bestFit="1" customWidth="1"/>
    <col min="5387" max="5387" width="4" style="2575" customWidth="1"/>
    <col min="5388" max="5388" width="5.125" style="2575" customWidth="1"/>
    <col min="5389" max="5389" width="13.75" style="2575" customWidth="1"/>
    <col min="5390" max="5632" width="9" style="2575"/>
    <col min="5633" max="5633" width="4.875" style="2575" customWidth="1"/>
    <col min="5634" max="5634" width="13.25" style="2575" customWidth="1"/>
    <col min="5635" max="5635" width="15.625" style="2575" customWidth="1"/>
    <col min="5636" max="5636" width="9.375" style="2575" bestFit="1" customWidth="1"/>
    <col min="5637" max="5637" width="13.5" style="2575" customWidth="1"/>
    <col min="5638" max="5638" width="9" style="2575"/>
    <col min="5639" max="5639" width="9.375" style="2575" bestFit="1" customWidth="1"/>
    <col min="5640" max="5641" width="9" style="2575"/>
    <col min="5642" max="5642" width="9.375" style="2575" bestFit="1" customWidth="1"/>
    <col min="5643" max="5643" width="4" style="2575" customWidth="1"/>
    <col min="5644" max="5644" width="5.125" style="2575" customWidth="1"/>
    <col min="5645" max="5645" width="13.75" style="2575" customWidth="1"/>
    <col min="5646" max="5888" width="9" style="2575"/>
    <col min="5889" max="5889" width="4.875" style="2575" customWidth="1"/>
    <col min="5890" max="5890" width="13.25" style="2575" customWidth="1"/>
    <col min="5891" max="5891" width="15.625" style="2575" customWidth="1"/>
    <col min="5892" max="5892" width="9.375" style="2575" bestFit="1" customWidth="1"/>
    <col min="5893" max="5893" width="13.5" style="2575" customWidth="1"/>
    <col min="5894" max="5894" width="9" style="2575"/>
    <col min="5895" max="5895" width="9.375" style="2575" bestFit="1" customWidth="1"/>
    <col min="5896" max="5897" width="9" style="2575"/>
    <col min="5898" max="5898" width="9.375" style="2575" bestFit="1" customWidth="1"/>
    <col min="5899" max="5899" width="4" style="2575" customWidth="1"/>
    <col min="5900" max="5900" width="5.125" style="2575" customWidth="1"/>
    <col min="5901" max="5901" width="13.75" style="2575" customWidth="1"/>
    <col min="5902" max="6144" width="9" style="2575"/>
    <col min="6145" max="6145" width="4.875" style="2575" customWidth="1"/>
    <col min="6146" max="6146" width="13.25" style="2575" customWidth="1"/>
    <col min="6147" max="6147" width="15.625" style="2575" customWidth="1"/>
    <col min="6148" max="6148" width="9.375" style="2575" bestFit="1" customWidth="1"/>
    <col min="6149" max="6149" width="13.5" style="2575" customWidth="1"/>
    <col min="6150" max="6150" width="9" style="2575"/>
    <col min="6151" max="6151" width="9.375" style="2575" bestFit="1" customWidth="1"/>
    <col min="6152" max="6153" width="9" style="2575"/>
    <col min="6154" max="6154" width="9.375" style="2575" bestFit="1" customWidth="1"/>
    <col min="6155" max="6155" width="4" style="2575" customWidth="1"/>
    <col min="6156" max="6156" width="5.125" style="2575" customWidth="1"/>
    <col min="6157" max="6157" width="13.75" style="2575" customWidth="1"/>
    <col min="6158" max="6400" width="9" style="2575"/>
    <col min="6401" max="6401" width="4.875" style="2575" customWidth="1"/>
    <col min="6402" max="6402" width="13.25" style="2575" customWidth="1"/>
    <col min="6403" max="6403" width="15.625" style="2575" customWidth="1"/>
    <col min="6404" max="6404" width="9.375" style="2575" bestFit="1" customWidth="1"/>
    <col min="6405" max="6405" width="13.5" style="2575" customWidth="1"/>
    <col min="6406" max="6406" width="9" style="2575"/>
    <col min="6407" max="6407" width="9.375" style="2575" bestFit="1" customWidth="1"/>
    <col min="6408" max="6409" width="9" style="2575"/>
    <col min="6410" max="6410" width="9.375" style="2575" bestFit="1" customWidth="1"/>
    <col min="6411" max="6411" width="4" style="2575" customWidth="1"/>
    <col min="6412" max="6412" width="5.125" style="2575" customWidth="1"/>
    <col min="6413" max="6413" width="13.75" style="2575" customWidth="1"/>
    <col min="6414" max="6656" width="9" style="2575"/>
    <col min="6657" max="6657" width="4.875" style="2575" customWidth="1"/>
    <col min="6658" max="6658" width="13.25" style="2575" customWidth="1"/>
    <col min="6659" max="6659" width="15.625" style="2575" customWidth="1"/>
    <col min="6660" max="6660" width="9.375" style="2575" bestFit="1" customWidth="1"/>
    <col min="6661" max="6661" width="13.5" style="2575" customWidth="1"/>
    <col min="6662" max="6662" width="9" style="2575"/>
    <col min="6663" max="6663" width="9.375" style="2575" bestFit="1" customWidth="1"/>
    <col min="6664" max="6665" width="9" style="2575"/>
    <col min="6666" max="6666" width="9.375" style="2575" bestFit="1" customWidth="1"/>
    <col min="6667" max="6667" width="4" style="2575" customWidth="1"/>
    <col min="6668" max="6668" width="5.125" style="2575" customWidth="1"/>
    <col min="6669" max="6669" width="13.75" style="2575" customWidth="1"/>
    <col min="6670" max="6912" width="9" style="2575"/>
    <col min="6913" max="6913" width="4.875" style="2575" customWidth="1"/>
    <col min="6914" max="6914" width="13.25" style="2575" customWidth="1"/>
    <col min="6915" max="6915" width="15.625" style="2575" customWidth="1"/>
    <col min="6916" max="6916" width="9.375" style="2575" bestFit="1" customWidth="1"/>
    <col min="6917" max="6917" width="13.5" style="2575" customWidth="1"/>
    <col min="6918" max="6918" width="9" style="2575"/>
    <col min="6919" max="6919" width="9.375" style="2575" bestFit="1" customWidth="1"/>
    <col min="6920" max="6921" width="9" style="2575"/>
    <col min="6922" max="6922" width="9.375" style="2575" bestFit="1" customWidth="1"/>
    <col min="6923" max="6923" width="4" style="2575" customWidth="1"/>
    <col min="6924" max="6924" width="5.125" style="2575" customWidth="1"/>
    <col min="6925" max="6925" width="13.75" style="2575" customWidth="1"/>
    <col min="6926" max="7168" width="9" style="2575"/>
    <col min="7169" max="7169" width="4.875" style="2575" customWidth="1"/>
    <col min="7170" max="7170" width="13.25" style="2575" customWidth="1"/>
    <col min="7171" max="7171" width="15.625" style="2575" customWidth="1"/>
    <col min="7172" max="7172" width="9.375" style="2575" bestFit="1" customWidth="1"/>
    <col min="7173" max="7173" width="13.5" style="2575" customWidth="1"/>
    <col min="7174" max="7174" width="9" style="2575"/>
    <col min="7175" max="7175" width="9.375" style="2575" bestFit="1" customWidth="1"/>
    <col min="7176" max="7177" width="9" style="2575"/>
    <col min="7178" max="7178" width="9.375" style="2575" bestFit="1" customWidth="1"/>
    <col min="7179" max="7179" width="4" style="2575" customWidth="1"/>
    <col min="7180" max="7180" width="5.125" style="2575" customWidth="1"/>
    <col min="7181" max="7181" width="13.75" style="2575" customWidth="1"/>
    <col min="7182" max="7424" width="9" style="2575"/>
    <col min="7425" max="7425" width="4.875" style="2575" customWidth="1"/>
    <col min="7426" max="7426" width="13.25" style="2575" customWidth="1"/>
    <col min="7427" max="7427" width="15.625" style="2575" customWidth="1"/>
    <col min="7428" max="7428" width="9.375" style="2575" bestFit="1" customWidth="1"/>
    <col min="7429" max="7429" width="13.5" style="2575" customWidth="1"/>
    <col min="7430" max="7430" width="9" style="2575"/>
    <col min="7431" max="7431" width="9.375" style="2575" bestFit="1" customWidth="1"/>
    <col min="7432" max="7433" width="9" style="2575"/>
    <col min="7434" max="7434" width="9.375" style="2575" bestFit="1" customWidth="1"/>
    <col min="7435" max="7435" width="4" style="2575" customWidth="1"/>
    <col min="7436" max="7436" width="5.125" style="2575" customWidth="1"/>
    <col min="7437" max="7437" width="13.75" style="2575" customWidth="1"/>
    <col min="7438" max="7680" width="9" style="2575"/>
    <col min="7681" max="7681" width="4.875" style="2575" customWidth="1"/>
    <col min="7682" max="7682" width="13.25" style="2575" customWidth="1"/>
    <col min="7683" max="7683" width="15.625" style="2575" customWidth="1"/>
    <col min="7684" max="7684" width="9.375" style="2575" bestFit="1" customWidth="1"/>
    <col min="7685" max="7685" width="13.5" style="2575" customWidth="1"/>
    <col min="7686" max="7686" width="9" style="2575"/>
    <col min="7687" max="7687" width="9.375" style="2575" bestFit="1" customWidth="1"/>
    <col min="7688" max="7689" width="9" style="2575"/>
    <col min="7690" max="7690" width="9.375" style="2575" bestFit="1" customWidth="1"/>
    <col min="7691" max="7691" width="4" style="2575" customWidth="1"/>
    <col min="7692" max="7692" width="5.125" style="2575" customWidth="1"/>
    <col min="7693" max="7693" width="13.75" style="2575" customWidth="1"/>
    <col min="7694" max="7936" width="9" style="2575"/>
    <col min="7937" max="7937" width="4.875" style="2575" customWidth="1"/>
    <col min="7938" max="7938" width="13.25" style="2575" customWidth="1"/>
    <col min="7939" max="7939" width="15.625" style="2575" customWidth="1"/>
    <col min="7940" max="7940" width="9.375" style="2575" bestFit="1" customWidth="1"/>
    <col min="7941" max="7941" width="13.5" style="2575" customWidth="1"/>
    <col min="7942" max="7942" width="9" style="2575"/>
    <col min="7943" max="7943" width="9.375" style="2575" bestFit="1" customWidth="1"/>
    <col min="7944" max="7945" width="9" style="2575"/>
    <col min="7946" max="7946" width="9.375" style="2575" bestFit="1" customWidth="1"/>
    <col min="7947" max="7947" width="4" style="2575" customWidth="1"/>
    <col min="7948" max="7948" width="5.125" style="2575" customWidth="1"/>
    <col min="7949" max="7949" width="13.75" style="2575" customWidth="1"/>
    <col min="7950" max="8192" width="9" style="2575"/>
    <col min="8193" max="8193" width="4.875" style="2575" customWidth="1"/>
    <col min="8194" max="8194" width="13.25" style="2575" customWidth="1"/>
    <col min="8195" max="8195" width="15.625" style="2575" customWidth="1"/>
    <col min="8196" max="8196" width="9.375" style="2575" bestFit="1" customWidth="1"/>
    <col min="8197" max="8197" width="13.5" style="2575" customWidth="1"/>
    <col min="8198" max="8198" width="9" style="2575"/>
    <col min="8199" max="8199" width="9.375" style="2575" bestFit="1" customWidth="1"/>
    <col min="8200" max="8201" width="9" style="2575"/>
    <col min="8202" max="8202" width="9.375" style="2575" bestFit="1" customWidth="1"/>
    <col min="8203" max="8203" width="4" style="2575" customWidth="1"/>
    <col min="8204" max="8204" width="5.125" style="2575" customWidth="1"/>
    <col min="8205" max="8205" width="13.75" style="2575" customWidth="1"/>
    <col min="8206" max="8448" width="9" style="2575"/>
    <col min="8449" max="8449" width="4.875" style="2575" customWidth="1"/>
    <col min="8450" max="8450" width="13.25" style="2575" customWidth="1"/>
    <col min="8451" max="8451" width="15.625" style="2575" customWidth="1"/>
    <col min="8452" max="8452" width="9.375" style="2575" bestFit="1" customWidth="1"/>
    <col min="8453" max="8453" width="13.5" style="2575" customWidth="1"/>
    <col min="8454" max="8454" width="9" style="2575"/>
    <col min="8455" max="8455" width="9.375" style="2575" bestFit="1" customWidth="1"/>
    <col min="8456" max="8457" width="9" style="2575"/>
    <col min="8458" max="8458" width="9.375" style="2575" bestFit="1" customWidth="1"/>
    <col min="8459" max="8459" width="4" style="2575" customWidth="1"/>
    <col min="8460" max="8460" width="5.125" style="2575" customWidth="1"/>
    <col min="8461" max="8461" width="13.75" style="2575" customWidth="1"/>
    <col min="8462" max="8704" width="9" style="2575"/>
    <col min="8705" max="8705" width="4.875" style="2575" customWidth="1"/>
    <col min="8706" max="8706" width="13.25" style="2575" customWidth="1"/>
    <col min="8707" max="8707" width="15.625" style="2575" customWidth="1"/>
    <col min="8708" max="8708" width="9.375" style="2575" bestFit="1" customWidth="1"/>
    <col min="8709" max="8709" width="13.5" style="2575" customWidth="1"/>
    <col min="8710" max="8710" width="9" style="2575"/>
    <col min="8711" max="8711" width="9.375" style="2575" bestFit="1" customWidth="1"/>
    <col min="8712" max="8713" width="9" style="2575"/>
    <col min="8714" max="8714" width="9.375" style="2575" bestFit="1" customWidth="1"/>
    <col min="8715" max="8715" width="4" style="2575" customWidth="1"/>
    <col min="8716" max="8716" width="5.125" style="2575" customWidth="1"/>
    <col min="8717" max="8717" width="13.75" style="2575" customWidth="1"/>
    <col min="8718" max="8960" width="9" style="2575"/>
    <col min="8961" max="8961" width="4.875" style="2575" customWidth="1"/>
    <col min="8962" max="8962" width="13.25" style="2575" customWidth="1"/>
    <col min="8963" max="8963" width="15.625" style="2575" customWidth="1"/>
    <col min="8964" max="8964" width="9.375" style="2575" bestFit="1" customWidth="1"/>
    <col min="8965" max="8965" width="13.5" style="2575" customWidth="1"/>
    <col min="8966" max="8966" width="9" style="2575"/>
    <col min="8967" max="8967" width="9.375" style="2575" bestFit="1" customWidth="1"/>
    <col min="8968" max="8969" width="9" style="2575"/>
    <col min="8970" max="8970" width="9.375" style="2575" bestFit="1" customWidth="1"/>
    <col min="8971" max="8971" width="4" style="2575" customWidth="1"/>
    <col min="8972" max="8972" width="5.125" style="2575" customWidth="1"/>
    <col min="8973" max="8973" width="13.75" style="2575" customWidth="1"/>
    <col min="8974" max="9216" width="9" style="2575"/>
    <col min="9217" max="9217" width="4.875" style="2575" customWidth="1"/>
    <col min="9218" max="9218" width="13.25" style="2575" customWidth="1"/>
    <col min="9219" max="9219" width="15.625" style="2575" customWidth="1"/>
    <col min="9220" max="9220" width="9.375" style="2575" bestFit="1" customWidth="1"/>
    <col min="9221" max="9221" width="13.5" style="2575" customWidth="1"/>
    <col min="9222" max="9222" width="9" style="2575"/>
    <col min="9223" max="9223" width="9.375" style="2575" bestFit="1" customWidth="1"/>
    <col min="9224" max="9225" width="9" style="2575"/>
    <col min="9226" max="9226" width="9.375" style="2575" bestFit="1" customWidth="1"/>
    <col min="9227" max="9227" width="4" style="2575" customWidth="1"/>
    <col min="9228" max="9228" width="5.125" style="2575" customWidth="1"/>
    <col min="9229" max="9229" width="13.75" style="2575" customWidth="1"/>
    <col min="9230" max="9472" width="9" style="2575"/>
    <col min="9473" max="9473" width="4.875" style="2575" customWidth="1"/>
    <col min="9474" max="9474" width="13.25" style="2575" customWidth="1"/>
    <col min="9475" max="9475" width="15.625" style="2575" customWidth="1"/>
    <col min="9476" max="9476" width="9.375" style="2575" bestFit="1" customWidth="1"/>
    <col min="9477" max="9477" width="13.5" style="2575" customWidth="1"/>
    <col min="9478" max="9478" width="9" style="2575"/>
    <col min="9479" max="9479" width="9.375" style="2575" bestFit="1" customWidth="1"/>
    <col min="9480" max="9481" width="9" style="2575"/>
    <col min="9482" max="9482" width="9.375" style="2575" bestFit="1" customWidth="1"/>
    <col min="9483" max="9483" width="4" style="2575" customWidth="1"/>
    <col min="9484" max="9484" width="5.125" style="2575" customWidth="1"/>
    <col min="9485" max="9485" width="13.75" style="2575" customWidth="1"/>
    <col min="9486" max="9728" width="9" style="2575"/>
    <col min="9729" max="9729" width="4.875" style="2575" customWidth="1"/>
    <col min="9730" max="9730" width="13.25" style="2575" customWidth="1"/>
    <col min="9731" max="9731" width="15.625" style="2575" customWidth="1"/>
    <col min="9732" max="9732" width="9.375" style="2575" bestFit="1" customWidth="1"/>
    <col min="9733" max="9733" width="13.5" style="2575" customWidth="1"/>
    <col min="9734" max="9734" width="9" style="2575"/>
    <col min="9735" max="9735" width="9.375" style="2575" bestFit="1" customWidth="1"/>
    <col min="9736" max="9737" width="9" style="2575"/>
    <col min="9738" max="9738" width="9.375" style="2575" bestFit="1" customWidth="1"/>
    <col min="9739" max="9739" width="4" style="2575" customWidth="1"/>
    <col min="9740" max="9740" width="5.125" style="2575" customWidth="1"/>
    <col min="9741" max="9741" width="13.75" style="2575" customWidth="1"/>
    <col min="9742" max="9984" width="9" style="2575"/>
    <col min="9985" max="9985" width="4.875" style="2575" customWidth="1"/>
    <col min="9986" max="9986" width="13.25" style="2575" customWidth="1"/>
    <col min="9987" max="9987" width="15.625" style="2575" customWidth="1"/>
    <col min="9988" max="9988" width="9.375" style="2575" bestFit="1" customWidth="1"/>
    <col min="9989" max="9989" width="13.5" style="2575" customWidth="1"/>
    <col min="9990" max="9990" width="9" style="2575"/>
    <col min="9991" max="9991" width="9.375" style="2575" bestFit="1" customWidth="1"/>
    <col min="9992" max="9993" width="9" style="2575"/>
    <col min="9994" max="9994" width="9.375" style="2575" bestFit="1" customWidth="1"/>
    <col min="9995" max="9995" width="4" style="2575" customWidth="1"/>
    <col min="9996" max="9996" width="5.125" style="2575" customWidth="1"/>
    <col min="9997" max="9997" width="13.75" style="2575" customWidth="1"/>
    <col min="9998" max="10240" width="9" style="2575"/>
    <col min="10241" max="10241" width="4.875" style="2575" customWidth="1"/>
    <col min="10242" max="10242" width="13.25" style="2575" customWidth="1"/>
    <col min="10243" max="10243" width="15.625" style="2575" customWidth="1"/>
    <col min="10244" max="10244" width="9.375" style="2575" bestFit="1" customWidth="1"/>
    <col min="10245" max="10245" width="13.5" style="2575" customWidth="1"/>
    <col min="10246" max="10246" width="9" style="2575"/>
    <col min="10247" max="10247" width="9.375" style="2575" bestFit="1" customWidth="1"/>
    <col min="10248" max="10249" width="9" style="2575"/>
    <col min="10250" max="10250" width="9.375" style="2575" bestFit="1" customWidth="1"/>
    <col min="10251" max="10251" width="4" style="2575" customWidth="1"/>
    <col min="10252" max="10252" width="5.125" style="2575" customWidth="1"/>
    <col min="10253" max="10253" width="13.75" style="2575" customWidth="1"/>
    <col min="10254" max="10496" width="9" style="2575"/>
    <col min="10497" max="10497" width="4.875" style="2575" customWidth="1"/>
    <col min="10498" max="10498" width="13.25" style="2575" customWidth="1"/>
    <col min="10499" max="10499" width="15.625" style="2575" customWidth="1"/>
    <col min="10500" max="10500" width="9.375" style="2575" bestFit="1" customWidth="1"/>
    <col min="10501" max="10501" width="13.5" style="2575" customWidth="1"/>
    <col min="10502" max="10502" width="9" style="2575"/>
    <col min="10503" max="10503" width="9.375" style="2575" bestFit="1" customWidth="1"/>
    <col min="10504" max="10505" width="9" style="2575"/>
    <col min="10506" max="10506" width="9.375" style="2575" bestFit="1" customWidth="1"/>
    <col min="10507" max="10507" width="4" style="2575" customWidth="1"/>
    <col min="10508" max="10508" width="5.125" style="2575" customWidth="1"/>
    <col min="10509" max="10509" width="13.75" style="2575" customWidth="1"/>
    <col min="10510" max="10752" width="9" style="2575"/>
    <col min="10753" max="10753" width="4.875" style="2575" customWidth="1"/>
    <col min="10754" max="10754" width="13.25" style="2575" customWidth="1"/>
    <col min="10755" max="10755" width="15.625" style="2575" customWidth="1"/>
    <col min="10756" max="10756" width="9.375" style="2575" bestFit="1" customWidth="1"/>
    <col min="10757" max="10757" width="13.5" style="2575" customWidth="1"/>
    <col min="10758" max="10758" width="9" style="2575"/>
    <col min="10759" max="10759" width="9.375" style="2575" bestFit="1" customWidth="1"/>
    <col min="10760" max="10761" width="9" style="2575"/>
    <col min="10762" max="10762" width="9.375" style="2575" bestFit="1" customWidth="1"/>
    <col min="10763" max="10763" width="4" style="2575" customWidth="1"/>
    <col min="10764" max="10764" width="5.125" style="2575" customWidth="1"/>
    <col min="10765" max="10765" width="13.75" style="2575" customWidth="1"/>
    <col min="10766" max="11008" width="9" style="2575"/>
    <col min="11009" max="11009" width="4.875" style="2575" customWidth="1"/>
    <col min="11010" max="11010" width="13.25" style="2575" customWidth="1"/>
    <col min="11011" max="11011" width="15.625" style="2575" customWidth="1"/>
    <col min="11012" max="11012" width="9.375" style="2575" bestFit="1" customWidth="1"/>
    <col min="11013" max="11013" width="13.5" style="2575" customWidth="1"/>
    <col min="11014" max="11014" width="9" style="2575"/>
    <col min="11015" max="11015" width="9.375" style="2575" bestFit="1" customWidth="1"/>
    <col min="11016" max="11017" width="9" style="2575"/>
    <col min="11018" max="11018" width="9.375" style="2575" bestFit="1" customWidth="1"/>
    <col min="11019" max="11019" width="4" style="2575" customWidth="1"/>
    <col min="11020" max="11020" width="5.125" style="2575" customWidth="1"/>
    <col min="11021" max="11021" width="13.75" style="2575" customWidth="1"/>
    <col min="11022" max="11264" width="9" style="2575"/>
    <col min="11265" max="11265" width="4.875" style="2575" customWidth="1"/>
    <col min="11266" max="11266" width="13.25" style="2575" customWidth="1"/>
    <col min="11267" max="11267" width="15.625" style="2575" customWidth="1"/>
    <col min="11268" max="11268" width="9.375" style="2575" bestFit="1" customWidth="1"/>
    <col min="11269" max="11269" width="13.5" style="2575" customWidth="1"/>
    <col min="11270" max="11270" width="9" style="2575"/>
    <col min="11271" max="11271" width="9.375" style="2575" bestFit="1" customWidth="1"/>
    <col min="11272" max="11273" width="9" style="2575"/>
    <col min="11274" max="11274" width="9.375" style="2575" bestFit="1" customWidth="1"/>
    <col min="11275" max="11275" width="4" style="2575" customWidth="1"/>
    <col min="11276" max="11276" width="5.125" style="2575" customWidth="1"/>
    <col min="11277" max="11277" width="13.75" style="2575" customWidth="1"/>
    <col min="11278" max="11520" width="9" style="2575"/>
    <col min="11521" max="11521" width="4.875" style="2575" customWidth="1"/>
    <col min="11522" max="11522" width="13.25" style="2575" customWidth="1"/>
    <col min="11523" max="11523" width="15.625" style="2575" customWidth="1"/>
    <col min="11524" max="11524" width="9.375" style="2575" bestFit="1" customWidth="1"/>
    <col min="11525" max="11525" width="13.5" style="2575" customWidth="1"/>
    <col min="11526" max="11526" width="9" style="2575"/>
    <col min="11527" max="11527" width="9.375" style="2575" bestFit="1" customWidth="1"/>
    <col min="11528" max="11529" width="9" style="2575"/>
    <col min="11530" max="11530" width="9.375" style="2575" bestFit="1" customWidth="1"/>
    <col min="11531" max="11531" width="4" style="2575" customWidth="1"/>
    <col min="11532" max="11532" width="5.125" style="2575" customWidth="1"/>
    <col min="11533" max="11533" width="13.75" style="2575" customWidth="1"/>
    <col min="11534" max="11776" width="9" style="2575"/>
    <col min="11777" max="11777" width="4.875" style="2575" customWidth="1"/>
    <col min="11778" max="11778" width="13.25" style="2575" customWidth="1"/>
    <col min="11779" max="11779" width="15.625" style="2575" customWidth="1"/>
    <col min="11780" max="11780" width="9.375" style="2575" bestFit="1" customWidth="1"/>
    <col min="11781" max="11781" width="13.5" style="2575" customWidth="1"/>
    <col min="11782" max="11782" width="9" style="2575"/>
    <col min="11783" max="11783" width="9.375" style="2575" bestFit="1" customWidth="1"/>
    <col min="11784" max="11785" width="9" style="2575"/>
    <col min="11786" max="11786" width="9.375" style="2575" bestFit="1" customWidth="1"/>
    <col min="11787" max="11787" width="4" style="2575" customWidth="1"/>
    <col min="11788" max="11788" width="5.125" style="2575" customWidth="1"/>
    <col min="11789" max="11789" width="13.75" style="2575" customWidth="1"/>
    <col min="11790" max="12032" width="9" style="2575"/>
    <col min="12033" max="12033" width="4.875" style="2575" customWidth="1"/>
    <col min="12034" max="12034" width="13.25" style="2575" customWidth="1"/>
    <col min="12035" max="12035" width="15.625" style="2575" customWidth="1"/>
    <col min="12036" max="12036" width="9.375" style="2575" bestFit="1" customWidth="1"/>
    <col min="12037" max="12037" width="13.5" style="2575" customWidth="1"/>
    <col min="12038" max="12038" width="9" style="2575"/>
    <col min="12039" max="12039" width="9.375" style="2575" bestFit="1" customWidth="1"/>
    <col min="12040" max="12041" width="9" style="2575"/>
    <col min="12042" max="12042" width="9.375" style="2575" bestFit="1" customWidth="1"/>
    <col min="12043" max="12043" width="4" style="2575" customWidth="1"/>
    <col min="12044" max="12044" width="5.125" style="2575" customWidth="1"/>
    <col min="12045" max="12045" width="13.75" style="2575" customWidth="1"/>
    <col min="12046" max="12288" width="9" style="2575"/>
    <col min="12289" max="12289" width="4.875" style="2575" customWidth="1"/>
    <col min="12290" max="12290" width="13.25" style="2575" customWidth="1"/>
    <col min="12291" max="12291" width="15.625" style="2575" customWidth="1"/>
    <col min="12292" max="12292" width="9.375" style="2575" bestFit="1" customWidth="1"/>
    <col min="12293" max="12293" width="13.5" style="2575" customWidth="1"/>
    <col min="12294" max="12294" width="9" style="2575"/>
    <col min="12295" max="12295" width="9.375" style="2575" bestFit="1" customWidth="1"/>
    <col min="12296" max="12297" width="9" style="2575"/>
    <col min="12298" max="12298" width="9.375" style="2575" bestFit="1" customWidth="1"/>
    <col min="12299" max="12299" width="4" style="2575" customWidth="1"/>
    <col min="12300" max="12300" width="5.125" style="2575" customWidth="1"/>
    <col min="12301" max="12301" width="13.75" style="2575" customWidth="1"/>
    <col min="12302" max="12544" width="9" style="2575"/>
    <col min="12545" max="12545" width="4.875" style="2575" customWidth="1"/>
    <col min="12546" max="12546" width="13.25" style="2575" customWidth="1"/>
    <col min="12547" max="12547" width="15.625" style="2575" customWidth="1"/>
    <col min="12548" max="12548" width="9.375" style="2575" bestFit="1" customWidth="1"/>
    <col min="12549" max="12549" width="13.5" style="2575" customWidth="1"/>
    <col min="12550" max="12550" width="9" style="2575"/>
    <col min="12551" max="12551" width="9.375" style="2575" bestFit="1" customWidth="1"/>
    <col min="12552" max="12553" width="9" style="2575"/>
    <col min="12554" max="12554" width="9.375" style="2575" bestFit="1" customWidth="1"/>
    <col min="12555" max="12555" width="4" style="2575" customWidth="1"/>
    <col min="12556" max="12556" width="5.125" style="2575" customWidth="1"/>
    <col min="12557" max="12557" width="13.75" style="2575" customWidth="1"/>
    <col min="12558" max="12800" width="9" style="2575"/>
    <col min="12801" max="12801" width="4.875" style="2575" customWidth="1"/>
    <col min="12802" max="12802" width="13.25" style="2575" customWidth="1"/>
    <col min="12803" max="12803" width="15.625" style="2575" customWidth="1"/>
    <col min="12804" max="12804" width="9.375" style="2575" bestFit="1" customWidth="1"/>
    <col min="12805" max="12805" width="13.5" style="2575" customWidth="1"/>
    <col min="12806" max="12806" width="9" style="2575"/>
    <col min="12807" max="12807" width="9.375" style="2575" bestFit="1" customWidth="1"/>
    <col min="12808" max="12809" width="9" style="2575"/>
    <col min="12810" max="12810" width="9.375" style="2575" bestFit="1" customWidth="1"/>
    <col min="12811" max="12811" width="4" style="2575" customWidth="1"/>
    <col min="12812" max="12812" width="5.125" style="2575" customWidth="1"/>
    <col min="12813" max="12813" width="13.75" style="2575" customWidth="1"/>
    <col min="12814" max="13056" width="9" style="2575"/>
    <col min="13057" max="13057" width="4.875" style="2575" customWidth="1"/>
    <col min="13058" max="13058" width="13.25" style="2575" customWidth="1"/>
    <col min="13059" max="13059" width="15.625" style="2575" customWidth="1"/>
    <col min="13060" max="13060" width="9.375" style="2575" bestFit="1" customWidth="1"/>
    <col min="13061" max="13061" width="13.5" style="2575" customWidth="1"/>
    <col min="13062" max="13062" width="9" style="2575"/>
    <col min="13063" max="13063" width="9.375" style="2575" bestFit="1" customWidth="1"/>
    <col min="13064" max="13065" width="9" style="2575"/>
    <col min="13066" max="13066" width="9.375" style="2575" bestFit="1" customWidth="1"/>
    <col min="13067" max="13067" width="4" style="2575" customWidth="1"/>
    <col min="13068" max="13068" width="5.125" style="2575" customWidth="1"/>
    <col min="13069" max="13069" width="13.75" style="2575" customWidth="1"/>
    <col min="13070" max="13312" width="9" style="2575"/>
    <col min="13313" max="13313" width="4.875" style="2575" customWidth="1"/>
    <col min="13314" max="13314" width="13.25" style="2575" customWidth="1"/>
    <col min="13315" max="13315" width="15.625" style="2575" customWidth="1"/>
    <col min="13316" max="13316" width="9.375" style="2575" bestFit="1" customWidth="1"/>
    <col min="13317" max="13317" width="13.5" style="2575" customWidth="1"/>
    <col min="13318" max="13318" width="9" style="2575"/>
    <col min="13319" max="13319" width="9.375" style="2575" bestFit="1" customWidth="1"/>
    <col min="13320" max="13321" width="9" style="2575"/>
    <col min="13322" max="13322" width="9.375" style="2575" bestFit="1" customWidth="1"/>
    <col min="13323" max="13323" width="4" style="2575" customWidth="1"/>
    <col min="13324" max="13324" width="5.125" style="2575" customWidth="1"/>
    <col min="13325" max="13325" width="13.75" style="2575" customWidth="1"/>
    <col min="13326" max="13568" width="9" style="2575"/>
    <col min="13569" max="13569" width="4.875" style="2575" customWidth="1"/>
    <col min="13570" max="13570" width="13.25" style="2575" customWidth="1"/>
    <col min="13571" max="13571" width="15.625" style="2575" customWidth="1"/>
    <col min="13572" max="13572" width="9.375" style="2575" bestFit="1" customWidth="1"/>
    <col min="13573" max="13573" width="13.5" style="2575" customWidth="1"/>
    <col min="13574" max="13574" width="9" style="2575"/>
    <col min="13575" max="13575" width="9.375" style="2575" bestFit="1" customWidth="1"/>
    <col min="13576" max="13577" width="9" style="2575"/>
    <col min="13578" max="13578" width="9.375" style="2575" bestFit="1" customWidth="1"/>
    <col min="13579" max="13579" width="4" style="2575" customWidth="1"/>
    <col min="13580" max="13580" width="5.125" style="2575" customWidth="1"/>
    <col min="13581" max="13581" width="13.75" style="2575" customWidth="1"/>
    <col min="13582" max="13824" width="9" style="2575"/>
    <col min="13825" max="13825" width="4.875" style="2575" customWidth="1"/>
    <col min="13826" max="13826" width="13.25" style="2575" customWidth="1"/>
    <col min="13827" max="13827" width="15.625" style="2575" customWidth="1"/>
    <col min="13828" max="13828" width="9.375" style="2575" bestFit="1" customWidth="1"/>
    <col min="13829" max="13829" width="13.5" style="2575" customWidth="1"/>
    <col min="13830" max="13830" width="9" style="2575"/>
    <col min="13831" max="13831" width="9.375" style="2575" bestFit="1" customWidth="1"/>
    <col min="13832" max="13833" width="9" style="2575"/>
    <col min="13834" max="13834" width="9.375" style="2575" bestFit="1" customWidth="1"/>
    <col min="13835" max="13835" width="4" style="2575" customWidth="1"/>
    <col min="13836" max="13836" width="5.125" style="2575" customWidth="1"/>
    <col min="13837" max="13837" width="13.75" style="2575" customWidth="1"/>
    <col min="13838" max="14080" width="9" style="2575"/>
    <col min="14081" max="14081" width="4.875" style="2575" customWidth="1"/>
    <col min="14082" max="14082" width="13.25" style="2575" customWidth="1"/>
    <col min="14083" max="14083" width="15.625" style="2575" customWidth="1"/>
    <col min="14084" max="14084" width="9.375" style="2575" bestFit="1" customWidth="1"/>
    <col min="14085" max="14085" width="13.5" style="2575" customWidth="1"/>
    <col min="14086" max="14086" width="9" style="2575"/>
    <col min="14087" max="14087" width="9.375" style="2575" bestFit="1" customWidth="1"/>
    <col min="14088" max="14089" width="9" style="2575"/>
    <col min="14090" max="14090" width="9.375" style="2575" bestFit="1" customWidth="1"/>
    <col min="14091" max="14091" width="4" style="2575" customWidth="1"/>
    <col min="14092" max="14092" width="5.125" style="2575" customWidth="1"/>
    <col min="14093" max="14093" width="13.75" style="2575" customWidth="1"/>
    <col min="14094" max="14336" width="9" style="2575"/>
    <col min="14337" max="14337" width="4.875" style="2575" customWidth="1"/>
    <col min="14338" max="14338" width="13.25" style="2575" customWidth="1"/>
    <col min="14339" max="14339" width="15.625" style="2575" customWidth="1"/>
    <col min="14340" max="14340" width="9.375" style="2575" bestFit="1" customWidth="1"/>
    <col min="14341" max="14341" width="13.5" style="2575" customWidth="1"/>
    <col min="14342" max="14342" width="9" style="2575"/>
    <col min="14343" max="14343" width="9.375" style="2575" bestFit="1" customWidth="1"/>
    <col min="14344" max="14345" width="9" style="2575"/>
    <col min="14346" max="14346" width="9.375" style="2575" bestFit="1" customWidth="1"/>
    <col min="14347" max="14347" width="4" style="2575" customWidth="1"/>
    <col min="14348" max="14348" width="5.125" style="2575" customWidth="1"/>
    <col min="14349" max="14349" width="13.75" style="2575" customWidth="1"/>
    <col min="14350" max="14592" width="9" style="2575"/>
    <col min="14593" max="14593" width="4.875" style="2575" customWidth="1"/>
    <col min="14594" max="14594" width="13.25" style="2575" customWidth="1"/>
    <col min="14595" max="14595" width="15.625" style="2575" customWidth="1"/>
    <col min="14596" max="14596" width="9.375" style="2575" bestFit="1" customWidth="1"/>
    <col min="14597" max="14597" width="13.5" style="2575" customWidth="1"/>
    <col min="14598" max="14598" width="9" style="2575"/>
    <col min="14599" max="14599" width="9.375" style="2575" bestFit="1" customWidth="1"/>
    <col min="14600" max="14601" width="9" style="2575"/>
    <col min="14602" max="14602" width="9.375" style="2575" bestFit="1" customWidth="1"/>
    <col min="14603" max="14603" width="4" style="2575" customWidth="1"/>
    <col min="14604" max="14604" width="5.125" style="2575" customWidth="1"/>
    <col min="14605" max="14605" width="13.75" style="2575" customWidth="1"/>
    <col min="14606" max="14848" width="9" style="2575"/>
    <col min="14849" max="14849" width="4.875" style="2575" customWidth="1"/>
    <col min="14850" max="14850" width="13.25" style="2575" customWidth="1"/>
    <col min="14851" max="14851" width="15.625" style="2575" customWidth="1"/>
    <col min="14852" max="14852" width="9.375" style="2575" bestFit="1" customWidth="1"/>
    <col min="14853" max="14853" width="13.5" style="2575" customWidth="1"/>
    <col min="14854" max="14854" width="9" style="2575"/>
    <col min="14855" max="14855" width="9.375" style="2575" bestFit="1" customWidth="1"/>
    <col min="14856" max="14857" width="9" style="2575"/>
    <col min="14858" max="14858" width="9.375" style="2575" bestFit="1" customWidth="1"/>
    <col min="14859" max="14859" width="4" style="2575" customWidth="1"/>
    <col min="14860" max="14860" width="5.125" style="2575" customWidth="1"/>
    <col min="14861" max="14861" width="13.75" style="2575" customWidth="1"/>
    <col min="14862" max="15104" width="9" style="2575"/>
    <col min="15105" max="15105" width="4.875" style="2575" customWidth="1"/>
    <col min="15106" max="15106" width="13.25" style="2575" customWidth="1"/>
    <col min="15107" max="15107" width="15.625" style="2575" customWidth="1"/>
    <col min="15108" max="15108" width="9.375" style="2575" bestFit="1" customWidth="1"/>
    <col min="15109" max="15109" width="13.5" style="2575" customWidth="1"/>
    <col min="15110" max="15110" width="9" style="2575"/>
    <col min="15111" max="15111" width="9.375" style="2575" bestFit="1" customWidth="1"/>
    <col min="15112" max="15113" width="9" style="2575"/>
    <col min="15114" max="15114" width="9.375" style="2575" bestFit="1" customWidth="1"/>
    <col min="15115" max="15115" width="4" style="2575" customWidth="1"/>
    <col min="15116" max="15116" width="5.125" style="2575" customWidth="1"/>
    <col min="15117" max="15117" width="13.75" style="2575" customWidth="1"/>
    <col min="15118" max="15360" width="9" style="2575"/>
    <col min="15361" max="15361" width="4.875" style="2575" customWidth="1"/>
    <col min="15362" max="15362" width="13.25" style="2575" customWidth="1"/>
    <col min="15363" max="15363" width="15.625" style="2575" customWidth="1"/>
    <col min="15364" max="15364" width="9.375" style="2575" bestFit="1" customWidth="1"/>
    <col min="15365" max="15365" width="13.5" style="2575" customWidth="1"/>
    <col min="15366" max="15366" width="9" style="2575"/>
    <col min="15367" max="15367" width="9.375" style="2575" bestFit="1" customWidth="1"/>
    <col min="15368" max="15369" width="9" style="2575"/>
    <col min="15370" max="15370" width="9.375" style="2575" bestFit="1" customWidth="1"/>
    <col min="15371" max="15371" width="4" style="2575" customWidth="1"/>
    <col min="15372" max="15372" width="5.125" style="2575" customWidth="1"/>
    <col min="15373" max="15373" width="13.75" style="2575" customWidth="1"/>
    <col min="15374" max="15616" width="9" style="2575"/>
    <col min="15617" max="15617" width="4.875" style="2575" customWidth="1"/>
    <col min="15618" max="15618" width="13.25" style="2575" customWidth="1"/>
    <col min="15619" max="15619" width="15.625" style="2575" customWidth="1"/>
    <col min="15620" max="15620" width="9.375" style="2575" bestFit="1" customWidth="1"/>
    <col min="15621" max="15621" width="13.5" style="2575" customWidth="1"/>
    <col min="15622" max="15622" width="9" style="2575"/>
    <col min="15623" max="15623" width="9.375" style="2575" bestFit="1" customWidth="1"/>
    <col min="15624" max="15625" width="9" style="2575"/>
    <col min="15626" max="15626" width="9.375" style="2575" bestFit="1" customWidth="1"/>
    <col min="15627" max="15627" width="4" style="2575" customWidth="1"/>
    <col min="15628" max="15628" width="5.125" style="2575" customWidth="1"/>
    <col min="15629" max="15629" width="13.75" style="2575" customWidth="1"/>
    <col min="15630" max="15872" width="9" style="2575"/>
    <col min="15873" max="15873" width="4.875" style="2575" customWidth="1"/>
    <col min="15874" max="15874" width="13.25" style="2575" customWidth="1"/>
    <col min="15875" max="15875" width="15.625" style="2575" customWidth="1"/>
    <col min="15876" max="15876" width="9.375" style="2575" bestFit="1" customWidth="1"/>
    <col min="15877" max="15877" width="13.5" style="2575" customWidth="1"/>
    <col min="15878" max="15878" width="9" style="2575"/>
    <col min="15879" max="15879" width="9.375" style="2575" bestFit="1" customWidth="1"/>
    <col min="15880" max="15881" width="9" style="2575"/>
    <col min="15882" max="15882" width="9.375" style="2575" bestFit="1" customWidth="1"/>
    <col min="15883" max="15883" width="4" style="2575" customWidth="1"/>
    <col min="15884" max="15884" width="5.125" style="2575" customWidth="1"/>
    <col min="15885" max="15885" width="13.75" style="2575" customWidth="1"/>
    <col min="15886" max="16128" width="9" style="2575"/>
    <col min="16129" max="16129" width="4.875" style="2575" customWidth="1"/>
    <col min="16130" max="16130" width="13.25" style="2575" customWidth="1"/>
    <col min="16131" max="16131" width="15.625" style="2575" customWidth="1"/>
    <col min="16132" max="16132" width="9.375" style="2575" bestFit="1" customWidth="1"/>
    <col min="16133" max="16133" width="13.5" style="2575" customWidth="1"/>
    <col min="16134" max="16134" width="9" style="2575"/>
    <col min="16135" max="16135" width="9.375" style="2575" bestFit="1" customWidth="1"/>
    <col min="16136" max="16137" width="9" style="2575"/>
    <col min="16138" max="16138" width="9.375" style="2575" bestFit="1" customWidth="1"/>
    <col min="16139" max="16139" width="4" style="2575" customWidth="1"/>
    <col min="16140" max="16140" width="5.125" style="2575" customWidth="1"/>
    <col min="16141" max="16141" width="13.75" style="2575" customWidth="1"/>
    <col min="16142" max="16384" width="9" style="2575"/>
  </cols>
  <sheetData>
    <row r="1" spans="1:257" s="2634" customFormat="1" ht="14.25" thickBot="1">
      <c r="A1" s="2633"/>
      <c r="B1" s="2635" t="s">
        <v>2503</v>
      </c>
      <c r="C1" s="2639">
        <f>项目基本情况!D3</f>
        <v>44895</v>
      </c>
      <c r="H1" s="2574">
        <f>IF(C1&gt;C13,0,MATCH(C1,C$13:C$109,-1))+IF(SUMIF(C13:C109,C1,D13:D109)=0,13,12)</f>
        <v>13</v>
      </c>
      <c r="I1" s="2574">
        <f>MATCH(C2,H3:H7,1)+IF(SUMIF(H3:H7,C2,I3:I7)=0,2,1)</f>
        <v>5</v>
      </c>
      <c r="J1" s="2632">
        <f ca="1">MATCH(C3,H3:H7,1)+IF(SUMIF(H3:H7,C3,J3:J7)=0,2,1)</f>
        <v>2</v>
      </c>
      <c r="N1" s="2574">
        <f>IF(C1&gt;M13,0,MATCH(C1,M$13:M$100,-1))+IF(SUMIF(M13:M100,C1,N13:N100)=0,13,12)</f>
        <v>13</v>
      </c>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c r="AO1" s="2633"/>
      <c r="AP1" s="2633"/>
      <c r="AQ1" s="2633"/>
      <c r="AR1" s="2633"/>
      <c r="AS1" s="2633"/>
      <c r="AT1" s="2633"/>
      <c r="AU1" s="2633"/>
      <c r="AV1" s="2633"/>
      <c r="AW1" s="2633"/>
      <c r="AX1" s="2633"/>
      <c r="AY1" s="2633"/>
      <c r="AZ1" s="2633"/>
      <c r="BA1" s="2633"/>
      <c r="BB1" s="2633"/>
      <c r="BC1" s="2633"/>
      <c r="BD1" s="2633"/>
      <c r="BE1" s="2633"/>
      <c r="BF1" s="2633"/>
      <c r="BG1" s="2633"/>
      <c r="BH1" s="2633"/>
      <c r="BI1" s="2633"/>
      <c r="BJ1" s="2633"/>
      <c r="BK1" s="2633"/>
      <c r="BL1" s="2633"/>
      <c r="BM1" s="2633"/>
      <c r="BN1" s="2633"/>
      <c r="BO1" s="2633"/>
      <c r="BP1" s="2633"/>
      <c r="BQ1" s="2633"/>
      <c r="BR1" s="2633"/>
      <c r="BS1" s="2633"/>
      <c r="BT1" s="2633"/>
      <c r="BU1" s="2633"/>
      <c r="BV1" s="2633"/>
      <c r="BW1" s="2633"/>
      <c r="BX1" s="2633"/>
      <c r="BY1" s="2633"/>
      <c r="BZ1" s="2633"/>
      <c r="CA1" s="2633"/>
      <c r="CB1" s="2633"/>
      <c r="CC1" s="2633"/>
      <c r="CD1" s="2633"/>
      <c r="CE1" s="2633"/>
      <c r="CF1" s="2633"/>
      <c r="CG1" s="2633"/>
      <c r="CH1" s="2633"/>
      <c r="CI1" s="2633"/>
      <c r="CJ1" s="2633"/>
      <c r="CK1" s="2633"/>
      <c r="CL1" s="2633"/>
      <c r="CM1" s="2633"/>
      <c r="CN1" s="2633"/>
      <c r="CO1" s="2633"/>
      <c r="CP1" s="2633"/>
      <c r="CQ1" s="2633"/>
      <c r="CR1" s="2633"/>
      <c r="CS1" s="2633"/>
      <c r="CT1" s="2633"/>
      <c r="CU1" s="2633"/>
      <c r="CV1" s="2633"/>
      <c r="CW1" s="2633"/>
      <c r="CX1" s="2633"/>
      <c r="CY1" s="2633"/>
      <c r="CZ1" s="2633"/>
      <c r="DA1" s="2633"/>
      <c r="DB1" s="2633"/>
      <c r="DC1" s="2633"/>
      <c r="DD1" s="2633"/>
      <c r="DE1" s="2633"/>
      <c r="DF1" s="2633"/>
      <c r="DG1" s="2633"/>
      <c r="DH1" s="2633"/>
      <c r="DI1" s="2633"/>
      <c r="DJ1" s="2633"/>
      <c r="DK1" s="2633"/>
      <c r="DL1" s="2633"/>
      <c r="DM1" s="2633"/>
      <c r="DN1" s="2633"/>
      <c r="DO1" s="2633"/>
      <c r="DP1" s="2633"/>
      <c r="DQ1" s="2633"/>
      <c r="DR1" s="2633"/>
      <c r="DS1" s="2633"/>
      <c r="DT1" s="2633"/>
      <c r="DU1" s="2633"/>
      <c r="DV1" s="2633"/>
      <c r="DW1" s="2633"/>
      <c r="DX1" s="2633"/>
      <c r="DY1" s="2633"/>
      <c r="DZ1" s="2633"/>
      <c r="EA1" s="2633"/>
      <c r="EB1" s="2633"/>
      <c r="EC1" s="2633"/>
      <c r="ED1" s="2633"/>
      <c r="EE1" s="2633"/>
      <c r="EF1" s="2633"/>
      <c r="EG1" s="2633"/>
      <c r="EH1" s="2633"/>
      <c r="EI1" s="2633"/>
      <c r="EJ1" s="2633"/>
      <c r="EK1" s="2633"/>
      <c r="EL1" s="2633"/>
      <c r="EM1" s="2633"/>
      <c r="EN1" s="2633"/>
      <c r="EO1" s="2633"/>
      <c r="EP1" s="2633"/>
      <c r="EQ1" s="2633"/>
      <c r="ER1" s="2633"/>
      <c r="ES1" s="2633"/>
      <c r="ET1" s="2633"/>
      <c r="EU1" s="2633"/>
      <c r="EV1" s="2633"/>
      <c r="EW1" s="2633"/>
      <c r="EX1" s="2633"/>
      <c r="EY1" s="2633"/>
      <c r="EZ1" s="2633"/>
      <c r="FA1" s="2633"/>
      <c r="FB1" s="2633"/>
      <c r="FC1" s="2633"/>
      <c r="FD1" s="2633"/>
      <c r="FE1" s="2633"/>
      <c r="FF1" s="2633"/>
      <c r="FG1" s="2633"/>
      <c r="FH1" s="2633"/>
      <c r="FI1" s="2633"/>
      <c r="FJ1" s="2633"/>
      <c r="FK1" s="2633"/>
      <c r="FL1" s="2633"/>
      <c r="FM1" s="2633"/>
      <c r="FN1" s="2633"/>
      <c r="FO1" s="2633"/>
      <c r="FP1" s="2633"/>
      <c r="FQ1" s="2633"/>
      <c r="FR1" s="2633"/>
      <c r="FS1" s="2633"/>
      <c r="FT1" s="2633"/>
      <c r="FU1" s="2633"/>
      <c r="FV1" s="2633"/>
      <c r="FW1" s="2633"/>
      <c r="FX1" s="2633"/>
      <c r="FY1" s="2633"/>
      <c r="FZ1" s="2633"/>
      <c r="GA1" s="2633"/>
      <c r="GB1" s="2633"/>
      <c r="GC1" s="2633"/>
      <c r="GD1" s="2633"/>
      <c r="GE1" s="2633"/>
      <c r="GF1" s="2633"/>
      <c r="GG1" s="2633"/>
      <c r="GH1" s="2633"/>
      <c r="GI1" s="2633"/>
      <c r="GJ1" s="2633"/>
      <c r="GK1" s="2633"/>
      <c r="GL1" s="2633"/>
      <c r="GM1" s="2633"/>
      <c r="GN1" s="2633"/>
      <c r="GO1" s="2633"/>
      <c r="GP1" s="2633"/>
      <c r="GQ1" s="2633"/>
      <c r="GR1" s="2633"/>
      <c r="GS1" s="2633"/>
      <c r="GT1" s="2633"/>
      <c r="GU1" s="2633"/>
      <c r="GV1" s="2633"/>
      <c r="GW1" s="2633"/>
      <c r="GX1" s="2633"/>
      <c r="GY1" s="2633"/>
      <c r="GZ1" s="2633"/>
      <c r="HA1" s="2633"/>
      <c r="HB1" s="2633"/>
      <c r="HC1" s="2633"/>
      <c r="HD1" s="2633"/>
      <c r="HE1" s="2633"/>
      <c r="HF1" s="2633"/>
      <c r="HG1" s="2633"/>
      <c r="HH1" s="2633"/>
      <c r="HI1" s="2633"/>
      <c r="HJ1" s="2633"/>
      <c r="HK1" s="2633"/>
      <c r="HL1" s="2633"/>
      <c r="HM1" s="2633"/>
      <c r="HN1" s="2633"/>
      <c r="HO1" s="2633"/>
      <c r="HP1" s="2633"/>
      <c r="HQ1" s="2633"/>
      <c r="HR1" s="2633"/>
      <c r="HS1" s="2633"/>
      <c r="HT1" s="2633"/>
      <c r="HU1" s="2633"/>
      <c r="HV1" s="2633"/>
      <c r="HW1" s="2633"/>
      <c r="HX1" s="2633"/>
      <c r="HY1" s="2633"/>
      <c r="HZ1" s="2633"/>
      <c r="IA1" s="2633"/>
      <c r="IB1" s="2633"/>
      <c r="IC1" s="2633"/>
      <c r="ID1" s="2633"/>
      <c r="IE1" s="2633"/>
      <c r="IF1" s="2633"/>
      <c r="IG1" s="2633"/>
      <c r="IH1" s="2633"/>
      <c r="II1" s="2633"/>
      <c r="IJ1" s="2633"/>
      <c r="IK1" s="2633"/>
      <c r="IL1" s="2633"/>
      <c r="IM1" s="2633"/>
      <c r="IN1" s="2633"/>
      <c r="IO1" s="2633"/>
      <c r="IP1" s="2633"/>
      <c r="IQ1" s="2633"/>
      <c r="IR1" s="2633"/>
      <c r="IS1" s="2633"/>
      <c r="IT1" s="2633"/>
      <c r="IU1" s="2633"/>
      <c r="IV1" s="2633"/>
    </row>
    <row r="2" spans="1:257" s="2631" customFormat="1" ht="15" thickTop="1" thickBot="1">
      <c r="A2" s="2576"/>
      <c r="B2" s="2636" t="s">
        <v>2534</v>
      </c>
      <c r="C2" s="2640">
        <f>'数据-取费表'!B22</f>
        <v>2.5</v>
      </c>
      <c r="D2" s="2635" t="s">
        <v>2504</v>
      </c>
      <c r="E2" s="2638">
        <f ca="1">INDIRECT("I"&amp;$I$1)/100</f>
        <v>3.6499999999999998E-2</v>
      </c>
      <c r="G2" s="2576"/>
      <c r="H2" s="2576"/>
      <c r="I2" s="2576" t="s">
        <v>2505</v>
      </c>
      <c r="K2" s="2576"/>
      <c r="L2" s="2576"/>
      <c r="M2" s="2576"/>
      <c r="N2" s="2576" t="s">
        <v>2506</v>
      </c>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2576"/>
      <c r="AZ2" s="2576"/>
      <c r="BA2" s="2576"/>
      <c r="BB2" s="2576"/>
      <c r="BC2" s="2576"/>
      <c r="BD2" s="2576"/>
      <c r="BE2" s="2576"/>
      <c r="BF2" s="2576"/>
      <c r="BG2" s="2576"/>
      <c r="BH2" s="2576"/>
      <c r="BI2" s="2576"/>
      <c r="BJ2" s="2576"/>
      <c r="BK2" s="2576"/>
      <c r="BL2" s="2576"/>
      <c r="BM2" s="2576"/>
      <c r="BN2" s="2576"/>
      <c r="BO2" s="2576"/>
      <c r="BP2" s="2576"/>
      <c r="BQ2" s="2576"/>
      <c r="BR2" s="2576"/>
      <c r="BS2" s="2576"/>
      <c r="BT2" s="2576"/>
      <c r="BU2" s="2576"/>
      <c r="BV2" s="2576"/>
      <c r="BW2" s="2576"/>
      <c r="BX2" s="2576"/>
      <c r="BY2" s="2576"/>
      <c r="BZ2" s="2576"/>
      <c r="CA2" s="2576"/>
      <c r="CB2" s="2576"/>
      <c r="CC2" s="2576"/>
      <c r="CD2" s="2576"/>
      <c r="CE2" s="2576"/>
      <c r="CF2" s="2576"/>
      <c r="CG2" s="2576"/>
      <c r="CH2" s="2576"/>
      <c r="CI2" s="2576"/>
      <c r="CJ2" s="2576"/>
      <c r="CK2" s="2576"/>
      <c r="CL2" s="2576"/>
      <c r="CM2" s="2576"/>
      <c r="CN2" s="2576"/>
      <c r="CO2" s="2576"/>
      <c r="CP2" s="2576"/>
      <c r="CQ2" s="2576"/>
      <c r="CR2" s="2576"/>
      <c r="CS2" s="2576"/>
      <c r="CT2" s="2576"/>
      <c r="CU2" s="2576"/>
      <c r="CV2" s="2576"/>
      <c r="CW2" s="2576"/>
      <c r="CX2" s="2576"/>
      <c r="CY2" s="2576"/>
      <c r="CZ2" s="2576"/>
      <c r="DA2" s="2576"/>
      <c r="DB2" s="2576"/>
      <c r="DC2" s="2576"/>
      <c r="DD2" s="2576"/>
      <c r="DE2" s="2576"/>
      <c r="DF2" s="2576"/>
      <c r="DG2" s="2576"/>
      <c r="DH2" s="2576"/>
      <c r="DI2" s="2576"/>
      <c r="DJ2" s="2576"/>
      <c r="DK2" s="2576"/>
      <c r="DL2" s="2576"/>
      <c r="DM2" s="2576"/>
      <c r="DN2" s="2576"/>
      <c r="DO2" s="2576"/>
      <c r="DP2" s="2576"/>
      <c r="DQ2" s="2576"/>
      <c r="DR2" s="2576"/>
      <c r="DS2" s="2576"/>
      <c r="DT2" s="2576"/>
      <c r="DU2" s="2576"/>
      <c r="DV2" s="2576"/>
      <c r="DW2" s="2576"/>
      <c r="DX2" s="2576"/>
      <c r="DY2" s="2576"/>
      <c r="DZ2" s="2576"/>
      <c r="EA2" s="2576"/>
      <c r="EB2" s="2576"/>
      <c r="EC2" s="2576"/>
      <c r="ED2" s="2576"/>
      <c r="EE2" s="2576"/>
      <c r="EF2" s="2576"/>
      <c r="EG2" s="2576"/>
      <c r="EH2" s="2576"/>
      <c r="EI2" s="2576"/>
      <c r="EJ2" s="2576"/>
      <c r="EK2" s="2576"/>
      <c r="EL2" s="2576"/>
      <c r="EM2" s="2576"/>
      <c r="EN2" s="2576"/>
      <c r="EO2" s="2576"/>
      <c r="EP2" s="2576"/>
      <c r="EQ2" s="2576"/>
      <c r="ER2" s="2576"/>
      <c r="ES2" s="2576"/>
      <c r="ET2" s="2576"/>
      <c r="EU2" s="2576"/>
      <c r="EV2" s="2576"/>
      <c r="EW2" s="2576"/>
      <c r="EX2" s="2576"/>
      <c r="EY2" s="2576"/>
      <c r="EZ2" s="2576"/>
      <c r="FA2" s="2576"/>
      <c r="FB2" s="2576"/>
      <c r="FC2" s="2576"/>
      <c r="FD2" s="2576"/>
      <c r="FE2" s="2576"/>
      <c r="FF2" s="2576"/>
      <c r="FG2" s="2576"/>
      <c r="FH2" s="2576"/>
      <c r="FI2" s="2576"/>
      <c r="FJ2" s="2576"/>
      <c r="FK2" s="2576"/>
      <c r="FL2" s="2576"/>
      <c r="FM2" s="2576"/>
      <c r="FN2" s="2576"/>
      <c r="FO2" s="2576"/>
      <c r="FP2" s="2576"/>
      <c r="FQ2" s="2576"/>
      <c r="FR2" s="2576"/>
      <c r="FS2" s="2576"/>
      <c r="FT2" s="2576"/>
      <c r="FU2" s="2576"/>
      <c r="FV2" s="2576"/>
      <c r="FW2" s="2576"/>
      <c r="FX2" s="2576"/>
      <c r="FY2" s="2576"/>
      <c r="FZ2" s="2576"/>
      <c r="GA2" s="2576"/>
      <c r="GB2" s="2576"/>
      <c r="GC2" s="2576"/>
      <c r="GD2" s="2576"/>
      <c r="GE2" s="2576"/>
      <c r="GF2" s="2576"/>
      <c r="GG2" s="2576"/>
      <c r="GH2" s="2576"/>
      <c r="GI2" s="2576"/>
      <c r="GJ2" s="2576"/>
      <c r="GK2" s="2576"/>
      <c r="GL2" s="2576"/>
      <c r="GM2" s="2576"/>
      <c r="GN2" s="2576"/>
      <c r="GO2" s="2576"/>
      <c r="GP2" s="2576"/>
      <c r="GQ2" s="2576"/>
      <c r="GR2" s="2576"/>
      <c r="GS2" s="2576"/>
      <c r="GT2" s="2576"/>
      <c r="GU2" s="2576"/>
      <c r="GV2" s="2576"/>
      <c r="GW2" s="2576"/>
      <c r="GX2" s="2576"/>
      <c r="GY2" s="2576"/>
      <c r="GZ2" s="2576"/>
      <c r="HA2" s="2576"/>
      <c r="HB2" s="2576"/>
      <c r="HC2" s="2576"/>
      <c r="HD2" s="2576"/>
      <c r="HE2" s="2576"/>
      <c r="HF2" s="2576"/>
      <c r="HG2" s="2576"/>
      <c r="HH2" s="2576"/>
      <c r="HI2" s="2576"/>
      <c r="HJ2" s="2576"/>
      <c r="HK2" s="2576"/>
      <c r="HL2" s="2576"/>
      <c r="HM2" s="2576"/>
      <c r="HN2" s="2576"/>
      <c r="HO2" s="2576"/>
      <c r="HP2" s="2576"/>
      <c r="HQ2" s="2576"/>
      <c r="HR2" s="2576"/>
      <c r="HS2" s="2576"/>
      <c r="HT2" s="2576"/>
      <c r="HU2" s="2576"/>
      <c r="HV2" s="2576"/>
      <c r="HW2" s="2576"/>
      <c r="HX2" s="2576"/>
      <c r="HY2" s="2576"/>
      <c r="HZ2" s="2576"/>
      <c r="IA2" s="2576"/>
      <c r="IB2" s="2576"/>
      <c r="IC2" s="2576"/>
      <c r="ID2" s="2576"/>
      <c r="IE2" s="2576"/>
      <c r="IF2" s="2576"/>
      <c r="IG2" s="2576"/>
      <c r="IH2" s="2576"/>
      <c r="II2" s="2576"/>
      <c r="IJ2" s="2576"/>
      <c r="IK2" s="2576"/>
      <c r="IL2" s="2576"/>
      <c r="IM2" s="2576"/>
      <c r="IN2" s="2576"/>
      <c r="IO2" s="2576"/>
      <c r="IP2" s="2576"/>
      <c r="IQ2" s="2576"/>
      <c r="IR2" s="2576"/>
      <c r="IS2" s="2576"/>
      <c r="IT2" s="2576"/>
      <c r="IU2" s="2576"/>
      <c r="IV2" s="2576"/>
      <c r="IW2" s="2576"/>
    </row>
    <row r="3" spans="1:257" s="2631" customFormat="1">
      <c r="A3" s="2577"/>
      <c r="B3" s="2635" t="s">
        <v>2536</v>
      </c>
      <c r="C3" s="2637">
        <f>'数据-取费表'!B19</f>
        <v>0</v>
      </c>
      <c r="D3" s="2635" t="s">
        <v>2504</v>
      </c>
      <c r="E3" s="2638">
        <f ca="1">INDIRECT("J"&amp;$J$1)/100</f>
        <v>0</v>
      </c>
      <c r="G3" s="2578" t="s">
        <v>2507</v>
      </c>
      <c r="H3" s="2579">
        <v>0</v>
      </c>
      <c r="I3" s="2580">
        <f ca="1">INDIRECT("d"&amp;$H$1)</f>
        <v>3.65</v>
      </c>
      <c r="J3" s="2580">
        <f ca="1">INDIRECT("d"&amp;$H$1)</f>
        <v>3.65</v>
      </c>
      <c r="K3" s="2577"/>
      <c r="L3" s="2577"/>
      <c r="M3" s="2581">
        <v>0.5</v>
      </c>
      <c r="N3" s="2582">
        <f ca="1">INDIRECT("p"&amp;$N$1)</f>
        <v>1.3</v>
      </c>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577"/>
      <c r="AO3" s="2577"/>
      <c r="AP3" s="2577"/>
      <c r="AQ3" s="2577"/>
      <c r="AR3" s="2577"/>
      <c r="AS3" s="2577"/>
      <c r="AT3" s="2577"/>
      <c r="AU3" s="2577"/>
      <c r="AV3" s="2577"/>
      <c r="AW3" s="2577"/>
      <c r="AX3" s="2577"/>
      <c r="AY3" s="2577"/>
      <c r="AZ3" s="2577"/>
      <c r="BA3" s="2577"/>
      <c r="BB3" s="2577"/>
      <c r="BC3" s="2577"/>
      <c r="BD3" s="2577"/>
      <c r="BE3" s="2577"/>
      <c r="BF3" s="2577"/>
      <c r="BG3" s="2577"/>
      <c r="BH3" s="2577"/>
      <c r="BI3" s="2577"/>
      <c r="BJ3" s="2577"/>
      <c r="BK3" s="2577"/>
      <c r="BL3" s="2577"/>
      <c r="BM3" s="2577"/>
      <c r="BN3" s="2577"/>
      <c r="BO3" s="2577"/>
      <c r="BP3" s="2577"/>
      <c r="BQ3" s="2577"/>
      <c r="BR3" s="2577"/>
      <c r="BS3" s="2577"/>
      <c r="BT3" s="2577"/>
      <c r="BU3" s="2577"/>
      <c r="BV3" s="2577"/>
      <c r="BW3" s="2577"/>
      <c r="BX3" s="2577"/>
      <c r="BY3" s="2577"/>
      <c r="BZ3" s="2577"/>
      <c r="CA3" s="2577"/>
      <c r="CB3" s="2577"/>
      <c r="CC3" s="2577"/>
      <c r="CD3" s="2577"/>
      <c r="CE3" s="2577"/>
      <c r="CF3" s="2577"/>
      <c r="CG3" s="2577"/>
      <c r="CH3" s="2577"/>
      <c r="CI3" s="2577"/>
      <c r="CJ3" s="2577"/>
      <c r="CK3" s="2577"/>
      <c r="CL3" s="2577"/>
      <c r="CM3" s="2577"/>
      <c r="CN3" s="2577"/>
      <c r="CO3" s="2577"/>
      <c r="CP3" s="2577"/>
      <c r="CQ3" s="2577"/>
      <c r="CR3" s="2577"/>
      <c r="CS3" s="2577"/>
      <c r="CT3" s="2577"/>
      <c r="CU3" s="2577"/>
      <c r="CV3" s="2577"/>
      <c r="CW3" s="2577"/>
      <c r="CX3" s="2577"/>
      <c r="CY3" s="2577"/>
      <c r="CZ3" s="2577"/>
      <c r="DA3" s="2577"/>
      <c r="DB3" s="2577"/>
      <c r="DC3" s="2577"/>
      <c r="DD3" s="2577"/>
      <c r="DE3" s="2577"/>
      <c r="DF3" s="2577"/>
      <c r="DG3" s="2577"/>
      <c r="DH3" s="2577"/>
      <c r="DI3" s="2577"/>
      <c r="DJ3" s="2577"/>
      <c r="DK3" s="2577"/>
      <c r="DL3" s="2577"/>
      <c r="DM3" s="2577"/>
      <c r="DN3" s="2577"/>
      <c r="DO3" s="2577"/>
      <c r="DP3" s="2577"/>
      <c r="DQ3" s="2577"/>
      <c r="DR3" s="2577"/>
      <c r="DS3" s="2577"/>
      <c r="DT3" s="2577"/>
      <c r="DU3" s="2577"/>
      <c r="DV3" s="2577"/>
      <c r="DW3" s="2577"/>
      <c r="DX3" s="2577"/>
      <c r="DY3" s="2577"/>
      <c r="DZ3" s="2577"/>
      <c r="EA3" s="2577"/>
      <c r="EB3" s="2577"/>
      <c r="EC3" s="2577"/>
      <c r="ED3" s="2577"/>
      <c r="EE3" s="2577"/>
      <c r="EF3" s="2577"/>
      <c r="EG3" s="2577"/>
      <c r="EH3" s="2577"/>
      <c r="EI3" s="2577"/>
      <c r="EJ3" s="2577"/>
      <c r="EK3" s="2577"/>
      <c r="EL3" s="2577"/>
      <c r="EM3" s="2577"/>
      <c r="EN3" s="2577"/>
      <c r="EO3" s="2577"/>
      <c r="EP3" s="2577"/>
      <c r="EQ3" s="2577"/>
      <c r="ER3" s="2577"/>
      <c r="ES3" s="2577"/>
      <c r="ET3" s="2577"/>
      <c r="EU3" s="2577"/>
      <c r="EV3" s="2577"/>
      <c r="EW3" s="2577"/>
      <c r="EX3" s="2577"/>
      <c r="EY3" s="2577"/>
      <c r="EZ3" s="2577"/>
      <c r="FA3" s="2577"/>
      <c r="FB3" s="2577"/>
      <c r="FC3" s="2577"/>
      <c r="FD3" s="2577"/>
      <c r="FE3" s="2577"/>
      <c r="FF3" s="2577"/>
      <c r="FG3" s="2577"/>
      <c r="FH3" s="2577"/>
      <c r="FI3" s="2577"/>
      <c r="FJ3" s="2577"/>
      <c r="FK3" s="2577"/>
      <c r="FL3" s="2577"/>
      <c r="FM3" s="2577"/>
      <c r="FN3" s="2577"/>
      <c r="FO3" s="2577"/>
      <c r="FP3" s="2577"/>
      <c r="FQ3" s="2577"/>
      <c r="FR3" s="2577"/>
      <c r="FS3" s="2577"/>
      <c r="FT3" s="2577"/>
      <c r="FU3" s="2577"/>
      <c r="FV3" s="2577"/>
      <c r="FW3" s="2577"/>
      <c r="FX3" s="2577"/>
      <c r="FY3" s="2577"/>
      <c r="FZ3" s="2577"/>
      <c r="GA3" s="2577"/>
      <c r="GB3" s="2577"/>
      <c r="GC3" s="2577"/>
      <c r="GD3" s="2577"/>
      <c r="GE3" s="2577"/>
      <c r="GF3" s="2577"/>
      <c r="GG3" s="2577"/>
      <c r="GH3" s="2577"/>
      <c r="GI3" s="2577"/>
      <c r="GJ3" s="2577"/>
      <c r="GK3" s="2577"/>
      <c r="GL3" s="2577"/>
      <c r="GM3" s="2577"/>
      <c r="GN3" s="2577"/>
      <c r="GO3" s="2577"/>
      <c r="GP3" s="2577"/>
      <c r="GQ3" s="2577"/>
      <c r="GR3" s="2577"/>
      <c r="GS3" s="2577"/>
      <c r="GT3" s="2577"/>
      <c r="GU3" s="2577"/>
      <c r="GV3" s="2577"/>
      <c r="GW3" s="2577"/>
      <c r="GX3" s="2577"/>
      <c r="GY3" s="2577"/>
      <c r="GZ3" s="2577"/>
      <c r="HA3" s="2577"/>
      <c r="HB3" s="2577"/>
      <c r="HC3" s="2577"/>
      <c r="HD3" s="2577"/>
      <c r="HE3" s="2577"/>
      <c r="HF3" s="2577"/>
      <c r="HG3" s="2577"/>
      <c r="HH3" s="2577"/>
      <c r="HI3" s="2577"/>
      <c r="HJ3" s="2577"/>
      <c r="HK3" s="2577"/>
      <c r="HL3" s="2577"/>
      <c r="HM3" s="2577"/>
      <c r="HN3" s="2577"/>
      <c r="HO3" s="2577"/>
      <c r="HP3" s="2577"/>
      <c r="HQ3" s="2577"/>
      <c r="HR3" s="2577"/>
      <c r="HS3" s="2577"/>
      <c r="HT3" s="2577"/>
      <c r="HU3" s="2577"/>
      <c r="HV3" s="2577"/>
      <c r="HW3" s="2577"/>
      <c r="HX3" s="2577"/>
      <c r="HY3" s="2577"/>
      <c r="HZ3" s="2577"/>
      <c r="IA3" s="2577"/>
      <c r="IB3" s="2577"/>
      <c r="IC3" s="2577"/>
      <c r="ID3" s="2577"/>
      <c r="IE3" s="2577"/>
      <c r="IF3" s="2577"/>
      <c r="IG3" s="2577"/>
      <c r="IH3" s="2577"/>
      <c r="II3" s="2577"/>
      <c r="IJ3" s="2577"/>
      <c r="IK3" s="2577"/>
      <c r="IL3" s="2577"/>
      <c r="IM3" s="2577"/>
      <c r="IN3" s="2577"/>
      <c r="IO3" s="2577"/>
      <c r="IP3" s="2577"/>
      <c r="IQ3" s="2577"/>
      <c r="IR3" s="2577"/>
      <c r="IS3" s="2577"/>
      <c r="IT3" s="2577"/>
      <c r="IU3" s="2577"/>
      <c r="IV3" s="2577"/>
    </row>
    <row r="4" spans="1:257" s="2631" customFormat="1">
      <c r="A4" s="2577"/>
      <c r="B4" s="2635" t="s">
        <v>2535</v>
      </c>
      <c r="C4" s="2638">
        <f ca="1">N4/100</f>
        <v>1.4999999999999999E-2</v>
      </c>
      <c r="G4" s="2584" t="s">
        <v>2508</v>
      </c>
      <c r="H4" s="2585">
        <v>0.5</v>
      </c>
      <c r="I4" s="2586">
        <f ca="1">INDIRECT("e"&amp;$H$1)</f>
        <v>3.65</v>
      </c>
      <c r="J4" s="2586">
        <f ca="1">INDIRECT("e"&amp;$H$1)</f>
        <v>3.65</v>
      </c>
      <c r="K4" s="2577"/>
      <c r="L4" s="2577"/>
      <c r="M4" s="2587">
        <v>1</v>
      </c>
      <c r="N4" s="2588">
        <f ca="1">INDIRECT("q"&amp;$N$1)</f>
        <v>1.5</v>
      </c>
      <c r="O4" s="2577"/>
      <c r="P4" s="2577"/>
      <c r="Q4" s="2577"/>
      <c r="R4" s="2577"/>
      <c r="S4" s="2577"/>
      <c r="T4" s="2577"/>
      <c r="U4" s="2577"/>
      <c r="V4" s="2577"/>
      <c r="W4" s="2577"/>
      <c r="X4" s="2577"/>
      <c r="Y4" s="2577"/>
      <c r="Z4" s="2577"/>
      <c r="AA4" s="2577"/>
      <c r="AB4" s="2577"/>
      <c r="AC4" s="2577"/>
      <c r="AD4" s="2577"/>
      <c r="AE4" s="2577"/>
      <c r="AF4" s="2577"/>
      <c r="AG4" s="2577"/>
      <c r="AH4" s="2577"/>
      <c r="AI4" s="2577"/>
      <c r="AJ4" s="2577"/>
      <c r="AK4" s="2577"/>
      <c r="AL4" s="2577"/>
      <c r="AM4" s="2577"/>
      <c r="AN4" s="2577"/>
      <c r="AO4" s="2577"/>
      <c r="AP4" s="2577"/>
      <c r="AQ4" s="2577"/>
      <c r="AR4" s="2577"/>
      <c r="AS4" s="2577"/>
      <c r="AT4" s="2577"/>
      <c r="AU4" s="2577"/>
      <c r="AV4" s="2577"/>
      <c r="AW4" s="2577"/>
      <c r="AX4" s="2577"/>
      <c r="AY4" s="2577"/>
      <c r="AZ4" s="2577"/>
      <c r="BA4" s="2577"/>
      <c r="BB4" s="2577"/>
      <c r="BC4" s="2577"/>
      <c r="BD4" s="2577"/>
      <c r="BE4" s="2577"/>
      <c r="BF4" s="2577"/>
      <c r="BG4" s="2577"/>
      <c r="BH4" s="2577"/>
      <c r="BI4" s="2577"/>
      <c r="BJ4" s="2577"/>
      <c r="BK4" s="2577"/>
      <c r="BL4" s="2577"/>
      <c r="BM4" s="2577"/>
      <c r="BN4" s="2577"/>
      <c r="BO4" s="2577"/>
      <c r="BP4" s="2577"/>
      <c r="BQ4" s="2577"/>
      <c r="BR4" s="2577"/>
      <c r="BS4" s="2577"/>
      <c r="BT4" s="2577"/>
      <c r="BU4" s="2577"/>
      <c r="BV4" s="2577"/>
      <c r="BW4" s="2577"/>
      <c r="BX4" s="2577"/>
      <c r="BY4" s="2577"/>
      <c r="BZ4" s="2577"/>
      <c r="CA4" s="2577"/>
      <c r="CB4" s="2577"/>
      <c r="CC4" s="2577"/>
      <c r="CD4" s="2577"/>
      <c r="CE4" s="2577"/>
      <c r="CF4" s="2577"/>
      <c r="CG4" s="2577"/>
      <c r="CH4" s="2577"/>
      <c r="CI4" s="2577"/>
      <c r="CJ4" s="2577"/>
      <c r="CK4" s="2577"/>
      <c r="CL4" s="2577"/>
      <c r="CM4" s="2577"/>
      <c r="CN4" s="2577"/>
      <c r="CO4" s="2577"/>
      <c r="CP4" s="2577"/>
      <c r="CQ4" s="2577"/>
      <c r="CR4" s="2577"/>
      <c r="CS4" s="2577"/>
      <c r="CT4" s="2577"/>
      <c r="CU4" s="2577"/>
      <c r="CV4" s="2577"/>
      <c r="CW4" s="2577"/>
      <c r="CX4" s="2577"/>
      <c r="CY4" s="2577"/>
      <c r="CZ4" s="2577"/>
      <c r="DA4" s="2577"/>
      <c r="DB4" s="2577"/>
      <c r="DC4" s="2577"/>
      <c r="DD4" s="2577"/>
      <c r="DE4" s="2577"/>
      <c r="DF4" s="2577"/>
      <c r="DG4" s="2577"/>
      <c r="DH4" s="2577"/>
      <c r="DI4" s="2577"/>
      <c r="DJ4" s="2577"/>
      <c r="DK4" s="2577"/>
      <c r="DL4" s="2577"/>
      <c r="DM4" s="2577"/>
      <c r="DN4" s="2577"/>
      <c r="DO4" s="2577"/>
      <c r="DP4" s="2577"/>
      <c r="DQ4" s="2577"/>
      <c r="DR4" s="2577"/>
      <c r="DS4" s="2577"/>
      <c r="DT4" s="2577"/>
      <c r="DU4" s="2577"/>
      <c r="DV4" s="2577"/>
      <c r="DW4" s="2577"/>
      <c r="DX4" s="2577"/>
      <c r="DY4" s="2577"/>
      <c r="DZ4" s="2577"/>
      <c r="EA4" s="2577"/>
      <c r="EB4" s="2577"/>
      <c r="EC4" s="2577"/>
      <c r="ED4" s="2577"/>
      <c r="EE4" s="2577"/>
      <c r="EF4" s="2577"/>
      <c r="EG4" s="2577"/>
      <c r="EH4" s="2577"/>
      <c r="EI4" s="2577"/>
      <c r="EJ4" s="2577"/>
      <c r="EK4" s="2577"/>
      <c r="EL4" s="2577"/>
      <c r="EM4" s="2577"/>
      <c r="EN4" s="2577"/>
      <c r="EO4" s="2577"/>
      <c r="EP4" s="2577"/>
      <c r="EQ4" s="2577"/>
      <c r="ER4" s="2577"/>
      <c r="ES4" s="2577"/>
      <c r="ET4" s="2577"/>
      <c r="EU4" s="2577"/>
      <c r="EV4" s="2577"/>
      <c r="EW4" s="2577"/>
      <c r="EX4" s="2577"/>
      <c r="EY4" s="2577"/>
      <c r="EZ4" s="2577"/>
      <c r="FA4" s="2577"/>
      <c r="FB4" s="2577"/>
      <c r="FC4" s="2577"/>
      <c r="FD4" s="2577"/>
      <c r="FE4" s="2577"/>
      <c r="FF4" s="2577"/>
      <c r="FG4" s="2577"/>
      <c r="FH4" s="2577"/>
      <c r="FI4" s="2577"/>
      <c r="FJ4" s="2577"/>
      <c r="FK4" s="2577"/>
      <c r="FL4" s="2577"/>
      <c r="FM4" s="2577"/>
      <c r="FN4" s="2577"/>
      <c r="FO4" s="2577"/>
      <c r="FP4" s="2577"/>
      <c r="FQ4" s="2577"/>
      <c r="FR4" s="2577"/>
      <c r="FS4" s="2577"/>
      <c r="FT4" s="2577"/>
      <c r="FU4" s="2577"/>
      <c r="FV4" s="2577"/>
      <c r="FW4" s="2577"/>
      <c r="FX4" s="2577"/>
      <c r="FY4" s="2577"/>
      <c r="FZ4" s="2577"/>
      <c r="GA4" s="2577"/>
      <c r="GB4" s="2577"/>
      <c r="GC4" s="2577"/>
      <c r="GD4" s="2577"/>
      <c r="GE4" s="2577"/>
      <c r="GF4" s="2577"/>
      <c r="GG4" s="2577"/>
      <c r="GH4" s="2577"/>
      <c r="GI4" s="2577"/>
      <c r="GJ4" s="2577"/>
      <c r="GK4" s="2577"/>
      <c r="GL4" s="2577"/>
      <c r="GM4" s="2577"/>
      <c r="GN4" s="2577"/>
      <c r="GO4" s="2577"/>
      <c r="GP4" s="2577"/>
      <c r="GQ4" s="2577"/>
      <c r="GR4" s="2577"/>
      <c r="GS4" s="2577"/>
      <c r="GT4" s="2577"/>
      <c r="GU4" s="2577"/>
      <c r="GV4" s="2577"/>
      <c r="GW4" s="2577"/>
      <c r="GX4" s="2577"/>
      <c r="GY4" s="2577"/>
      <c r="GZ4" s="2577"/>
      <c r="HA4" s="2577"/>
      <c r="HB4" s="2577"/>
      <c r="HC4" s="2577"/>
      <c r="HD4" s="2577"/>
      <c r="HE4" s="2577"/>
      <c r="HF4" s="2577"/>
      <c r="HG4" s="2577"/>
      <c r="HH4" s="2577"/>
      <c r="HI4" s="2577"/>
      <c r="HJ4" s="2577"/>
      <c r="HK4" s="2577"/>
      <c r="HL4" s="2577"/>
      <c r="HM4" s="2577"/>
      <c r="HN4" s="2577"/>
      <c r="HO4" s="2577"/>
      <c r="HP4" s="2577"/>
      <c r="HQ4" s="2577"/>
      <c r="HR4" s="2577"/>
      <c r="HS4" s="2577"/>
      <c r="HT4" s="2577"/>
      <c r="HU4" s="2577"/>
      <c r="HV4" s="2577"/>
      <c r="HW4" s="2577"/>
      <c r="HX4" s="2577"/>
      <c r="HY4" s="2577"/>
      <c r="HZ4" s="2577"/>
      <c r="IA4" s="2577"/>
      <c r="IB4" s="2577"/>
      <c r="IC4" s="2577"/>
      <c r="ID4" s="2577"/>
      <c r="IE4" s="2577"/>
      <c r="IF4" s="2577"/>
      <c r="IG4" s="2577"/>
      <c r="IH4" s="2577"/>
      <c r="II4" s="2577"/>
      <c r="IJ4" s="2577"/>
      <c r="IK4" s="2577"/>
      <c r="IL4" s="2577"/>
      <c r="IM4" s="2577"/>
      <c r="IN4" s="2577"/>
      <c r="IO4" s="2577"/>
      <c r="IP4" s="2577"/>
      <c r="IQ4" s="2577"/>
      <c r="IR4" s="2577"/>
      <c r="IS4" s="2577"/>
      <c r="IT4" s="2577"/>
      <c r="IU4" s="2577"/>
      <c r="IV4" s="2577"/>
    </row>
    <row r="5" spans="1:257" s="2631" customFormat="1">
      <c r="A5" s="2577"/>
      <c r="G5" s="2584" t="s">
        <v>2509</v>
      </c>
      <c r="H5" s="2585">
        <v>1</v>
      </c>
      <c r="I5" s="2586">
        <f ca="1">INDIRECT("f"&amp;$H$1)</f>
        <v>3.65</v>
      </c>
      <c r="J5" s="2586">
        <f ca="1">INDIRECT("f"&amp;$H$1)</f>
        <v>3.65</v>
      </c>
      <c r="K5" s="2577"/>
      <c r="L5" s="2577"/>
      <c r="M5" s="2587">
        <v>2</v>
      </c>
      <c r="N5" s="2588">
        <f ca="1">INDIRECT("r"&amp;$N$1)</f>
        <v>2.1</v>
      </c>
      <c r="O5" s="2577"/>
      <c r="P5" s="2577"/>
      <c r="Q5" s="2577"/>
      <c r="R5" s="2577"/>
      <c r="S5" s="2577"/>
      <c r="T5" s="2577"/>
      <c r="U5" s="2577"/>
      <c r="V5" s="2577"/>
      <c r="W5" s="2577"/>
      <c r="X5" s="2577"/>
      <c r="Y5" s="2577"/>
      <c r="Z5" s="2577"/>
      <c r="AA5" s="2577"/>
      <c r="AB5" s="2577"/>
      <c r="AC5" s="2577"/>
      <c r="AD5" s="2577"/>
      <c r="AE5" s="2577"/>
      <c r="AF5" s="2577"/>
      <c r="AG5" s="2577"/>
      <c r="AH5" s="2577"/>
      <c r="AI5" s="2577"/>
      <c r="AJ5" s="2577"/>
      <c r="AK5" s="2577"/>
      <c r="AL5" s="2577"/>
      <c r="AM5" s="2577"/>
      <c r="AN5" s="2577"/>
      <c r="AO5" s="2577"/>
      <c r="AP5" s="2577"/>
      <c r="AQ5" s="2577"/>
      <c r="AR5" s="2577"/>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c r="BP5" s="2577"/>
      <c r="BQ5" s="2577"/>
      <c r="BR5" s="2577"/>
      <c r="BS5" s="2577"/>
      <c r="BT5" s="2577"/>
      <c r="BU5" s="2577"/>
      <c r="BV5" s="2577"/>
      <c r="BW5" s="2577"/>
      <c r="BX5" s="2577"/>
      <c r="BY5" s="2577"/>
      <c r="BZ5" s="2577"/>
      <c r="CA5" s="2577"/>
      <c r="CB5" s="2577"/>
      <c r="CC5" s="2577"/>
      <c r="CD5" s="2577"/>
      <c r="CE5" s="2577"/>
      <c r="CF5" s="2577"/>
      <c r="CG5" s="2577"/>
      <c r="CH5" s="2577"/>
      <c r="CI5" s="2577"/>
      <c r="CJ5" s="2577"/>
      <c r="CK5" s="2577"/>
      <c r="CL5" s="2577"/>
      <c r="CM5" s="2577"/>
      <c r="CN5" s="2577"/>
      <c r="CO5" s="2577"/>
      <c r="CP5" s="2577"/>
      <c r="CQ5" s="2577"/>
      <c r="CR5" s="2577"/>
      <c r="CS5" s="2577"/>
      <c r="CT5" s="2577"/>
      <c r="CU5" s="2577"/>
      <c r="CV5" s="2577"/>
      <c r="CW5" s="2577"/>
      <c r="CX5" s="2577"/>
      <c r="CY5" s="2577"/>
      <c r="CZ5" s="2577"/>
      <c r="DA5" s="2577"/>
      <c r="DB5" s="2577"/>
      <c r="DC5" s="2577"/>
      <c r="DD5" s="2577"/>
      <c r="DE5" s="2577"/>
      <c r="DF5" s="2577"/>
      <c r="DG5" s="2577"/>
      <c r="DH5" s="2577"/>
      <c r="DI5" s="2577"/>
      <c r="DJ5" s="2577"/>
      <c r="DK5" s="2577"/>
      <c r="DL5" s="2577"/>
      <c r="DM5" s="2577"/>
      <c r="DN5" s="2577"/>
      <c r="DO5" s="2577"/>
      <c r="DP5" s="2577"/>
      <c r="DQ5" s="2577"/>
      <c r="DR5" s="2577"/>
      <c r="DS5" s="2577"/>
      <c r="DT5" s="2577"/>
      <c r="DU5" s="2577"/>
      <c r="DV5" s="2577"/>
      <c r="DW5" s="2577"/>
      <c r="DX5" s="2577"/>
      <c r="DY5" s="2577"/>
      <c r="DZ5" s="2577"/>
      <c r="EA5" s="2577"/>
      <c r="EB5" s="2577"/>
      <c r="EC5" s="2577"/>
      <c r="ED5" s="2577"/>
      <c r="EE5" s="2577"/>
      <c r="EF5" s="2577"/>
      <c r="EG5" s="2577"/>
      <c r="EH5" s="2577"/>
      <c r="EI5" s="2577"/>
      <c r="EJ5" s="2577"/>
      <c r="EK5" s="2577"/>
      <c r="EL5" s="2577"/>
      <c r="EM5" s="2577"/>
      <c r="EN5" s="2577"/>
      <c r="EO5" s="2577"/>
      <c r="EP5" s="2577"/>
      <c r="EQ5" s="2577"/>
      <c r="ER5" s="2577"/>
      <c r="ES5" s="2577"/>
      <c r="ET5" s="2577"/>
      <c r="EU5" s="2577"/>
      <c r="EV5" s="2577"/>
      <c r="EW5" s="2577"/>
      <c r="EX5" s="2577"/>
      <c r="EY5" s="2577"/>
      <c r="EZ5" s="2577"/>
      <c r="FA5" s="2577"/>
      <c r="FB5" s="2577"/>
      <c r="FC5" s="2577"/>
      <c r="FD5" s="2577"/>
      <c r="FE5" s="2577"/>
      <c r="FF5" s="2577"/>
      <c r="FG5" s="2577"/>
      <c r="FH5" s="2577"/>
      <c r="FI5" s="2577"/>
      <c r="FJ5" s="2577"/>
      <c r="FK5" s="2577"/>
      <c r="FL5" s="2577"/>
      <c r="FM5" s="2577"/>
      <c r="FN5" s="2577"/>
      <c r="FO5" s="2577"/>
      <c r="FP5" s="2577"/>
      <c r="FQ5" s="2577"/>
      <c r="FR5" s="2577"/>
      <c r="FS5" s="2577"/>
      <c r="FT5" s="2577"/>
      <c r="FU5" s="2577"/>
      <c r="FV5" s="2577"/>
      <c r="FW5" s="2577"/>
      <c r="FX5" s="2577"/>
      <c r="FY5" s="2577"/>
      <c r="FZ5" s="2577"/>
      <c r="GA5" s="2577"/>
      <c r="GB5" s="2577"/>
      <c r="GC5" s="2577"/>
      <c r="GD5" s="2577"/>
      <c r="GE5" s="2577"/>
      <c r="GF5" s="2577"/>
      <c r="GG5" s="2577"/>
      <c r="GH5" s="2577"/>
      <c r="GI5" s="2577"/>
      <c r="GJ5" s="2577"/>
      <c r="GK5" s="2577"/>
      <c r="GL5" s="2577"/>
      <c r="GM5" s="2577"/>
      <c r="GN5" s="2577"/>
      <c r="GO5" s="2577"/>
      <c r="GP5" s="2577"/>
      <c r="GQ5" s="2577"/>
      <c r="GR5" s="2577"/>
      <c r="GS5" s="2577"/>
      <c r="GT5" s="2577"/>
      <c r="GU5" s="2577"/>
      <c r="GV5" s="2577"/>
      <c r="GW5" s="2577"/>
      <c r="GX5" s="2577"/>
      <c r="GY5" s="2577"/>
      <c r="GZ5" s="2577"/>
      <c r="HA5" s="2577"/>
      <c r="HB5" s="2577"/>
      <c r="HC5" s="2577"/>
      <c r="HD5" s="2577"/>
      <c r="HE5" s="2577"/>
      <c r="HF5" s="2577"/>
      <c r="HG5" s="2577"/>
      <c r="HH5" s="2577"/>
      <c r="HI5" s="2577"/>
      <c r="HJ5" s="2577"/>
      <c r="HK5" s="2577"/>
      <c r="HL5" s="2577"/>
      <c r="HM5" s="2577"/>
      <c r="HN5" s="2577"/>
      <c r="HO5" s="2577"/>
      <c r="HP5" s="2577"/>
      <c r="HQ5" s="2577"/>
      <c r="HR5" s="2577"/>
      <c r="HS5" s="2577"/>
      <c r="HT5" s="2577"/>
      <c r="HU5" s="2577"/>
      <c r="HV5" s="2577"/>
      <c r="HW5" s="2577"/>
      <c r="HX5" s="2577"/>
      <c r="HY5" s="2577"/>
      <c r="HZ5" s="2577"/>
      <c r="IA5" s="2577"/>
      <c r="IB5" s="2577"/>
      <c r="IC5" s="2577"/>
      <c r="ID5" s="2577"/>
      <c r="IE5" s="2577"/>
      <c r="IF5" s="2577"/>
      <c r="IG5" s="2577"/>
      <c r="IH5" s="2577"/>
      <c r="II5" s="2577"/>
      <c r="IJ5" s="2577"/>
      <c r="IK5" s="2577"/>
      <c r="IL5" s="2577"/>
      <c r="IM5" s="2577"/>
      <c r="IN5" s="2577"/>
      <c r="IO5" s="2577"/>
      <c r="IP5" s="2577"/>
      <c r="IQ5" s="2577"/>
      <c r="IR5" s="2577"/>
      <c r="IS5" s="2577"/>
      <c r="IT5" s="2577"/>
      <c r="IU5" s="2577"/>
      <c r="IV5" s="2577"/>
    </row>
    <row r="6" spans="1:257" s="2631" customFormat="1">
      <c r="A6" s="2577"/>
      <c r="G6" s="2584" t="s">
        <v>2510</v>
      </c>
      <c r="H6" s="2585">
        <v>3</v>
      </c>
      <c r="I6" s="2586">
        <f ca="1">INDIRECT("g"&amp;$H$1)</f>
        <v>3.65</v>
      </c>
      <c r="J6" s="2586">
        <f ca="1">INDIRECT("g"&amp;$H$1)</f>
        <v>3.65</v>
      </c>
      <c r="K6" s="2577"/>
      <c r="L6" s="2577"/>
      <c r="M6" s="2587">
        <v>3</v>
      </c>
      <c r="N6" s="2588">
        <f ca="1">INDIRECT("s"&amp;$N$1)</f>
        <v>2.75</v>
      </c>
      <c r="O6" s="2577"/>
      <c r="P6" s="2577"/>
      <c r="Q6" s="2577"/>
      <c r="R6" s="2577"/>
      <c r="S6" s="2577"/>
      <c r="T6" s="2577"/>
      <c r="U6" s="2577"/>
      <c r="V6" s="2577"/>
      <c r="W6" s="2577"/>
      <c r="X6" s="2577"/>
      <c r="Y6" s="2577"/>
      <c r="Z6" s="2577"/>
      <c r="AA6" s="2577"/>
      <c r="AB6" s="2577"/>
      <c r="AC6" s="2577"/>
      <c r="AD6" s="2577"/>
      <c r="AE6" s="2577"/>
      <c r="AF6" s="2577"/>
      <c r="AG6" s="2577"/>
      <c r="AH6" s="2577"/>
      <c r="AI6" s="2577"/>
      <c r="AJ6" s="2577"/>
      <c r="AK6" s="2577"/>
      <c r="AL6" s="2577"/>
      <c r="AM6" s="2577"/>
      <c r="AN6" s="2577"/>
      <c r="AO6" s="2577"/>
      <c r="AP6" s="2577"/>
      <c r="AQ6" s="2577"/>
      <c r="AR6" s="2577"/>
      <c r="AS6" s="2577"/>
      <c r="AT6" s="2577"/>
      <c r="AU6" s="2577"/>
      <c r="AV6" s="2577"/>
      <c r="AW6" s="2577"/>
      <c r="AX6" s="2577"/>
      <c r="AY6" s="2577"/>
      <c r="AZ6" s="2577"/>
      <c r="BA6" s="2577"/>
      <c r="BB6" s="2577"/>
      <c r="BC6" s="2577"/>
      <c r="BD6" s="2577"/>
      <c r="BE6" s="2577"/>
      <c r="BF6" s="2577"/>
      <c r="BG6" s="2577"/>
      <c r="BH6" s="2577"/>
      <c r="BI6" s="2577"/>
      <c r="BJ6" s="2577"/>
      <c r="BK6" s="2577"/>
      <c r="BL6" s="2577"/>
      <c r="BM6" s="2577"/>
      <c r="BN6" s="2577"/>
      <c r="BO6" s="2577"/>
      <c r="BP6" s="2577"/>
      <c r="BQ6" s="2577"/>
      <c r="BR6" s="2577"/>
      <c r="BS6" s="2577"/>
      <c r="BT6" s="2577"/>
      <c r="BU6" s="2577"/>
      <c r="BV6" s="2577"/>
      <c r="BW6" s="2577"/>
      <c r="BX6" s="2577"/>
      <c r="BY6" s="2577"/>
      <c r="BZ6" s="2577"/>
      <c r="CA6" s="2577"/>
      <c r="CB6" s="2577"/>
      <c r="CC6" s="2577"/>
      <c r="CD6" s="2577"/>
      <c r="CE6" s="2577"/>
      <c r="CF6" s="2577"/>
      <c r="CG6" s="2577"/>
      <c r="CH6" s="2577"/>
      <c r="CI6" s="2577"/>
      <c r="CJ6" s="2577"/>
      <c r="CK6" s="2577"/>
      <c r="CL6" s="2577"/>
      <c r="CM6" s="2577"/>
      <c r="CN6" s="2577"/>
      <c r="CO6" s="2577"/>
      <c r="CP6" s="2577"/>
      <c r="CQ6" s="2577"/>
      <c r="CR6" s="2577"/>
      <c r="CS6" s="2577"/>
      <c r="CT6" s="2577"/>
      <c r="CU6" s="2577"/>
      <c r="CV6" s="2577"/>
      <c r="CW6" s="2577"/>
      <c r="CX6" s="2577"/>
      <c r="CY6" s="2577"/>
      <c r="CZ6" s="2577"/>
      <c r="DA6" s="2577"/>
      <c r="DB6" s="2577"/>
      <c r="DC6" s="2577"/>
      <c r="DD6" s="2577"/>
      <c r="DE6" s="2577"/>
      <c r="DF6" s="2577"/>
      <c r="DG6" s="2577"/>
      <c r="DH6" s="2577"/>
      <c r="DI6" s="2577"/>
      <c r="DJ6" s="2577"/>
      <c r="DK6" s="2577"/>
      <c r="DL6" s="2577"/>
      <c r="DM6" s="2577"/>
      <c r="DN6" s="2577"/>
      <c r="DO6" s="2577"/>
      <c r="DP6" s="2577"/>
      <c r="DQ6" s="2577"/>
      <c r="DR6" s="2577"/>
      <c r="DS6" s="2577"/>
      <c r="DT6" s="2577"/>
      <c r="DU6" s="2577"/>
      <c r="DV6" s="2577"/>
      <c r="DW6" s="2577"/>
      <c r="DX6" s="2577"/>
      <c r="DY6" s="2577"/>
      <c r="DZ6" s="2577"/>
      <c r="EA6" s="2577"/>
      <c r="EB6" s="2577"/>
      <c r="EC6" s="2577"/>
      <c r="ED6" s="2577"/>
      <c r="EE6" s="2577"/>
      <c r="EF6" s="2577"/>
      <c r="EG6" s="2577"/>
      <c r="EH6" s="2577"/>
      <c r="EI6" s="2577"/>
      <c r="EJ6" s="2577"/>
      <c r="EK6" s="2577"/>
      <c r="EL6" s="2577"/>
      <c r="EM6" s="2577"/>
      <c r="EN6" s="2577"/>
      <c r="EO6" s="2577"/>
      <c r="EP6" s="2577"/>
      <c r="EQ6" s="2577"/>
      <c r="ER6" s="2577"/>
      <c r="ES6" s="2577"/>
      <c r="ET6" s="2577"/>
      <c r="EU6" s="2577"/>
      <c r="EV6" s="2577"/>
      <c r="EW6" s="2577"/>
      <c r="EX6" s="2577"/>
      <c r="EY6" s="2577"/>
      <c r="EZ6" s="2577"/>
      <c r="FA6" s="2577"/>
      <c r="FB6" s="2577"/>
      <c r="FC6" s="2577"/>
      <c r="FD6" s="2577"/>
      <c r="FE6" s="2577"/>
      <c r="FF6" s="2577"/>
      <c r="FG6" s="2577"/>
      <c r="FH6" s="2577"/>
      <c r="FI6" s="2577"/>
      <c r="FJ6" s="2577"/>
      <c r="FK6" s="2577"/>
      <c r="FL6" s="2577"/>
      <c r="FM6" s="2577"/>
      <c r="FN6" s="2577"/>
      <c r="FO6" s="2577"/>
      <c r="FP6" s="2577"/>
      <c r="FQ6" s="2577"/>
      <c r="FR6" s="2577"/>
      <c r="FS6" s="2577"/>
      <c r="FT6" s="2577"/>
      <c r="FU6" s="2577"/>
      <c r="FV6" s="2577"/>
      <c r="FW6" s="2577"/>
      <c r="FX6" s="2577"/>
      <c r="FY6" s="2577"/>
      <c r="FZ6" s="2577"/>
      <c r="GA6" s="2577"/>
      <c r="GB6" s="2577"/>
      <c r="GC6" s="2577"/>
      <c r="GD6" s="2577"/>
      <c r="GE6" s="2577"/>
      <c r="GF6" s="2577"/>
      <c r="GG6" s="2577"/>
      <c r="GH6" s="2577"/>
      <c r="GI6" s="2577"/>
      <c r="GJ6" s="2577"/>
      <c r="GK6" s="2577"/>
      <c r="GL6" s="2577"/>
      <c r="GM6" s="2577"/>
      <c r="GN6" s="2577"/>
      <c r="GO6" s="2577"/>
      <c r="GP6" s="2577"/>
      <c r="GQ6" s="2577"/>
      <c r="GR6" s="2577"/>
      <c r="GS6" s="2577"/>
      <c r="GT6" s="2577"/>
      <c r="GU6" s="2577"/>
      <c r="GV6" s="2577"/>
      <c r="GW6" s="2577"/>
      <c r="GX6" s="2577"/>
      <c r="GY6" s="2577"/>
      <c r="GZ6" s="2577"/>
      <c r="HA6" s="2577"/>
      <c r="HB6" s="2577"/>
      <c r="HC6" s="2577"/>
      <c r="HD6" s="2577"/>
      <c r="HE6" s="2577"/>
      <c r="HF6" s="2577"/>
      <c r="HG6" s="2577"/>
      <c r="HH6" s="2577"/>
      <c r="HI6" s="2577"/>
      <c r="HJ6" s="2577"/>
      <c r="HK6" s="2577"/>
      <c r="HL6" s="2577"/>
      <c r="HM6" s="2577"/>
      <c r="HN6" s="2577"/>
      <c r="HO6" s="2577"/>
      <c r="HP6" s="2577"/>
      <c r="HQ6" s="2577"/>
      <c r="HR6" s="2577"/>
      <c r="HS6" s="2577"/>
      <c r="HT6" s="2577"/>
      <c r="HU6" s="2577"/>
      <c r="HV6" s="2577"/>
      <c r="HW6" s="2577"/>
      <c r="HX6" s="2577"/>
      <c r="HY6" s="2577"/>
      <c r="HZ6" s="2577"/>
      <c r="IA6" s="2577"/>
      <c r="IB6" s="2577"/>
      <c r="IC6" s="2577"/>
      <c r="ID6" s="2577"/>
      <c r="IE6" s="2577"/>
      <c r="IF6" s="2577"/>
      <c r="IG6" s="2577"/>
      <c r="IH6" s="2577"/>
      <c r="II6" s="2577"/>
      <c r="IJ6" s="2577"/>
      <c r="IK6" s="2577"/>
      <c r="IL6" s="2577"/>
      <c r="IM6" s="2577"/>
      <c r="IN6" s="2577"/>
      <c r="IO6" s="2577"/>
      <c r="IP6" s="2577"/>
      <c r="IQ6" s="2577"/>
      <c r="IR6" s="2577"/>
      <c r="IS6" s="2577"/>
      <c r="IT6" s="2577"/>
      <c r="IU6" s="2577"/>
      <c r="IV6" s="2577"/>
    </row>
    <row r="7" spans="1:257" s="2631" customFormat="1" ht="14.25" thickBot="1">
      <c r="A7" s="2577"/>
      <c r="G7" s="2589" t="s">
        <v>2511</v>
      </c>
      <c r="H7" s="2590">
        <v>5</v>
      </c>
      <c r="I7" s="2591">
        <f ca="1">INDIRECT("h"&amp;$H$1)</f>
        <v>4.3</v>
      </c>
      <c r="J7" s="2591">
        <f ca="1">INDIRECT("h"&amp;$H$1)</f>
        <v>4.3</v>
      </c>
      <c r="K7" s="2577"/>
      <c r="L7" s="2577"/>
      <c r="M7" s="2592">
        <v>5</v>
      </c>
      <c r="N7" s="2593">
        <f ca="1">INDIRECT("t"&amp;$N$1)</f>
        <v>0</v>
      </c>
      <c r="O7" s="2577"/>
      <c r="P7" s="2577"/>
      <c r="Q7" s="2577"/>
      <c r="R7" s="2577"/>
      <c r="S7" s="2577"/>
      <c r="T7" s="2577"/>
      <c r="U7" s="2577"/>
      <c r="V7" s="2577"/>
      <c r="W7" s="2577"/>
      <c r="X7" s="2577"/>
      <c r="Y7" s="2577"/>
      <c r="Z7" s="2577"/>
      <c r="AA7" s="2577"/>
      <c r="AB7" s="2577"/>
      <c r="AC7" s="2577"/>
      <c r="AD7" s="2577"/>
      <c r="AE7" s="2577"/>
      <c r="AF7" s="2577"/>
      <c r="AG7" s="2577"/>
      <c r="AH7" s="2577"/>
      <c r="AI7" s="2577"/>
      <c r="AJ7" s="2577"/>
      <c r="AK7" s="2577"/>
      <c r="AL7" s="2577"/>
      <c r="AM7" s="2577"/>
      <c r="AN7" s="2577"/>
      <c r="AO7" s="2577"/>
      <c r="AP7" s="2577"/>
      <c r="AQ7" s="2577"/>
      <c r="AR7" s="2577"/>
      <c r="AS7" s="2577"/>
      <c r="AT7" s="2577"/>
      <c r="AU7" s="2577"/>
      <c r="AV7" s="2577"/>
      <c r="AW7" s="2577"/>
      <c r="AX7" s="2577"/>
      <c r="AY7" s="2577"/>
      <c r="AZ7" s="2577"/>
      <c r="BA7" s="2577"/>
      <c r="BB7" s="2577"/>
      <c r="BC7" s="2577"/>
      <c r="BD7" s="2577"/>
      <c r="BE7" s="2577"/>
      <c r="BF7" s="2577"/>
      <c r="BG7" s="2577"/>
      <c r="BH7" s="2577"/>
      <c r="BI7" s="2577"/>
      <c r="BJ7" s="2577"/>
      <c r="BK7" s="2577"/>
      <c r="BL7" s="2577"/>
      <c r="BM7" s="2577"/>
      <c r="BN7" s="2577"/>
      <c r="BO7" s="2577"/>
      <c r="BP7" s="2577"/>
      <c r="BQ7" s="2577"/>
      <c r="BR7" s="2577"/>
      <c r="BS7" s="2577"/>
      <c r="BT7" s="2577"/>
      <c r="BU7" s="2577"/>
      <c r="BV7" s="2577"/>
      <c r="BW7" s="2577"/>
      <c r="BX7" s="2577"/>
      <c r="BY7" s="2577"/>
      <c r="BZ7" s="2577"/>
      <c r="CA7" s="2577"/>
      <c r="CB7" s="2577"/>
      <c r="CC7" s="2577"/>
      <c r="CD7" s="2577"/>
      <c r="CE7" s="2577"/>
      <c r="CF7" s="2577"/>
      <c r="CG7" s="2577"/>
      <c r="CH7" s="2577"/>
      <c r="CI7" s="2577"/>
      <c r="CJ7" s="2577"/>
      <c r="CK7" s="2577"/>
      <c r="CL7" s="2577"/>
      <c r="CM7" s="2577"/>
      <c r="CN7" s="2577"/>
      <c r="CO7" s="2577"/>
      <c r="CP7" s="2577"/>
      <c r="CQ7" s="2577"/>
      <c r="CR7" s="2577"/>
      <c r="CS7" s="2577"/>
      <c r="CT7" s="2577"/>
      <c r="CU7" s="2577"/>
      <c r="CV7" s="2577"/>
      <c r="CW7" s="2577"/>
      <c r="CX7" s="2577"/>
      <c r="CY7" s="2577"/>
      <c r="CZ7" s="2577"/>
      <c r="DA7" s="2577"/>
      <c r="DB7" s="2577"/>
      <c r="DC7" s="2577"/>
      <c r="DD7" s="2577"/>
      <c r="DE7" s="2577"/>
      <c r="DF7" s="2577"/>
      <c r="DG7" s="2577"/>
      <c r="DH7" s="2577"/>
      <c r="DI7" s="2577"/>
      <c r="DJ7" s="2577"/>
      <c r="DK7" s="2577"/>
      <c r="DL7" s="2577"/>
      <c r="DM7" s="2577"/>
      <c r="DN7" s="2577"/>
      <c r="DO7" s="2577"/>
      <c r="DP7" s="2577"/>
      <c r="DQ7" s="2577"/>
      <c r="DR7" s="2577"/>
      <c r="DS7" s="2577"/>
      <c r="DT7" s="2577"/>
      <c r="DU7" s="2577"/>
      <c r="DV7" s="2577"/>
      <c r="DW7" s="2577"/>
      <c r="DX7" s="2577"/>
      <c r="DY7" s="2577"/>
      <c r="DZ7" s="2577"/>
      <c r="EA7" s="2577"/>
      <c r="EB7" s="2577"/>
      <c r="EC7" s="2577"/>
      <c r="ED7" s="2577"/>
      <c r="EE7" s="2577"/>
      <c r="EF7" s="2577"/>
      <c r="EG7" s="2577"/>
      <c r="EH7" s="2577"/>
      <c r="EI7" s="2577"/>
      <c r="EJ7" s="2577"/>
      <c r="EK7" s="2577"/>
      <c r="EL7" s="2577"/>
      <c r="EM7" s="2577"/>
      <c r="EN7" s="2577"/>
      <c r="EO7" s="2577"/>
      <c r="EP7" s="2577"/>
      <c r="EQ7" s="2577"/>
      <c r="ER7" s="2577"/>
      <c r="ES7" s="2577"/>
      <c r="ET7" s="2577"/>
      <c r="EU7" s="2577"/>
      <c r="EV7" s="2577"/>
      <c r="EW7" s="2577"/>
      <c r="EX7" s="2577"/>
      <c r="EY7" s="2577"/>
      <c r="EZ7" s="2577"/>
      <c r="FA7" s="2577"/>
      <c r="FB7" s="2577"/>
      <c r="FC7" s="2577"/>
      <c r="FD7" s="2577"/>
      <c r="FE7" s="2577"/>
      <c r="FF7" s="2577"/>
      <c r="FG7" s="2577"/>
      <c r="FH7" s="2577"/>
      <c r="FI7" s="2577"/>
      <c r="FJ7" s="2577"/>
      <c r="FK7" s="2577"/>
      <c r="FL7" s="2577"/>
      <c r="FM7" s="2577"/>
      <c r="FN7" s="2577"/>
      <c r="FO7" s="2577"/>
      <c r="FP7" s="2577"/>
      <c r="FQ7" s="2577"/>
      <c r="FR7" s="2577"/>
      <c r="FS7" s="2577"/>
      <c r="FT7" s="2577"/>
      <c r="FU7" s="2577"/>
      <c r="FV7" s="2577"/>
      <c r="FW7" s="2577"/>
      <c r="FX7" s="2577"/>
      <c r="FY7" s="2577"/>
      <c r="FZ7" s="2577"/>
      <c r="GA7" s="2577"/>
      <c r="GB7" s="2577"/>
      <c r="GC7" s="2577"/>
      <c r="GD7" s="2577"/>
      <c r="GE7" s="2577"/>
      <c r="GF7" s="2577"/>
      <c r="GG7" s="2577"/>
      <c r="GH7" s="2577"/>
      <c r="GI7" s="2577"/>
      <c r="GJ7" s="2577"/>
      <c r="GK7" s="2577"/>
      <c r="GL7" s="2577"/>
      <c r="GM7" s="2577"/>
      <c r="GN7" s="2577"/>
      <c r="GO7" s="2577"/>
      <c r="GP7" s="2577"/>
      <c r="GQ7" s="2577"/>
      <c r="GR7" s="2577"/>
      <c r="GS7" s="2577"/>
      <c r="GT7" s="2577"/>
      <c r="GU7" s="2577"/>
      <c r="GV7" s="2577"/>
      <c r="GW7" s="2577"/>
      <c r="GX7" s="2577"/>
      <c r="GY7" s="2577"/>
      <c r="GZ7" s="2577"/>
      <c r="HA7" s="2577"/>
      <c r="HB7" s="2577"/>
      <c r="HC7" s="2577"/>
      <c r="HD7" s="2577"/>
      <c r="HE7" s="2577"/>
      <c r="HF7" s="2577"/>
      <c r="HG7" s="2577"/>
      <c r="HH7" s="2577"/>
      <c r="HI7" s="2577"/>
      <c r="HJ7" s="2577"/>
      <c r="HK7" s="2577"/>
      <c r="HL7" s="2577"/>
      <c r="HM7" s="2577"/>
      <c r="HN7" s="2577"/>
      <c r="HO7" s="2577"/>
      <c r="HP7" s="2577"/>
      <c r="HQ7" s="2577"/>
      <c r="HR7" s="2577"/>
      <c r="HS7" s="2577"/>
      <c r="HT7" s="2577"/>
      <c r="HU7" s="2577"/>
      <c r="HV7" s="2577"/>
      <c r="HW7" s="2577"/>
      <c r="HX7" s="2577"/>
      <c r="HY7" s="2577"/>
      <c r="HZ7" s="2577"/>
      <c r="IA7" s="2577"/>
      <c r="IB7" s="2577"/>
      <c r="IC7" s="2577"/>
      <c r="ID7" s="2577"/>
      <c r="IE7" s="2577"/>
      <c r="IF7" s="2577"/>
      <c r="IG7" s="2577"/>
      <c r="IH7" s="2577"/>
      <c r="II7" s="2577"/>
      <c r="IJ7" s="2577"/>
      <c r="IK7" s="2577"/>
      <c r="IL7" s="2577"/>
      <c r="IM7" s="2577"/>
      <c r="IN7" s="2577"/>
      <c r="IO7" s="2577"/>
      <c r="IP7" s="2577"/>
      <c r="IQ7" s="2577"/>
      <c r="IR7" s="2577"/>
      <c r="IS7" s="2577"/>
      <c r="IT7" s="2577"/>
      <c r="IU7" s="2577"/>
      <c r="IV7" s="2577"/>
    </row>
    <row r="8" spans="1:257">
      <c r="A8" s="2594"/>
      <c r="B8" s="2595"/>
      <c r="C8" s="2596"/>
      <c r="D8" s="2577"/>
      <c r="E8" s="2577"/>
      <c r="F8" s="2577"/>
      <c r="G8" s="2577"/>
      <c r="H8" s="2577"/>
      <c r="I8" s="2577"/>
      <c r="J8" s="2577"/>
      <c r="L8" s="2577"/>
      <c r="M8" s="2577"/>
      <c r="N8" s="2577"/>
      <c r="O8" s="2577"/>
      <c r="P8" s="2577"/>
      <c r="Q8" s="2577"/>
      <c r="R8" s="2577"/>
      <c r="S8" s="2577"/>
      <c r="T8" s="2577"/>
      <c r="U8" s="2577"/>
      <c r="V8" s="2577"/>
      <c r="W8" s="2577"/>
      <c r="X8" s="2577"/>
      <c r="Y8" s="2577"/>
      <c r="Z8" s="2577"/>
    </row>
    <row r="9" spans="1:257" ht="20.25">
      <c r="A9" s="2597"/>
      <c r="B9" s="2598" t="s">
        <v>2512</v>
      </c>
      <c r="C9" s="2599"/>
      <c r="D9" s="2600"/>
      <c r="E9" s="2600"/>
      <c r="F9" s="2600"/>
      <c r="G9" s="2600"/>
      <c r="H9" s="2600"/>
      <c r="I9" s="2600"/>
      <c r="J9" s="2600"/>
      <c r="K9" s="2600"/>
      <c r="L9" s="2600"/>
      <c r="M9" s="2600"/>
      <c r="N9" s="2600"/>
      <c r="O9" s="2600"/>
      <c r="P9" s="2600"/>
      <c r="Q9" s="2600"/>
      <c r="R9" s="2600"/>
      <c r="S9" s="2600"/>
      <c r="T9" s="2600"/>
      <c r="U9" s="2600"/>
      <c r="V9" s="2600"/>
      <c r="W9" s="2600"/>
      <c r="X9" s="2600"/>
      <c r="Y9" s="2600"/>
      <c r="Z9" s="2600"/>
      <c r="AA9" s="2601"/>
      <c r="AB9" s="2601"/>
      <c r="AC9" s="2601"/>
      <c r="AD9" s="2601"/>
      <c r="AE9" s="2601"/>
      <c r="AF9" s="2601"/>
      <c r="AG9" s="2601"/>
      <c r="AH9" s="2601"/>
      <c r="AI9" s="2601"/>
      <c r="AJ9" s="2601"/>
      <c r="AK9" s="2601"/>
      <c r="AL9" s="2601"/>
      <c r="AM9" s="2601"/>
      <c r="AN9" s="2601"/>
      <c r="AO9" s="2601"/>
      <c r="AP9" s="2601"/>
      <c r="AQ9" s="2601"/>
      <c r="AR9" s="2601"/>
      <c r="AS9" s="2601"/>
      <c r="AT9" s="2601"/>
      <c r="AU9" s="2601"/>
      <c r="AV9" s="2601"/>
      <c r="AW9" s="2601"/>
      <c r="AX9" s="2601"/>
      <c r="AY9" s="2601"/>
      <c r="AZ9" s="2601"/>
      <c r="BA9" s="2601"/>
      <c r="BB9" s="2601"/>
      <c r="BC9" s="2601"/>
      <c r="BD9" s="2601"/>
      <c r="BE9" s="2601"/>
      <c r="BF9" s="2601"/>
      <c r="BG9" s="2601"/>
      <c r="BH9" s="2601"/>
      <c r="BI9" s="2601"/>
      <c r="BJ9" s="2601"/>
      <c r="BK9" s="2601"/>
      <c r="BL9" s="2601"/>
      <c r="BM9" s="2601"/>
      <c r="BN9" s="2601"/>
      <c r="BO9" s="2601"/>
      <c r="BP9" s="2601"/>
      <c r="BQ9" s="2601"/>
      <c r="BR9" s="2601"/>
      <c r="BS9" s="2601"/>
      <c r="BT9" s="2601"/>
      <c r="BU9" s="2601"/>
      <c r="BV9" s="2601"/>
      <c r="BW9" s="2601"/>
      <c r="BX9" s="2601"/>
      <c r="BY9" s="2601"/>
      <c r="BZ9" s="2601"/>
      <c r="CA9" s="2601"/>
      <c r="CB9" s="2601"/>
      <c r="CC9" s="2601"/>
      <c r="CD9" s="2601"/>
      <c r="CE9" s="2601"/>
      <c r="CF9" s="2601"/>
      <c r="CG9" s="2601"/>
      <c r="CH9" s="2601"/>
      <c r="CI9" s="2601"/>
      <c r="CJ9" s="2601"/>
      <c r="CK9" s="2601"/>
      <c r="CL9" s="2601"/>
      <c r="CM9" s="2601"/>
      <c r="CN9" s="2601"/>
      <c r="CO9" s="2601"/>
      <c r="CP9" s="2601"/>
      <c r="CQ9" s="2601"/>
      <c r="CR9" s="2601"/>
      <c r="CS9" s="2601"/>
      <c r="CT9" s="2601"/>
      <c r="CU9" s="2601"/>
      <c r="CV9" s="2601"/>
      <c r="CW9" s="2601"/>
      <c r="CX9" s="2601"/>
      <c r="CY9" s="2601"/>
      <c r="CZ9" s="2601"/>
      <c r="DA9" s="2601"/>
      <c r="DB9" s="2601"/>
      <c r="DC9" s="2601"/>
      <c r="DD9" s="2601"/>
      <c r="DE9" s="2601"/>
      <c r="DF9" s="2601"/>
      <c r="DG9" s="2601"/>
      <c r="DH9" s="2601"/>
      <c r="DI9" s="2601"/>
      <c r="DJ9" s="2601"/>
      <c r="DK9" s="2601"/>
      <c r="DL9" s="2601"/>
      <c r="DM9" s="2601"/>
      <c r="DN9" s="2601"/>
      <c r="DO9" s="2601"/>
      <c r="DP9" s="2601"/>
      <c r="DQ9" s="2601"/>
      <c r="DR9" s="2601"/>
      <c r="DS9" s="2601"/>
      <c r="DT9" s="2601"/>
      <c r="DU9" s="2601"/>
      <c r="DV9" s="2601"/>
      <c r="DW9" s="2601"/>
      <c r="DX9" s="2601"/>
      <c r="DY9" s="2601"/>
      <c r="DZ9" s="2601"/>
      <c r="EA9" s="2601"/>
      <c r="EB9" s="2601"/>
      <c r="EC9" s="2601"/>
      <c r="ED9" s="2601"/>
      <c r="EE9" s="2601"/>
      <c r="EF9" s="2601"/>
      <c r="EG9" s="2601"/>
      <c r="EH9" s="2601"/>
      <c r="EI9" s="2601"/>
      <c r="EJ9" s="2601"/>
      <c r="EK9" s="2601"/>
      <c r="EL9" s="2601"/>
      <c r="EM9" s="2601"/>
      <c r="EN9" s="2601"/>
      <c r="EO9" s="2601"/>
      <c r="EP9" s="2601"/>
      <c r="EQ9" s="2601"/>
      <c r="ER9" s="2601"/>
      <c r="ES9" s="2601"/>
      <c r="ET9" s="2601"/>
      <c r="EU9" s="2601"/>
      <c r="EV9" s="2601"/>
      <c r="EW9" s="2601"/>
      <c r="EX9" s="2601"/>
      <c r="EY9" s="2601"/>
      <c r="EZ9" s="2601"/>
      <c r="FA9" s="2601"/>
      <c r="FB9" s="2601"/>
      <c r="FC9" s="2601"/>
      <c r="FD9" s="2601"/>
      <c r="FE9" s="2601"/>
      <c r="FF9" s="2601"/>
      <c r="FG9" s="2601"/>
      <c r="FH9" s="2601"/>
      <c r="FI9" s="2601"/>
      <c r="FJ9" s="2601"/>
      <c r="FK9" s="2601"/>
      <c r="FL9" s="2601"/>
      <c r="FM9" s="2601"/>
      <c r="FN9" s="2601"/>
      <c r="FO9" s="2601"/>
      <c r="FP9" s="2601"/>
      <c r="FQ9" s="2601"/>
      <c r="FR9" s="2601"/>
      <c r="FS9" s="2601"/>
      <c r="FT9" s="2601"/>
      <c r="FU9" s="2601"/>
      <c r="FV9" s="2601"/>
      <c r="FW9" s="2601"/>
      <c r="FX9" s="2601"/>
      <c r="FY9" s="2601"/>
      <c r="FZ9" s="2601"/>
      <c r="GA9" s="2601"/>
      <c r="GB9" s="2601"/>
      <c r="GC9" s="2601"/>
      <c r="GD9" s="2601"/>
      <c r="GE9" s="2601"/>
      <c r="GF9" s="2601"/>
      <c r="GG9" s="2601"/>
      <c r="GH9" s="2601"/>
      <c r="GI9" s="2601"/>
      <c r="GJ9" s="2601"/>
      <c r="GK9" s="2601"/>
      <c r="GL9" s="2601"/>
      <c r="GM9" s="2601"/>
      <c r="GN9" s="2601"/>
      <c r="GO9" s="2601"/>
      <c r="GP9" s="2601"/>
      <c r="GQ9" s="2601"/>
      <c r="GR9" s="2601"/>
      <c r="GS9" s="2601"/>
      <c r="GT9" s="2601"/>
      <c r="GU9" s="2601"/>
      <c r="GV9" s="2601"/>
      <c r="GW9" s="2601"/>
      <c r="GX9" s="2601"/>
      <c r="GY9" s="2601"/>
      <c r="GZ9" s="2601"/>
      <c r="HA9" s="2601"/>
      <c r="HB9" s="2601"/>
      <c r="HC9" s="2601"/>
      <c r="HD9" s="2601"/>
      <c r="HE9" s="2601"/>
      <c r="HF9" s="2601"/>
      <c r="HG9" s="2601"/>
      <c r="HH9" s="2601"/>
      <c r="HI9" s="2601"/>
      <c r="HJ9" s="2601"/>
      <c r="HK9" s="2601"/>
      <c r="HL9" s="2601"/>
      <c r="HM9" s="2601"/>
      <c r="HN9" s="2601"/>
      <c r="HO9" s="2601"/>
      <c r="HP9" s="2601"/>
      <c r="HQ9" s="2601"/>
      <c r="HR9" s="2601"/>
      <c r="HS9" s="2601"/>
      <c r="HT9" s="2601"/>
      <c r="HU9" s="2601"/>
      <c r="HV9" s="2601"/>
      <c r="HW9" s="2601"/>
      <c r="HX9" s="2601"/>
      <c r="HY9" s="2601"/>
      <c r="HZ9" s="2601"/>
      <c r="IA9" s="2601"/>
      <c r="IB9" s="2601"/>
      <c r="IC9" s="2601"/>
      <c r="ID9" s="2601"/>
      <c r="IE9" s="2601"/>
      <c r="IF9" s="2601"/>
      <c r="IG9" s="2601"/>
      <c r="IH9" s="2601"/>
      <c r="II9" s="2601"/>
      <c r="IJ9" s="2601"/>
      <c r="IK9" s="2601"/>
      <c r="IL9" s="2601"/>
      <c r="IM9" s="2601"/>
      <c r="IN9" s="2601"/>
      <c r="IO9" s="2601"/>
      <c r="IP9" s="2601"/>
      <c r="IQ9" s="2601"/>
      <c r="IR9" s="2601"/>
      <c r="IS9" s="2601"/>
      <c r="IT9" s="2601"/>
      <c r="IU9" s="2601"/>
      <c r="IV9" s="2601"/>
      <c r="IW9" s="2602"/>
    </row>
    <row r="10" spans="1:257" ht="22.5">
      <c r="A10" s="2603"/>
      <c r="B10" s="2604" t="s">
        <v>2513</v>
      </c>
      <c r="C10" s="2603"/>
      <c r="D10" s="2603"/>
      <c r="E10" s="2603"/>
      <c r="F10" s="2603"/>
      <c r="G10" s="2603"/>
      <c r="H10" s="2603"/>
      <c r="I10" s="2577"/>
      <c r="J10" s="2577"/>
      <c r="K10" s="2603"/>
      <c r="L10" s="2604" t="s">
        <v>2514</v>
      </c>
      <c r="M10" s="2603"/>
      <c r="N10" s="2603"/>
      <c r="O10" s="2603"/>
      <c r="P10" s="2603"/>
      <c r="Q10" s="2603"/>
      <c r="R10" s="2603"/>
      <c r="S10" s="2603"/>
      <c r="T10" s="2603"/>
      <c r="U10" s="2603"/>
      <c r="V10" s="2603"/>
      <c r="W10" s="2603"/>
      <c r="X10" s="2603"/>
      <c r="Y10" s="2603"/>
      <c r="Z10" s="2603"/>
      <c r="AA10" s="2605"/>
      <c r="AB10" s="2605"/>
      <c r="AC10" s="2605"/>
      <c r="AD10" s="2605"/>
      <c r="AE10" s="2605"/>
      <c r="AF10" s="2605"/>
      <c r="AG10" s="2605"/>
      <c r="AH10" s="2605"/>
      <c r="AI10" s="2605"/>
      <c r="AJ10" s="2605"/>
      <c r="AK10" s="2605"/>
      <c r="AL10" s="2605"/>
      <c r="AM10" s="2605"/>
      <c r="AN10" s="2605"/>
      <c r="AO10" s="2605"/>
      <c r="AP10" s="2605"/>
      <c r="AQ10" s="2605"/>
      <c r="AR10" s="2605"/>
      <c r="AS10" s="2605"/>
      <c r="AT10" s="2605"/>
      <c r="AU10" s="2605"/>
      <c r="AV10" s="2605"/>
      <c r="AW10" s="2605"/>
      <c r="AX10" s="2605"/>
      <c r="AY10" s="2605"/>
      <c r="AZ10" s="2605"/>
      <c r="BA10" s="2605"/>
      <c r="BB10" s="2605"/>
      <c r="BC10" s="2605"/>
      <c r="BD10" s="2605"/>
      <c r="BE10" s="2605"/>
      <c r="BF10" s="2605"/>
      <c r="BG10" s="2605"/>
      <c r="BH10" s="2605"/>
      <c r="BI10" s="2605"/>
      <c r="BJ10" s="2605"/>
      <c r="BK10" s="2605"/>
      <c r="BL10" s="2605"/>
      <c r="BM10" s="2605"/>
      <c r="BN10" s="2605"/>
      <c r="BO10" s="2605"/>
      <c r="BP10" s="2605"/>
      <c r="BQ10" s="2605"/>
      <c r="BR10" s="2605"/>
      <c r="BS10" s="2605"/>
      <c r="BT10" s="2605"/>
      <c r="BU10" s="2605"/>
      <c r="BV10" s="2605"/>
      <c r="BW10" s="2605"/>
      <c r="BX10" s="2605"/>
      <c r="BY10" s="2605"/>
      <c r="BZ10" s="2605"/>
      <c r="CA10" s="2605"/>
      <c r="CB10" s="2605"/>
      <c r="CC10" s="2605"/>
      <c r="CD10" s="2605"/>
      <c r="CE10" s="2605"/>
      <c r="CF10" s="2605"/>
      <c r="CG10" s="2605"/>
      <c r="CH10" s="2605"/>
      <c r="CI10" s="2605"/>
      <c r="CJ10" s="2605"/>
      <c r="CK10" s="2605"/>
      <c r="CL10" s="2605"/>
      <c r="CM10" s="2605"/>
      <c r="CN10" s="2605"/>
      <c r="CO10" s="2605"/>
      <c r="CP10" s="2605"/>
      <c r="CQ10" s="2605"/>
      <c r="CR10" s="2605"/>
      <c r="CS10" s="2605"/>
      <c r="CT10" s="2605"/>
      <c r="CU10" s="2605"/>
      <c r="CV10" s="2605"/>
      <c r="CW10" s="2605"/>
      <c r="CX10" s="2605"/>
      <c r="CY10" s="2605"/>
      <c r="CZ10" s="2605"/>
      <c r="DA10" s="2605"/>
      <c r="DB10" s="2605"/>
      <c r="DC10" s="2605"/>
      <c r="DD10" s="2605"/>
      <c r="DE10" s="2605"/>
      <c r="DF10" s="2605"/>
      <c r="DG10" s="2605"/>
      <c r="DH10" s="2605"/>
      <c r="DI10" s="2605"/>
      <c r="DJ10" s="2605"/>
      <c r="DK10" s="2605"/>
      <c r="DL10" s="2605"/>
      <c r="DM10" s="2605"/>
      <c r="DN10" s="2605"/>
      <c r="DO10" s="2605"/>
      <c r="DP10" s="2605"/>
      <c r="DQ10" s="2605"/>
      <c r="DR10" s="2605"/>
      <c r="DS10" s="2605"/>
      <c r="DT10" s="2605"/>
      <c r="DU10" s="2605"/>
      <c r="DV10" s="2605"/>
      <c r="DW10" s="2605"/>
      <c r="DX10" s="2605"/>
      <c r="DY10" s="2605"/>
      <c r="DZ10" s="2605"/>
      <c r="EA10" s="2605"/>
      <c r="EB10" s="2605"/>
      <c r="EC10" s="2605"/>
      <c r="ED10" s="2605"/>
      <c r="EE10" s="2605"/>
      <c r="EF10" s="2605"/>
      <c r="EG10" s="2605"/>
      <c r="EH10" s="2605"/>
      <c r="EI10" s="2605"/>
      <c r="EJ10" s="2605"/>
      <c r="EK10" s="2605"/>
      <c r="EL10" s="2605"/>
      <c r="EM10" s="2605"/>
      <c r="EN10" s="2605"/>
      <c r="EO10" s="2605"/>
      <c r="EP10" s="2605"/>
      <c r="EQ10" s="2605"/>
      <c r="ER10" s="2605"/>
      <c r="ES10" s="2605"/>
      <c r="ET10" s="2605"/>
      <c r="EU10" s="2605"/>
      <c r="EV10" s="2605"/>
      <c r="EW10" s="2605"/>
      <c r="EX10" s="2605"/>
      <c r="EY10" s="2605"/>
      <c r="EZ10" s="2605"/>
      <c r="FA10" s="2605"/>
      <c r="FB10" s="2605"/>
      <c r="FC10" s="2605"/>
      <c r="FD10" s="2605"/>
      <c r="FE10" s="2605"/>
      <c r="FF10" s="2605"/>
      <c r="FG10" s="2605"/>
      <c r="FH10" s="2605"/>
      <c r="FI10" s="2605"/>
      <c r="FJ10" s="2605"/>
      <c r="FK10" s="2605"/>
      <c r="FL10" s="2605"/>
      <c r="FM10" s="2605"/>
      <c r="FN10" s="2605"/>
      <c r="FO10" s="2605"/>
      <c r="FP10" s="2605"/>
      <c r="FQ10" s="2605"/>
      <c r="FR10" s="2605"/>
      <c r="FS10" s="2605"/>
      <c r="FT10" s="2605"/>
      <c r="FU10" s="2605"/>
      <c r="FV10" s="2605"/>
      <c r="FW10" s="2605"/>
      <c r="FX10" s="2605"/>
      <c r="FY10" s="2605"/>
      <c r="FZ10" s="2605"/>
      <c r="GA10" s="2605"/>
      <c r="GB10" s="2605"/>
      <c r="GC10" s="2605"/>
      <c r="GD10" s="2605"/>
      <c r="GE10" s="2605"/>
      <c r="GF10" s="2605"/>
      <c r="GG10" s="2605"/>
      <c r="GH10" s="2605"/>
      <c r="GI10" s="2605"/>
      <c r="GJ10" s="2605"/>
      <c r="GK10" s="2605"/>
      <c r="GL10" s="2605"/>
      <c r="GM10" s="2605"/>
      <c r="GN10" s="2605"/>
      <c r="GO10" s="2605"/>
      <c r="GP10" s="2605"/>
      <c r="GQ10" s="2605"/>
      <c r="GR10" s="2605"/>
      <c r="GS10" s="2605"/>
      <c r="GT10" s="2605"/>
      <c r="GU10" s="2605"/>
      <c r="GV10" s="2605"/>
      <c r="GW10" s="2605"/>
      <c r="GX10" s="2605"/>
      <c r="GY10" s="2605"/>
      <c r="GZ10" s="2605"/>
      <c r="HA10" s="2605"/>
      <c r="HB10" s="2605"/>
      <c r="HC10" s="2605"/>
      <c r="HD10" s="2605"/>
      <c r="HE10" s="2605"/>
      <c r="HF10" s="2605"/>
      <c r="HG10" s="2605"/>
      <c r="HH10" s="2605"/>
      <c r="HI10" s="2605"/>
      <c r="HJ10" s="2605"/>
      <c r="HK10" s="2605"/>
      <c r="HL10" s="2605"/>
      <c r="HM10" s="2605"/>
      <c r="HN10" s="2605"/>
      <c r="HO10" s="2605"/>
      <c r="HP10" s="2605"/>
      <c r="HQ10" s="2605"/>
      <c r="HR10" s="2605"/>
      <c r="HS10" s="2605"/>
      <c r="HT10" s="2605"/>
      <c r="HU10" s="2605"/>
      <c r="HV10" s="2605"/>
      <c r="HW10" s="2605"/>
      <c r="HX10" s="2605"/>
      <c r="HY10" s="2605"/>
      <c r="HZ10" s="2605"/>
      <c r="IA10" s="2605"/>
      <c r="IB10" s="2605"/>
      <c r="IC10" s="2605"/>
      <c r="ID10" s="2605"/>
      <c r="IE10" s="2605"/>
      <c r="IF10" s="2605"/>
      <c r="IG10" s="2605"/>
      <c r="IH10" s="2605"/>
      <c r="II10" s="2605"/>
      <c r="IJ10" s="2605"/>
      <c r="IK10" s="2605"/>
      <c r="IL10" s="2605"/>
      <c r="IM10" s="2605"/>
      <c r="IN10" s="2605"/>
      <c r="IO10" s="2605"/>
      <c r="IP10" s="2605"/>
      <c r="IQ10" s="2605"/>
      <c r="IR10" s="2605"/>
      <c r="IS10" s="2605"/>
      <c r="IT10" s="2605"/>
      <c r="IU10" s="2605"/>
      <c r="IV10" s="2605"/>
    </row>
    <row r="11" spans="1:257">
      <c r="A11" s="2606"/>
      <c r="B11" s="2607" t="s">
        <v>2515</v>
      </c>
      <c r="C11" s="2608" t="s">
        <v>2516</v>
      </c>
      <c r="D11" s="2609" t="s">
        <v>2517</v>
      </c>
      <c r="E11" s="2610"/>
      <c r="F11" s="2609" t="s">
        <v>2518</v>
      </c>
      <c r="G11" s="2611"/>
      <c r="H11" s="2610"/>
      <c r="I11" s="2609" t="s">
        <v>2519</v>
      </c>
      <c r="J11" s="2610"/>
      <c r="K11" s="2606"/>
      <c r="L11" s="2607" t="s">
        <v>2515</v>
      </c>
      <c r="M11" s="2608" t="s">
        <v>2516</v>
      </c>
      <c r="N11" s="2607" t="s">
        <v>2520</v>
      </c>
      <c r="O11" s="2609" t="s">
        <v>2521</v>
      </c>
      <c r="P11" s="2611"/>
      <c r="Q11" s="2611"/>
      <c r="R11" s="2611"/>
      <c r="S11" s="2611"/>
      <c r="T11" s="2610"/>
      <c r="U11" s="2609" t="s">
        <v>2522</v>
      </c>
      <c r="V11" s="2611"/>
      <c r="W11" s="2610"/>
      <c r="X11" s="2607" t="s">
        <v>2523</v>
      </c>
      <c r="Y11" s="2607" t="s">
        <v>2524</v>
      </c>
      <c r="Z11" s="2607" t="s">
        <v>2525</v>
      </c>
      <c r="AA11" s="2612"/>
      <c r="AB11" s="2612"/>
      <c r="AC11" s="2612"/>
      <c r="AD11" s="2612"/>
      <c r="AE11" s="2612"/>
      <c r="AF11" s="2612"/>
      <c r="AG11" s="2612"/>
      <c r="AH11" s="2612"/>
      <c r="AI11" s="2612"/>
      <c r="AJ11" s="2612"/>
      <c r="AK11" s="2612"/>
      <c r="AL11" s="2612"/>
      <c r="AM11" s="2612"/>
      <c r="AN11" s="2612"/>
      <c r="AO11" s="2612"/>
      <c r="AP11" s="2612"/>
      <c r="AQ11" s="2612"/>
      <c r="AR11" s="2612"/>
      <c r="AS11" s="2612"/>
      <c r="AT11" s="2612"/>
      <c r="AU11" s="2612"/>
      <c r="AV11" s="2612"/>
      <c r="AW11" s="2612"/>
      <c r="AX11" s="2612"/>
      <c r="AY11" s="2612"/>
      <c r="AZ11" s="2612"/>
      <c r="BA11" s="2612"/>
      <c r="BB11" s="2612"/>
      <c r="BC11" s="2612"/>
      <c r="BD11" s="2612"/>
      <c r="BE11" s="2612"/>
      <c r="BF11" s="2612"/>
      <c r="BG11" s="2612"/>
      <c r="BH11" s="2612"/>
      <c r="BI11" s="2612"/>
      <c r="BJ11" s="2612"/>
      <c r="BK11" s="2612"/>
      <c r="BL11" s="2612"/>
      <c r="BM11" s="2612"/>
      <c r="BN11" s="2612"/>
      <c r="BO11" s="2612"/>
      <c r="BP11" s="2612"/>
      <c r="BQ11" s="2612"/>
      <c r="BR11" s="2612"/>
      <c r="BS11" s="2612"/>
      <c r="BT11" s="2612"/>
      <c r="BU11" s="2612"/>
      <c r="BV11" s="2612"/>
      <c r="BW11" s="2612"/>
      <c r="BX11" s="2612"/>
      <c r="BY11" s="2612"/>
      <c r="BZ11" s="2612"/>
      <c r="CA11" s="2612"/>
      <c r="CB11" s="2612"/>
      <c r="CC11" s="2612"/>
      <c r="CD11" s="2612"/>
      <c r="CE11" s="2612"/>
      <c r="CF11" s="2612"/>
      <c r="CG11" s="2612"/>
      <c r="CH11" s="2612"/>
      <c r="CI11" s="2612"/>
      <c r="CJ11" s="2612"/>
      <c r="CK11" s="2612"/>
      <c r="CL11" s="2612"/>
      <c r="CM11" s="2612"/>
      <c r="CN11" s="2612"/>
      <c r="CO11" s="2612"/>
      <c r="CP11" s="2612"/>
      <c r="CQ11" s="2612"/>
      <c r="CR11" s="2612"/>
      <c r="CS11" s="2612"/>
      <c r="CT11" s="2612"/>
      <c r="CU11" s="2612"/>
      <c r="CV11" s="2612"/>
      <c r="CW11" s="2612"/>
      <c r="CX11" s="2612"/>
      <c r="CY11" s="2612"/>
      <c r="CZ11" s="2612"/>
      <c r="DA11" s="2612"/>
      <c r="DB11" s="2612"/>
      <c r="DC11" s="2612"/>
      <c r="DD11" s="2612"/>
      <c r="DE11" s="2612"/>
      <c r="DF11" s="2612"/>
      <c r="DG11" s="2612"/>
      <c r="DH11" s="2612"/>
      <c r="DI11" s="2612"/>
      <c r="DJ11" s="2612"/>
      <c r="DK11" s="2612"/>
      <c r="DL11" s="2612"/>
      <c r="DM11" s="2612"/>
      <c r="DN11" s="2612"/>
      <c r="DO11" s="2612"/>
      <c r="DP11" s="2612"/>
      <c r="DQ11" s="2612"/>
      <c r="DR11" s="2612"/>
      <c r="DS11" s="2612"/>
      <c r="DT11" s="2612"/>
      <c r="DU11" s="2612"/>
      <c r="DV11" s="2612"/>
      <c r="DW11" s="2612"/>
      <c r="DX11" s="2612"/>
      <c r="DY11" s="2612"/>
      <c r="DZ11" s="2612"/>
      <c r="EA11" s="2612"/>
      <c r="EB11" s="2612"/>
      <c r="EC11" s="2612"/>
      <c r="ED11" s="2612"/>
      <c r="EE11" s="2612"/>
      <c r="EF11" s="2612"/>
      <c r="EG11" s="2612"/>
      <c r="EH11" s="2612"/>
      <c r="EI11" s="2612"/>
      <c r="EJ11" s="2612"/>
      <c r="EK11" s="2612"/>
      <c r="EL11" s="2612"/>
      <c r="EM11" s="2612"/>
      <c r="EN11" s="2612"/>
      <c r="EO11" s="2612"/>
      <c r="EP11" s="2612"/>
      <c r="EQ11" s="2612"/>
      <c r="ER11" s="2612"/>
      <c r="ES11" s="2612"/>
      <c r="ET11" s="2612"/>
      <c r="EU11" s="2612"/>
      <c r="EV11" s="2612"/>
      <c r="EW11" s="2612"/>
      <c r="EX11" s="2612"/>
      <c r="EY11" s="2612"/>
      <c r="EZ11" s="2612"/>
      <c r="FA11" s="2612"/>
      <c r="FB11" s="2612"/>
      <c r="FC11" s="2612"/>
      <c r="FD11" s="2612"/>
      <c r="FE11" s="2612"/>
      <c r="FF11" s="2612"/>
      <c r="FG11" s="2612"/>
      <c r="FH11" s="2612"/>
      <c r="FI11" s="2612"/>
      <c r="FJ11" s="2612"/>
      <c r="FK11" s="2612"/>
      <c r="FL11" s="2612"/>
      <c r="FM11" s="2612"/>
      <c r="FN11" s="2612"/>
      <c r="FO11" s="2612"/>
      <c r="FP11" s="2612"/>
      <c r="FQ11" s="2612"/>
      <c r="FR11" s="2612"/>
      <c r="FS11" s="2612"/>
      <c r="FT11" s="2612"/>
      <c r="FU11" s="2612"/>
      <c r="FV11" s="2612"/>
      <c r="FW11" s="2612"/>
      <c r="FX11" s="2612"/>
      <c r="FY11" s="2612"/>
      <c r="FZ11" s="2612"/>
      <c r="GA11" s="2612"/>
      <c r="GB11" s="2612"/>
      <c r="GC11" s="2612"/>
      <c r="GD11" s="2612"/>
      <c r="GE11" s="2612"/>
      <c r="GF11" s="2612"/>
      <c r="GG11" s="2612"/>
      <c r="GH11" s="2612"/>
      <c r="GI11" s="2612"/>
      <c r="GJ11" s="2612"/>
      <c r="GK11" s="2612"/>
      <c r="GL11" s="2612"/>
      <c r="GM11" s="2612"/>
      <c r="GN11" s="2612"/>
      <c r="GO11" s="2612"/>
      <c r="GP11" s="2612"/>
      <c r="GQ11" s="2612"/>
      <c r="GR11" s="2612"/>
      <c r="GS11" s="2612"/>
      <c r="GT11" s="2612"/>
      <c r="GU11" s="2612"/>
      <c r="GV11" s="2612"/>
      <c r="GW11" s="2612"/>
      <c r="GX11" s="2612"/>
      <c r="GY11" s="2612"/>
      <c r="GZ11" s="2612"/>
      <c r="HA11" s="2612"/>
      <c r="HB11" s="2612"/>
      <c r="HC11" s="2612"/>
      <c r="HD11" s="2612"/>
      <c r="HE11" s="2612"/>
      <c r="HF11" s="2612"/>
      <c r="HG11" s="2612"/>
      <c r="HH11" s="2612"/>
      <c r="HI11" s="2612"/>
      <c r="HJ11" s="2612"/>
      <c r="HK11" s="2612"/>
      <c r="HL11" s="2612"/>
      <c r="HM11" s="2612"/>
      <c r="HN11" s="2612"/>
      <c r="HO11" s="2612"/>
      <c r="HP11" s="2612"/>
      <c r="HQ11" s="2612"/>
      <c r="HR11" s="2612"/>
      <c r="HS11" s="2612"/>
      <c r="HT11" s="2612"/>
      <c r="HU11" s="2612"/>
      <c r="HV11" s="2612"/>
      <c r="HW11" s="2612"/>
      <c r="HX11" s="2612"/>
      <c r="HY11" s="2612"/>
      <c r="HZ11" s="2612"/>
      <c r="IA11" s="2612"/>
      <c r="IB11" s="2612"/>
      <c r="IC11" s="2612"/>
      <c r="ID11" s="2612"/>
      <c r="IE11" s="2612"/>
      <c r="IF11" s="2612"/>
      <c r="IG11" s="2612"/>
      <c r="IH11" s="2612"/>
      <c r="II11" s="2612"/>
      <c r="IJ11" s="2612"/>
      <c r="IK11" s="2612"/>
      <c r="IL11" s="2612"/>
      <c r="IM11" s="2612"/>
      <c r="IN11" s="2612"/>
      <c r="IO11" s="2612"/>
      <c r="IP11" s="2612"/>
      <c r="IQ11" s="2612"/>
      <c r="IR11" s="2612"/>
      <c r="IS11" s="2612"/>
      <c r="IT11" s="2612"/>
      <c r="IU11" s="2612"/>
      <c r="IV11" s="2612"/>
    </row>
    <row r="12" spans="1:257">
      <c r="A12" s="2613"/>
      <c r="B12" s="2614"/>
      <c r="C12" s="2615"/>
      <c r="D12" s="2616" t="s">
        <v>2526</v>
      </c>
      <c r="E12" s="2616" t="s">
        <v>2527</v>
      </c>
      <c r="F12" s="2616" t="s">
        <v>2528</v>
      </c>
      <c r="G12" s="2616" t="s">
        <v>2529</v>
      </c>
      <c r="H12" s="2616" t="s">
        <v>2511</v>
      </c>
      <c r="I12" s="2617" t="s">
        <v>2530</v>
      </c>
      <c r="J12" s="2617" t="s">
        <v>2530</v>
      </c>
      <c r="K12" s="2613"/>
      <c r="L12" s="2614"/>
      <c r="M12" s="2615"/>
      <c r="N12" s="2614"/>
      <c r="O12" s="2617" t="s">
        <v>2531</v>
      </c>
      <c r="P12" s="2617">
        <v>0.5</v>
      </c>
      <c r="Q12" s="2617">
        <v>1</v>
      </c>
      <c r="R12" s="2617">
        <v>2</v>
      </c>
      <c r="S12" s="2617">
        <v>3</v>
      </c>
      <c r="T12" s="2617">
        <v>5</v>
      </c>
      <c r="U12" s="2617">
        <v>1</v>
      </c>
      <c r="V12" s="2617">
        <v>3</v>
      </c>
      <c r="W12" s="2617">
        <v>5</v>
      </c>
      <c r="X12" s="2614"/>
      <c r="Y12" s="2614"/>
      <c r="Z12" s="2614"/>
      <c r="AA12" s="2618"/>
      <c r="AB12" s="2618"/>
      <c r="AC12" s="2618"/>
      <c r="AD12" s="2618"/>
      <c r="AE12" s="2618"/>
      <c r="AF12" s="2618"/>
      <c r="AG12" s="2618"/>
      <c r="AH12" s="2618"/>
      <c r="AI12" s="2618"/>
      <c r="AJ12" s="2618"/>
      <c r="AK12" s="2618"/>
      <c r="AL12" s="2618"/>
      <c r="AM12" s="2618"/>
      <c r="AN12" s="2618"/>
      <c r="AO12" s="2618"/>
      <c r="AP12" s="2618"/>
      <c r="AQ12" s="2618"/>
      <c r="AR12" s="2618"/>
      <c r="AS12" s="2618"/>
      <c r="AT12" s="2618"/>
      <c r="AU12" s="2618"/>
      <c r="AV12" s="2618"/>
      <c r="AW12" s="2618"/>
      <c r="AX12" s="2618"/>
      <c r="AY12" s="2618"/>
      <c r="AZ12" s="2618"/>
      <c r="BA12" s="2618"/>
      <c r="BB12" s="2618"/>
      <c r="BC12" s="2618"/>
      <c r="BD12" s="2618"/>
      <c r="BE12" s="2618"/>
      <c r="BF12" s="2618"/>
      <c r="BG12" s="2618"/>
      <c r="BH12" s="2618"/>
      <c r="BI12" s="2618"/>
      <c r="BJ12" s="2618"/>
      <c r="BK12" s="2618"/>
      <c r="BL12" s="2618"/>
      <c r="BM12" s="2618"/>
      <c r="BN12" s="2618"/>
      <c r="BO12" s="2618"/>
      <c r="BP12" s="2618"/>
      <c r="BQ12" s="2618"/>
      <c r="BR12" s="2618"/>
      <c r="BS12" s="2618"/>
      <c r="BT12" s="2618"/>
      <c r="BU12" s="2618"/>
      <c r="BV12" s="2618"/>
      <c r="BW12" s="2618"/>
      <c r="BX12" s="2618"/>
      <c r="BY12" s="2618"/>
      <c r="BZ12" s="2618"/>
      <c r="CA12" s="2618"/>
      <c r="CB12" s="2618"/>
      <c r="CC12" s="2618"/>
      <c r="CD12" s="2618"/>
      <c r="CE12" s="2618"/>
      <c r="CF12" s="2618"/>
      <c r="CG12" s="2618"/>
      <c r="CH12" s="2618"/>
      <c r="CI12" s="2618"/>
      <c r="CJ12" s="2618"/>
      <c r="CK12" s="2618"/>
      <c r="CL12" s="2618"/>
      <c r="CM12" s="2618"/>
      <c r="CN12" s="2618"/>
      <c r="CO12" s="2618"/>
      <c r="CP12" s="2618"/>
      <c r="CQ12" s="2618"/>
      <c r="CR12" s="2618"/>
      <c r="CS12" s="2618"/>
      <c r="CT12" s="2618"/>
      <c r="CU12" s="2618"/>
      <c r="CV12" s="2618"/>
      <c r="CW12" s="2618"/>
      <c r="CX12" s="2618"/>
      <c r="CY12" s="2618"/>
      <c r="CZ12" s="2618"/>
      <c r="DA12" s="2618"/>
      <c r="DB12" s="2618"/>
      <c r="DC12" s="2618"/>
      <c r="DD12" s="2618"/>
      <c r="DE12" s="2618"/>
      <c r="DF12" s="2618"/>
      <c r="DG12" s="2618"/>
      <c r="DH12" s="2618"/>
      <c r="DI12" s="2618"/>
      <c r="DJ12" s="2618"/>
      <c r="DK12" s="2618"/>
      <c r="DL12" s="2618"/>
      <c r="DM12" s="2618"/>
      <c r="DN12" s="2618"/>
      <c r="DO12" s="2618"/>
      <c r="DP12" s="2618"/>
      <c r="DQ12" s="2618"/>
      <c r="DR12" s="2618"/>
      <c r="DS12" s="2618"/>
      <c r="DT12" s="2618"/>
      <c r="DU12" s="2618"/>
      <c r="DV12" s="2618"/>
      <c r="DW12" s="2618"/>
      <c r="DX12" s="2618"/>
      <c r="DY12" s="2618"/>
      <c r="DZ12" s="2618"/>
      <c r="EA12" s="2618"/>
      <c r="EB12" s="2618"/>
      <c r="EC12" s="2618"/>
      <c r="ED12" s="2618"/>
      <c r="EE12" s="2618"/>
      <c r="EF12" s="2618"/>
      <c r="EG12" s="2618"/>
      <c r="EH12" s="2618"/>
      <c r="EI12" s="2618"/>
      <c r="EJ12" s="2618"/>
      <c r="EK12" s="2618"/>
      <c r="EL12" s="2618"/>
      <c r="EM12" s="2618"/>
      <c r="EN12" s="2618"/>
      <c r="EO12" s="2618"/>
      <c r="EP12" s="2618"/>
      <c r="EQ12" s="2618"/>
      <c r="ER12" s="2618"/>
      <c r="ES12" s="2618"/>
      <c r="ET12" s="2618"/>
      <c r="EU12" s="2618"/>
      <c r="EV12" s="2618"/>
      <c r="EW12" s="2618"/>
      <c r="EX12" s="2618"/>
      <c r="EY12" s="2618"/>
      <c r="EZ12" s="2618"/>
      <c r="FA12" s="2618"/>
      <c r="FB12" s="2618"/>
      <c r="FC12" s="2618"/>
      <c r="FD12" s="2618"/>
      <c r="FE12" s="2618"/>
      <c r="FF12" s="2618"/>
      <c r="FG12" s="2618"/>
      <c r="FH12" s="2618"/>
      <c r="FI12" s="2618"/>
      <c r="FJ12" s="2618"/>
      <c r="FK12" s="2618"/>
      <c r="FL12" s="2618"/>
      <c r="FM12" s="2618"/>
      <c r="FN12" s="2618"/>
      <c r="FO12" s="2618"/>
      <c r="FP12" s="2618"/>
      <c r="FQ12" s="2618"/>
      <c r="FR12" s="2618"/>
      <c r="FS12" s="2618"/>
      <c r="FT12" s="2618"/>
      <c r="FU12" s="2618"/>
      <c r="FV12" s="2618"/>
      <c r="FW12" s="2618"/>
      <c r="FX12" s="2618"/>
      <c r="FY12" s="2618"/>
      <c r="FZ12" s="2618"/>
      <c r="GA12" s="2618"/>
      <c r="GB12" s="2618"/>
      <c r="GC12" s="2618"/>
      <c r="GD12" s="2618"/>
      <c r="GE12" s="2618"/>
      <c r="GF12" s="2618"/>
      <c r="GG12" s="2618"/>
      <c r="GH12" s="2618"/>
      <c r="GI12" s="2618"/>
      <c r="GJ12" s="2618"/>
      <c r="GK12" s="2618"/>
      <c r="GL12" s="2618"/>
      <c r="GM12" s="2618"/>
      <c r="GN12" s="2618"/>
      <c r="GO12" s="2618"/>
      <c r="GP12" s="2618"/>
      <c r="GQ12" s="2618"/>
      <c r="GR12" s="2618"/>
      <c r="GS12" s="2618"/>
      <c r="GT12" s="2618"/>
      <c r="GU12" s="2618"/>
      <c r="GV12" s="2618"/>
      <c r="GW12" s="2618"/>
      <c r="GX12" s="2618"/>
      <c r="GY12" s="2618"/>
      <c r="GZ12" s="2618"/>
      <c r="HA12" s="2618"/>
      <c r="HB12" s="2618"/>
      <c r="HC12" s="2618"/>
      <c r="HD12" s="2618"/>
      <c r="HE12" s="2618"/>
      <c r="HF12" s="2618"/>
      <c r="HG12" s="2618"/>
      <c r="HH12" s="2618"/>
      <c r="HI12" s="2618"/>
      <c r="HJ12" s="2618"/>
      <c r="HK12" s="2618"/>
      <c r="HL12" s="2618"/>
      <c r="HM12" s="2618"/>
      <c r="HN12" s="2618"/>
      <c r="HO12" s="2618"/>
      <c r="HP12" s="2618"/>
      <c r="HQ12" s="2618"/>
      <c r="HR12" s="2618"/>
      <c r="HS12" s="2618"/>
      <c r="HT12" s="2618"/>
      <c r="HU12" s="2618"/>
      <c r="HV12" s="2618"/>
      <c r="HW12" s="2618"/>
      <c r="HX12" s="2618"/>
      <c r="HY12" s="2618"/>
      <c r="HZ12" s="2618"/>
      <c r="IA12" s="2618"/>
      <c r="IB12" s="2618"/>
      <c r="IC12" s="2618"/>
      <c r="ID12" s="2618"/>
      <c r="IE12" s="2618"/>
      <c r="IF12" s="2618"/>
      <c r="IG12" s="2618"/>
      <c r="IH12" s="2618"/>
      <c r="II12" s="2618"/>
      <c r="IJ12" s="2618"/>
      <c r="IK12" s="2618"/>
      <c r="IL12" s="2618"/>
      <c r="IM12" s="2618"/>
      <c r="IN12" s="2618"/>
      <c r="IO12" s="2618"/>
      <c r="IP12" s="2618"/>
      <c r="IQ12" s="2618"/>
      <c r="IR12" s="2618"/>
      <c r="IS12" s="2618"/>
      <c r="IT12" s="2618"/>
      <c r="IU12" s="2618"/>
      <c r="IV12" s="2618"/>
    </row>
    <row r="13" spans="1:257" ht="14.25">
      <c r="A13" s="2619"/>
      <c r="B13" s="2620" t="s">
        <v>2532</v>
      </c>
      <c r="C13" s="2621">
        <v>44795</v>
      </c>
      <c r="D13" s="2622">
        <v>3.65</v>
      </c>
      <c r="E13" s="2622">
        <f>D13</f>
        <v>3.65</v>
      </c>
      <c r="F13" s="2622">
        <f>D13</f>
        <v>3.65</v>
      </c>
      <c r="G13" s="2622">
        <f>D13</f>
        <v>3.65</v>
      </c>
      <c r="H13" s="2622">
        <v>4.3</v>
      </c>
      <c r="I13" s="2622"/>
      <c r="J13" s="2622"/>
      <c r="K13" s="2619"/>
      <c r="L13" s="2620" t="s">
        <v>2532</v>
      </c>
      <c r="M13" s="2623">
        <v>42301</v>
      </c>
      <c r="N13" s="2622">
        <v>0.35</v>
      </c>
      <c r="O13" s="2622">
        <v>1.1000000000000001</v>
      </c>
      <c r="P13" s="2622">
        <v>1.3</v>
      </c>
      <c r="Q13" s="2622">
        <v>1.5</v>
      </c>
      <c r="R13" s="2622">
        <v>2.1</v>
      </c>
      <c r="S13" s="2622">
        <v>2.75</v>
      </c>
      <c r="T13" s="2622"/>
      <c r="U13" s="2622"/>
      <c r="V13" s="2622"/>
      <c r="W13" s="2622"/>
      <c r="X13" s="2622"/>
      <c r="Y13" s="2622"/>
      <c r="Z13" s="2622"/>
      <c r="AA13" s="2624"/>
      <c r="AB13" s="2624"/>
      <c r="AC13" s="2624"/>
      <c r="AD13" s="2624"/>
      <c r="AE13" s="2624"/>
      <c r="AF13" s="2624"/>
      <c r="AG13" s="2624"/>
      <c r="AH13" s="2624"/>
      <c r="AI13" s="2624"/>
      <c r="AJ13" s="2624"/>
      <c r="AK13" s="2624"/>
      <c r="AL13" s="2624"/>
      <c r="AM13" s="2624"/>
      <c r="AN13" s="2624"/>
      <c r="AO13" s="2624"/>
      <c r="AP13" s="2624"/>
      <c r="AQ13" s="2624"/>
      <c r="AR13" s="2624"/>
      <c r="AS13" s="2624"/>
      <c r="AT13" s="2624"/>
      <c r="AU13" s="2624"/>
      <c r="AV13" s="2624"/>
      <c r="AW13" s="2624"/>
      <c r="AX13" s="2624"/>
      <c r="AY13" s="2624"/>
      <c r="AZ13" s="2624"/>
      <c r="BA13" s="2624"/>
      <c r="BB13" s="2624"/>
      <c r="BC13" s="2624"/>
      <c r="BD13" s="2624"/>
      <c r="BE13" s="2624"/>
      <c r="BF13" s="2624"/>
      <c r="BG13" s="2624"/>
      <c r="BH13" s="2624"/>
      <c r="BI13" s="2624"/>
      <c r="BJ13" s="2624"/>
      <c r="BK13" s="2624"/>
      <c r="BL13" s="2624"/>
      <c r="BM13" s="2624"/>
      <c r="BN13" s="2624"/>
      <c r="BO13" s="2624"/>
      <c r="BP13" s="2624"/>
      <c r="BQ13" s="2624"/>
      <c r="BR13" s="2624"/>
      <c r="BS13" s="2624"/>
      <c r="BT13" s="2624"/>
      <c r="BU13" s="2624"/>
      <c r="BV13" s="2624"/>
      <c r="BW13" s="2624"/>
      <c r="BX13" s="2624"/>
      <c r="BY13" s="2624"/>
      <c r="BZ13" s="2624"/>
      <c r="CA13" s="2624"/>
      <c r="CB13" s="2624"/>
      <c r="CC13" s="2624"/>
      <c r="CD13" s="2624"/>
      <c r="CE13" s="2624"/>
      <c r="CF13" s="2624"/>
      <c r="CG13" s="2624"/>
      <c r="CH13" s="2624"/>
      <c r="CI13" s="2624"/>
      <c r="CJ13" s="2624"/>
      <c r="CK13" s="2624"/>
      <c r="CL13" s="2624"/>
      <c r="CM13" s="2624"/>
      <c r="CN13" s="2624"/>
      <c r="CO13" s="2624"/>
      <c r="CP13" s="2624"/>
      <c r="CQ13" s="2624"/>
      <c r="CR13" s="2624"/>
      <c r="CS13" s="2624"/>
      <c r="CT13" s="2624"/>
      <c r="CU13" s="2624"/>
      <c r="CV13" s="2624"/>
      <c r="CW13" s="2624"/>
      <c r="CX13" s="2624"/>
      <c r="CY13" s="2624"/>
      <c r="CZ13" s="2624"/>
      <c r="DA13" s="2624"/>
      <c r="DB13" s="2624"/>
      <c r="DC13" s="2624"/>
      <c r="DD13" s="2624"/>
      <c r="DE13" s="2624"/>
      <c r="DF13" s="2624"/>
      <c r="DG13" s="2624"/>
      <c r="DH13" s="2624"/>
      <c r="DI13" s="2624"/>
      <c r="DJ13" s="2624"/>
      <c r="DK13" s="2624"/>
      <c r="DL13" s="2624"/>
      <c r="DM13" s="2624"/>
      <c r="DN13" s="2624"/>
      <c r="DO13" s="2624"/>
      <c r="DP13" s="2624"/>
      <c r="DQ13" s="2624"/>
      <c r="DR13" s="2624"/>
      <c r="DS13" s="2624"/>
      <c r="DT13" s="2624"/>
      <c r="DU13" s="2624"/>
      <c r="DV13" s="2624"/>
      <c r="DW13" s="2624"/>
      <c r="DX13" s="2624"/>
      <c r="DY13" s="2624"/>
      <c r="DZ13" s="2624"/>
      <c r="EA13" s="2624"/>
      <c r="EB13" s="2624"/>
      <c r="EC13" s="2624"/>
      <c r="ED13" s="2624"/>
      <c r="EE13" s="2624"/>
      <c r="EF13" s="2624"/>
      <c r="EG13" s="2624"/>
      <c r="EH13" s="2624"/>
      <c r="EI13" s="2624"/>
      <c r="EJ13" s="2624"/>
      <c r="EK13" s="2624"/>
      <c r="EL13" s="2624"/>
      <c r="EM13" s="2624"/>
      <c r="EN13" s="2624"/>
      <c r="EO13" s="2624"/>
      <c r="EP13" s="2624"/>
      <c r="EQ13" s="2624"/>
      <c r="ER13" s="2624"/>
      <c r="ES13" s="2624"/>
      <c r="ET13" s="2624"/>
      <c r="EU13" s="2624"/>
      <c r="EV13" s="2624"/>
      <c r="EW13" s="2624"/>
      <c r="EX13" s="2624"/>
      <c r="EY13" s="2624"/>
      <c r="EZ13" s="2624"/>
      <c r="FA13" s="2624"/>
      <c r="FB13" s="2624"/>
      <c r="FC13" s="2624"/>
      <c r="FD13" s="2624"/>
      <c r="FE13" s="2624"/>
      <c r="FF13" s="2624"/>
      <c r="FG13" s="2624"/>
      <c r="FH13" s="2624"/>
      <c r="FI13" s="2624"/>
      <c r="FJ13" s="2624"/>
      <c r="FK13" s="2624"/>
      <c r="FL13" s="2624"/>
      <c r="FM13" s="2624"/>
      <c r="FN13" s="2624"/>
      <c r="FO13" s="2624"/>
      <c r="FP13" s="2624"/>
      <c r="FQ13" s="2624"/>
      <c r="FR13" s="2624"/>
      <c r="FS13" s="2624"/>
      <c r="FT13" s="2624"/>
      <c r="FU13" s="2624"/>
      <c r="FV13" s="2624"/>
      <c r="FW13" s="2624"/>
      <c r="FX13" s="2624"/>
      <c r="FY13" s="2624"/>
      <c r="FZ13" s="2624"/>
      <c r="GA13" s="2624"/>
      <c r="GB13" s="2624"/>
      <c r="GC13" s="2624"/>
      <c r="GD13" s="2624"/>
      <c r="GE13" s="2624"/>
      <c r="GF13" s="2624"/>
      <c r="GG13" s="2624"/>
      <c r="GH13" s="2624"/>
      <c r="GI13" s="2624"/>
      <c r="GJ13" s="2624"/>
      <c r="GK13" s="2624"/>
      <c r="GL13" s="2624"/>
      <c r="GM13" s="2624"/>
      <c r="GN13" s="2624"/>
      <c r="GO13" s="2624"/>
      <c r="GP13" s="2624"/>
      <c r="GQ13" s="2624"/>
      <c r="GR13" s="2624"/>
      <c r="GS13" s="2624"/>
      <c r="GT13" s="2624"/>
      <c r="GU13" s="2624"/>
      <c r="GV13" s="2624"/>
      <c r="GW13" s="2624"/>
      <c r="GX13" s="2624"/>
      <c r="GY13" s="2624"/>
      <c r="GZ13" s="2624"/>
      <c r="HA13" s="2624"/>
      <c r="HB13" s="2624"/>
      <c r="HC13" s="2624"/>
      <c r="HD13" s="2624"/>
      <c r="HE13" s="2624"/>
      <c r="HF13" s="2624"/>
      <c r="HG13" s="2624"/>
      <c r="HH13" s="2624"/>
      <c r="HI13" s="2624"/>
      <c r="HJ13" s="2624"/>
      <c r="HK13" s="2624"/>
      <c r="HL13" s="2624"/>
      <c r="HM13" s="2624"/>
      <c r="HN13" s="2624"/>
      <c r="HO13" s="2624"/>
      <c r="HP13" s="2624"/>
      <c r="HQ13" s="2624"/>
      <c r="HR13" s="2624"/>
      <c r="HS13" s="2624"/>
      <c r="HT13" s="2624"/>
      <c r="HU13" s="2624"/>
      <c r="HV13" s="2624"/>
      <c r="HW13" s="2624"/>
      <c r="HX13" s="2624"/>
      <c r="HY13" s="2624"/>
      <c r="HZ13" s="2624"/>
      <c r="IA13" s="2624"/>
      <c r="IB13" s="2624"/>
      <c r="IC13" s="2624"/>
      <c r="ID13" s="2624"/>
      <c r="IE13" s="2624"/>
      <c r="IF13" s="2624"/>
      <c r="IG13" s="2624"/>
      <c r="IH13" s="2624"/>
      <c r="II13" s="2624"/>
      <c r="IJ13" s="2624"/>
      <c r="IK13" s="2624"/>
      <c r="IL13" s="2624"/>
      <c r="IM13" s="2624"/>
      <c r="IN13" s="2624"/>
      <c r="IO13" s="2624"/>
      <c r="IP13" s="2624"/>
      <c r="IQ13" s="2624"/>
      <c r="IR13" s="2624"/>
      <c r="IS13" s="2624"/>
      <c r="IT13" s="2624"/>
      <c r="IU13" s="2624"/>
      <c r="IV13" s="2624"/>
      <c r="IW13" s="2625"/>
    </row>
    <row r="14" spans="1:257" ht="14.25">
      <c r="A14" s="2619"/>
      <c r="B14" s="2620"/>
      <c r="C14" s="2627">
        <v>44701</v>
      </c>
      <c r="D14" s="2626">
        <v>3.7</v>
      </c>
      <c r="E14" s="2626">
        <v>3.7</v>
      </c>
      <c r="F14" s="2626">
        <v>3.7</v>
      </c>
      <c r="G14" s="2626">
        <v>3.7</v>
      </c>
      <c r="H14" s="2626">
        <v>4.45</v>
      </c>
      <c r="I14" s="2622"/>
      <c r="J14" s="2622"/>
      <c r="K14" s="2619"/>
      <c r="L14" s="2626"/>
      <c r="M14" s="2627">
        <v>42242</v>
      </c>
      <c r="N14" s="2626">
        <v>0.35</v>
      </c>
      <c r="O14" s="2626">
        <v>1.35</v>
      </c>
      <c r="P14" s="2626">
        <v>1.55</v>
      </c>
      <c r="Q14" s="2626">
        <v>1.75</v>
      </c>
      <c r="R14" s="2626">
        <v>2.35</v>
      </c>
      <c r="S14" s="2626">
        <v>3</v>
      </c>
      <c r="T14" s="2626"/>
      <c r="U14" s="2626"/>
      <c r="V14" s="2626"/>
      <c r="W14" s="2626"/>
      <c r="X14" s="2626"/>
      <c r="Y14" s="2626"/>
      <c r="Z14" s="2626"/>
    </row>
    <row r="15" spans="1:257" ht="14.25">
      <c r="A15" s="2619"/>
      <c r="B15" s="2620"/>
      <c r="C15" s="2627">
        <v>44581</v>
      </c>
      <c r="D15" s="2626">
        <v>3.7</v>
      </c>
      <c r="E15" s="2626">
        <f>D15</f>
        <v>3.7</v>
      </c>
      <c r="F15" s="2626">
        <f>D15</f>
        <v>3.7</v>
      </c>
      <c r="G15" s="2626">
        <f>D15</f>
        <v>3.7</v>
      </c>
      <c r="H15" s="2626">
        <v>4.5999999999999996</v>
      </c>
      <c r="I15" s="2622"/>
      <c r="J15" s="2622"/>
      <c r="L15" s="2626"/>
      <c r="M15" s="2627">
        <v>42183</v>
      </c>
      <c r="N15" s="2626">
        <v>0.35</v>
      </c>
      <c r="O15" s="2626">
        <v>1.6</v>
      </c>
      <c r="P15" s="2626">
        <v>1.8</v>
      </c>
      <c r="Q15" s="2626">
        <v>2</v>
      </c>
      <c r="R15" s="2626">
        <v>2.6</v>
      </c>
      <c r="S15" s="2626">
        <v>3.25</v>
      </c>
      <c r="T15" s="2626"/>
      <c r="U15" s="2626"/>
      <c r="V15" s="2626"/>
      <c r="W15" s="2626"/>
      <c r="X15" s="2626"/>
      <c r="Y15" s="2626"/>
      <c r="Z15" s="2626"/>
    </row>
    <row r="16" spans="1:257" ht="14.25">
      <c r="A16" s="2619"/>
      <c r="B16" s="2620"/>
      <c r="C16" s="2627">
        <v>44550</v>
      </c>
      <c r="D16" s="2626">
        <v>3.8</v>
      </c>
      <c r="E16" s="2626">
        <f>D16</f>
        <v>3.8</v>
      </c>
      <c r="F16" s="2626">
        <f>D16</f>
        <v>3.8</v>
      </c>
      <c r="G16" s="2626">
        <f>D16</f>
        <v>3.8</v>
      </c>
      <c r="H16" s="2626">
        <v>4.6500000000000004</v>
      </c>
      <c r="I16" s="2622"/>
      <c r="J16" s="2622"/>
      <c r="L16" s="2626"/>
      <c r="M16" s="2627">
        <v>42135</v>
      </c>
      <c r="N16" s="2626">
        <v>0.35</v>
      </c>
      <c r="O16" s="2626">
        <v>1.85</v>
      </c>
      <c r="P16" s="2626">
        <v>2.0499999999999998</v>
      </c>
      <c r="Q16" s="2626">
        <v>2.25</v>
      </c>
      <c r="R16" s="2626">
        <v>2.85</v>
      </c>
      <c r="S16" s="2626">
        <v>3.5</v>
      </c>
      <c r="T16" s="2626"/>
      <c r="U16" s="2626"/>
      <c r="V16" s="2626"/>
      <c r="W16" s="2626"/>
      <c r="X16" s="2626"/>
      <c r="Y16" s="2626"/>
      <c r="Z16" s="2626"/>
    </row>
    <row r="17" spans="1:256" ht="14.25">
      <c r="A17" s="2619"/>
      <c r="B17" s="2626"/>
      <c r="C17" s="2627">
        <v>43941</v>
      </c>
      <c r="D17" s="2626">
        <v>3.85</v>
      </c>
      <c r="E17" s="2626">
        <v>3.85</v>
      </c>
      <c r="F17" s="2626">
        <v>3.85</v>
      </c>
      <c r="G17" s="2626">
        <v>3.85</v>
      </c>
      <c r="H17" s="2626">
        <v>4.6500000000000004</v>
      </c>
      <c r="I17" s="2626"/>
      <c r="J17" s="2626"/>
      <c r="L17" s="2626"/>
      <c r="M17" s="2627">
        <v>42064</v>
      </c>
      <c r="N17" s="2626">
        <v>0.35</v>
      </c>
      <c r="O17" s="2626">
        <v>2.1</v>
      </c>
      <c r="P17" s="2626">
        <v>2.2999999999999998</v>
      </c>
      <c r="Q17" s="2626">
        <v>2.5</v>
      </c>
      <c r="R17" s="2626">
        <v>3.1</v>
      </c>
      <c r="S17" s="2626">
        <v>3.75</v>
      </c>
      <c r="T17" s="2626">
        <v>4.5</v>
      </c>
      <c r="U17" s="2626">
        <v>2.35</v>
      </c>
      <c r="V17" s="2626">
        <v>2.5499999999999998</v>
      </c>
      <c r="W17" s="2626">
        <v>2.75</v>
      </c>
      <c r="X17" s="2626"/>
      <c r="Y17" s="2626">
        <v>0.8</v>
      </c>
      <c r="Z17" s="2626">
        <v>1.35</v>
      </c>
    </row>
    <row r="18" spans="1:256" ht="15">
      <c r="A18" s="2619"/>
      <c r="B18" s="2626"/>
      <c r="C18" s="2627">
        <v>43881</v>
      </c>
      <c r="D18" s="2626">
        <v>4.05</v>
      </c>
      <c r="E18" s="2626">
        <v>4.05</v>
      </c>
      <c r="F18" s="2626">
        <v>4.05</v>
      </c>
      <c r="G18" s="2626">
        <v>4.05</v>
      </c>
      <c r="H18" s="2626">
        <v>4.75</v>
      </c>
      <c r="I18" s="2626"/>
      <c r="J18" s="2626"/>
      <c r="L18" s="3189"/>
      <c r="M18" s="3188">
        <v>41965</v>
      </c>
      <c r="N18" s="3189">
        <v>0.35</v>
      </c>
      <c r="O18" s="3189">
        <v>2.35</v>
      </c>
      <c r="P18" s="3189">
        <v>2.5499999999999998</v>
      </c>
      <c r="Q18" s="3189">
        <v>2.75</v>
      </c>
      <c r="R18" s="3189">
        <v>3.35</v>
      </c>
      <c r="S18" s="3189">
        <v>4</v>
      </c>
      <c r="T18" s="3189">
        <v>4.75</v>
      </c>
      <c r="U18" s="3190">
        <v>2.35</v>
      </c>
      <c r="V18" s="3190">
        <v>2.5499999999999998</v>
      </c>
      <c r="W18" s="3190">
        <v>2.75</v>
      </c>
      <c r="X18" s="3189"/>
      <c r="Y18" s="3190">
        <v>0.8</v>
      </c>
      <c r="Z18" s="3190">
        <v>1.35</v>
      </c>
    </row>
    <row r="19" spans="1:256" s="3191" customFormat="1" ht="14.25">
      <c r="A19" s="2619"/>
      <c r="B19" s="2626"/>
      <c r="C19" s="2627">
        <v>43789</v>
      </c>
      <c r="D19" s="2626">
        <v>4.1500000000000004</v>
      </c>
      <c r="E19" s="2626">
        <v>4.1500000000000004</v>
      </c>
      <c r="F19" s="2626">
        <v>4.1500000000000004</v>
      </c>
      <c r="G19" s="2626">
        <v>4.1500000000000004</v>
      </c>
      <c r="H19" s="2626">
        <v>4.8</v>
      </c>
      <c r="I19" s="2626"/>
      <c r="J19" s="2626"/>
      <c r="K19" s="2577"/>
      <c r="L19" s="2626"/>
      <c r="M19" s="2627">
        <v>41096</v>
      </c>
      <c r="N19" s="2626">
        <v>0.35</v>
      </c>
      <c r="O19" s="2626">
        <v>2.6</v>
      </c>
      <c r="P19" s="2626">
        <v>2.8</v>
      </c>
      <c r="Q19" s="2626">
        <v>3</v>
      </c>
      <c r="R19" s="2626">
        <v>3.75</v>
      </c>
      <c r="S19" s="2626">
        <v>4.25</v>
      </c>
      <c r="T19" s="2626">
        <v>4.75</v>
      </c>
      <c r="U19" s="2626">
        <v>2.85</v>
      </c>
      <c r="V19" s="2626">
        <v>2.9</v>
      </c>
      <c r="W19" s="2626">
        <v>3</v>
      </c>
      <c r="X19" s="2626">
        <v>1.1499999999999999</v>
      </c>
      <c r="Y19" s="2626">
        <v>0.8</v>
      </c>
      <c r="Z19" s="2626">
        <v>1.35</v>
      </c>
      <c r="AA19" s="2618"/>
      <c r="AB19" s="2618"/>
      <c r="AC19" s="2618"/>
      <c r="AD19" s="2618"/>
      <c r="AE19" s="2618"/>
      <c r="AF19" s="2618"/>
      <c r="AG19" s="2618"/>
      <c r="AH19" s="2618"/>
      <c r="AI19" s="2618"/>
      <c r="AJ19" s="2618"/>
      <c r="AK19" s="2618"/>
      <c r="AL19" s="2618"/>
      <c r="AM19" s="2618"/>
      <c r="AN19" s="2618"/>
      <c r="AO19" s="2618"/>
      <c r="AP19" s="2618"/>
      <c r="AQ19" s="2618"/>
      <c r="AR19" s="2618"/>
      <c r="AS19" s="2618"/>
      <c r="AT19" s="2618"/>
      <c r="AU19" s="2618"/>
      <c r="AV19" s="2618"/>
      <c r="AW19" s="2618"/>
      <c r="AX19" s="2618"/>
      <c r="AY19" s="2618"/>
      <c r="AZ19" s="2618"/>
      <c r="BA19" s="2618"/>
      <c r="BB19" s="2618"/>
      <c r="BC19" s="2618"/>
      <c r="BD19" s="2618"/>
      <c r="BE19" s="2618"/>
      <c r="BF19" s="2618"/>
      <c r="BG19" s="2618"/>
      <c r="BH19" s="2618"/>
      <c r="BI19" s="2618"/>
      <c r="BJ19" s="2618"/>
      <c r="BK19" s="2618"/>
      <c r="BL19" s="2618"/>
      <c r="BM19" s="2618"/>
      <c r="BN19" s="2618"/>
      <c r="BO19" s="2618"/>
      <c r="BP19" s="2618"/>
      <c r="BQ19" s="2618"/>
      <c r="BR19" s="2618"/>
      <c r="BS19" s="2618"/>
      <c r="BT19" s="2618"/>
      <c r="BU19" s="2618"/>
      <c r="BV19" s="2618"/>
      <c r="BW19" s="2618"/>
      <c r="BX19" s="2618"/>
      <c r="BY19" s="2618"/>
      <c r="BZ19" s="2618"/>
      <c r="CA19" s="2618"/>
      <c r="CB19" s="2618"/>
      <c r="CC19" s="2618"/>
      <c r="CD19" s="2618"/>
      <c r="CE19" s="2618"/>
      <c r="CF19" s="2618"/>
      <c r="CG19" s="2618"/>
      <c r="CH19" s="2618"/>
      <c r="CI19" s="2618"/>
      <c r="CJ19" s="2618"/>
      <c r="CK19" s="2618"/>
      <c r="CL19" s="2618"/>
      <c r="CM19" s="2618"/>
      <c r="CN19" s="2618"/>
      <c r="CO19" s="2618"/>
      <c r="CP19" s="2618"/>
      <c r="CQ19" s="2618"/>
      <c r="CR19" s="2618"/>
      <c r="CS19" s="2618"/>
      <c r="CT19" s="2618"/>
      <c r="CU19" s="2618"/>
      <c r="CV19" s="2618"/>
      <c r="CW19" s="2618"/>
      <c r="CX19" s="2618"/>
      <c r="CY19" s="2618"/>
      <c r="CZ19" s="2618"/>
      <c r="DA19" s="2618"/>
      <c r="DB19" s="2618"/>
      <c r="DC19" s="2618"/>
      <c r="DD19" s="2618"/>
      <c r="DE19" s="2618"/>
      <c r="DF19" s="2618"/>
      <c r="DG19" s="2618"/>
      <c r="DH19" s="2618"/>
      <c r="DI19" s="2618"/>
      <c r="DJ19" s="2618"/>
      <c r="DK19" s="2618"/>
      <c r="DL19" s="2618"/>
      <c r="DM19" s="2618"/>
      <c r="DN19" s="2618"/>
      <c r="DO19" s="2618"/>
      <c r="DP19" s="2618"/>
      <c r="DQ19" s="2618"/>
      <c r="DR19" s="2618"/>
      <c r="DS19" s="2618"/>
      <c r="DT19" s="2618"/>
      <c r="DU19" s="2618"/>
      <c r="DV19" s="2618"/>
      <c r="DW19" s="2618"/>
      <c r="DX19" s="2618"/>
      <c r="DY19" s="2618"/>
      <c r="DZ19" s="2618"/>
      <c r="EA19" s="2618"/>
      <c r="EB19" s="2618"/>
      <c r="EC19" s="2618"/>
      <c r="ED19" s="2618"/>
      <c r="EE19" s="2618"/>
      <c r="EF19" s="2618"/>
      <c r="EG19" s="2618"/>
      <c r="EH19" s="2618"/>
      <c r="EI19" s="2618"/>
      <c r="EJ19" s="2618"/>
      <c r="EK19" s="2618"/>
      <c r="EL19" s="2618"/>
      <c r="EM19" s="2618"/>
      <c r="EN19" s="2618"/>
      <c r="EO19" s="2618"/>
      <c r="EP19" s="2618"/>
      <c r="EQ19" s="2618"/>
      <c r="ER19" s="2618"/>
      <c r="ES19" s="2618"/>
      <c r="ET19" s="2618"/>
      <c r="EU19" s="2618"/>
      <c r="EV19" s="2618"/>
      <c r="EW19" s="2618"/>
      <c r="EX19" s="2618"/>
      <c r="EY19" s="2618"/>
      <c r="EZ19" s="2618"/>
      <c r="FA19" s="2618"/>
      <c r="FB19" s="2618"/>
      <c r="FC19" s="2618"/>
      <c r="FD19" s="2618"/>
      <c r="FE19" s="2618"/>
      <c r="FF19" s="2618"/>
      <c r="FG19" s="2618"/>
      <c r="FH19" s="2618"/>
      <c r="FI19" s="2618"/>
      <c r="FJ19" s="2618"/>
      <c r="FK19" s="2618"/>
      <c r="FL19" s="2618"/>
      <c r="FM19" s="2618"/>
      <c r="FN19" s="2618"/>
      <c r="FO19" s="2618"/>
      <c r="FP19" s="2618"/>
      <c r="FQ19" s="2618"/>
      <c r="FR19" s="2618"/>
      <c r="FS19" s="2618"/>
      <c r="FT19" s="2618"/>
      <c r="FU19" s="2618"/>
      <c r="FV19" s="2618"/>
      <c r="FW19" s="2618"/>
      <c r="FX19" s="2618"/>
      <c r="FY19" s="2618"/>
      <c r="FZ19" s="2618"/>
      <c r="GA19" s="2618"/>
      <c r="GB19" s="2618"/>
      <c r="GC19" s="2618"/>
      <c r="GD19" s="2618"/>
      <c r="GE19" s="2618"/>
      <c r="GF19" s="2618"/>
      <c r="GG19" s="2618"/>
      <c r="GH19" s="2618"/>
      <c r="GI19" s="2618"/>
      <c r="GJ19" s="2618"/>
      <c r="GK19" s="2618"/>
      <c r="GL19" s="2618"/>
      <c r="GM19" s="2618"/>
      <c r="GN19" s="2618"/>
      <c r="GO19" s="2618"/>
      <c r="GP19" s="2618"/>
      <c r="GQ19" s="2618"/>
      <c r="GR19" s="2618"/>
      <c r="GS19" s="2618"/>
      <c r="GT19" s="2618"/>
      <c r="GU19" s="2618"/>
      <c r="GV19" s="2618"/>
      <c r="GW19" s="2618"/>
      <c r="GX19" s="2618"/>
      <c r="GY19" s="2618"/>
      <c r="GZ19" s="2618"/>
      <c r="HA19" s="2618"/>
      <c r="HB19" s="2618"/>
      <c r="HC19" s="2618"/>
      <c r="HD19" s="2618"/>
      <c r="HE19" s="2618"/>
      <c r="HF19" s="2618"/>
      <c r="HG19" s="2618"/>
      <c r="HH19" s="2618"/>
      <c r="HI19" s="2618"/>
      <c r="HJ19" s="2618"/>
      <c r="HK19" s="2618"/>
      <c r="HL19" s="2618"/>
      <c r="HM19" s="2618"/>
      <c r="HN19" s="2618"/>
      <c r="HO19" s="2618"/>
      <c r="HP19" s="2618"/>
      <c r="HQ19" s="2618"/>
      <c r="HR19" s="2618"/>
      <c r="HS19" s="2618"/>
      <c r="HT19" s="2618"/>
      <c r="HU19" s="2618"/>
      <c r="HV19" s="2618"/>
      <c r="HW19" s="2618"/>
      <c r="HX19" s="2618"/>
      <c r="HY19" s="2618"/>
      <c r="HZ19" s="2618"/>
      <c r="IA19" s="2618"/>
      <c r="IB19" s="2618"/>
      <c r="IC19" s="2618"/>
      <c r="ID19" s="2618"/>
      <c r="IE19" s="2618"/>
      <c r="IF19" s="2618"/>
      <c r="IG19" s="2618"/>
      <c r="IH19" s="2618"/>
      <c r="II19" s="2618"/>
      <c r="IJ19" s="2618"/>
      <c r="IK19" s="2618"/>
      <c r="IL19" s="2618"/>
      <c r="IM19" s="2618"/>
      <c r="IN19" s="2618"/>
      <c r="IO19" s="2618"/>
      <c r="IP19" s="2618"/>
      <c r="IQ19" s="2618"/>
      <c r="IR19" s="2618"/>
      <c r="IS19" s="2618"/>
      <c r="IT19" s="2618"/>
      <c r="IU19" s="2618"/>
      <c r="IV19" s="2618"/>
    </row>
    <row r="20" spans="1:256" ht="14.25">
      <c r="A20" s="2619"/>
      <c r="B20" s="2626"/>
      <c r="C20" s="2627">
        <v>43728</v>
      </c>
      <c r="D20" s="2626">
        <v>4.2</v>
      </c>
      <c r="E20" s="2626">
        <v>4.2</v>
      </c>
      <c r="F20" s="2626">
        <v>4.2</v>
      </c>
      <c r="G20" s="2626">
        <v>4.2</v>
      </c>
      <c r="H20" s="2626">
        <v>4.8499999999999996</v>
      </c>
      <c r="I20" s="2626"/>
      <c r="J20" s="2626"/>
      <c r="K20" s="2613"/>
      <c r="L20" s="2626"/>
      <c r="M20" s="2627">
        <v>41068</v>
      </c>
      <c r="N20" s="2626">
        <v>0.4</v>
      </c>
      <c r="O20" s="2626">
        <v>2.85</v>
      </c>
      <c r="P20" s="2626">
        <v>3.05</v>
      </c>
      <c r="Q20" s="2626">
        <v>3.25</v>
      </c>
      <c r="R20" s="2626">
        <v>4.0999999999999996</v>
      </c>
      <c r="S20" s="2626">
        <v>4.6500000000000004</v>
      </c>
      <c r="T20" s="2626">
        <v>5.0999999999999996</v>
      </c>
      <c r="U20" s="2626">
        <v>3.1</v>
      </c>
      <c r="V20" s="2626">
        <v>3.15</v>
      </c>
      <c r="W20" s="2626">
        <v>3.25</v>
      </c>
      <c r="X20" s="2626">
        <v>1.31</v>
      </c>
      <c r="Y20" s="2626">
        <v>0.94</v>
      </c>
      <c r="Z20" s="2626">
        <v>1.49</v>
      </c>
    </row>
    <row r="21" spans="1:256" ht="14.25">
      <c r="A21" s="2619"/>
      <c r="B21" s="2620" t="s">
        <v>2731</v>
      </c>
      <c r="C21" s="2628">
        <v>43697</v>
      </c>
      <c r="D21" s="3183">
        <v>4.25</v>
      </c>
      <c r="E21" s="3183">
        <v>4.25</v>
      </c>
      <c r="F21" s="3183">
        <v>4.25</v>
      </c>
      <c r="G21" s="3183">
        <v>4.25</v>
      </c>
      <c r="H21" s="3183">
        <v>4.8499999999999996</v>
      </c>
      <c r="I21" s="3183"/>
      <c r="J21" s="3183"/>
      <c r="L21" s="2626"/>
      <c r="M21" s="2627">
        <v>40731</v>
      </c>
      <c r="N21" s="2626">
        <v>0.5</v>
      </c>
      <c r="O21" s="2626">
        <v>3.1</v>
      </c>
      <c r="P21" s="2626">
        <v>3.3</v>
      </c>
      <c r="Q21" s="2626">
        <v>3.5</v>
      </c>
      <c r="R21" s="2626">
        <v>4.4000000000000004</v>
      </c>
      <c r="S21" s="2626">
        <v>5</v>
      </c>
      <c r="T21" s="2626">
        <v>5.5</v>
      </c>
      <c r="U21" s="2626">
        <v>3.1</v>
      </c>
      <c r="V21" s="2626">
        <v>3.3</v>
      </c>
      <c r="W21" s="2626">
        <v>3.5</v>
      </c>
      <c r="X21" s="2626">
        <v>1.31</v>
      </c>
      <c r="Y21" s="2626">
        <v>0.95</v>
      </c>
      <c r="Z21" s="2626">
        <v>1.49</v>
      </c>
    </row>
    <row r="22" spans="1:256" ht="14.25">
      <c r="A22" s="3186"/>
      <c r="B22" s="3187"/>
      <c r="C22" s="3188">
        <v>42301</v>
      </c>
      <c r="D22" s="3189">
        <v>4.3499999999999996</v>
      </c>
      <c r="E22" s="3189">
        <v>4.3499999999999996</v>
      </c>
      <c r="F22" s="3189">
        <v>4.75</v>
      </c>
      <c r="G22" s="3189">
        <v>4.75</v>
      </c>
      <c r="H22" s="3189">
        <v>4.9000000000000004</v>
      </c>
      <c r="I22" s="3189"/>
      <c r="J22" s="3189"/>
      <c r="L22" s="2626"/>
      <c r="M22" s="2627">
        <v>40639</v>
      </c>
      <c r="N22" s="2626">
        <v>0.5</v>
      </c>
      <c r="O22" s="2626">
        <v>2.85</v>
      </c>
      <c r="P22" s="2626">
        <v>3.05</v>
      </c>
      <c r="Q22" s="2626">
        <v>3.25</v>
      </c>
      <c r="R22" s="2626">
        <v>4.1500000000000004</v>
      </c>
      <c r="S22" s="2626">
        <v>4.75</v>
      </c>
      <c r="T22" s="2626">
        <v>5.25</v>
      </c>
      <c r="U22" s="2626">
        <v>2.85</v>
      </c>
      <c r="V22" s="2626">
        <v>3.05</v>
      </c>
      <c r="W22" s="2626">
        <v>3.25</v>
      </c>
      <c r="X22" s="2626">
        <v>1.31</v>
      </c>
      <c r="Y22" s="2626">
        <v>0.95</v>
      </c>
      <c r="Z22" s="2626">
        <v>1.49</v>
      </c>
    </row>
    <row r="23" spans="1:256">
      <c r="B23" s="2626"/>
      <c r="C23" s="2627">
        <v>42242</v>
      </c>
      <c r="D23" s="2626">
        <v>4.5999999999999996</v>
      </c>
      <c r="E23" s="2626">
        <v>4.5999999999999996</v>
      </c>
      <c r="F23" s="2626">
        <v>5</v>
      </c>
      <c r="G23" s="2626">
        <v>5</v>
      </c>
      <c r="H23" s="2626">
        <v>5.15</v>
      </c>
      <c r="I23" s="2626">
        <v>2.75</v>
      </c>
      <c r="J23" s="2626">
        <v>3.25</v>
      </c>
      <c r="L23" s="2626"/>
      <c r="M23" s="2627">
        <v>40583</v>
      </c>
      <c r="N23" s="2626">
        <v>0.4</v>
      </c>
      <c r="O23" s="2626">
        <v>2.6</v>
      </c>
      <c r="P23" s="2626">
        <v>2.8</v>
      </c>
      <c r="Q23" s="2626">
        <v>3</v>
      </c>
      <c r="R23" s="2626">
        <v>3.9</v>
      </c>
      <c r="S23" s="2626">
        <v>4.5</v>
      </c>
      <c r="T23" s="2626">
        <v>5</v>
      </c>
      <c r="U23" s="2626">
        <v>2.6</v>
      </c>
      <c r="V23" s="2626">
        <v>2.8</v>
      </c>
      <c r="W23" s="2626">
        <v>3</v>
      </c>
      <c r="X23" s="2626">
        <v>1.21</v>
      </c>
      <c r="Y23" s="2626">
        <v>0.85</v>
      </c>
      <c r="Z23" s="2626">
        <v>1.39</v>
      </c>
    </row>
    <row r="24" spans="1:256">
      <c r="B24" s="2626"/>
      <c r="C24" s="2627">
        <v>42183</v>
      </c>
      <c r="D24" s="2626">
        <v>4.8499999999999996</v>
      </c>
      <c r="E24" s="2626">
        <v>4.8499999999999996</v>
      </c>
      <c r="F24" s="2626">
        <v>5.25</v>
      </c>
      <c r="G24" s="2626">
        <v>5.25</v>
      </c>
      <c r="H24" s="2626">
        <v>5.4</v>
      </c>
      <c r="I24" s="2626">
        <v>3</v>
      </c>
      <c r="J24" s="2626">
        <v>3.5</v>
      </c>
      <c r="L24" s="2626"/>
      <c r="M24" s="2627">
        <v>40538</v>
      </c>
      <c r="N24" s="2626">
        <v>0.36</v>
      </c>
      <c r="O24" s="2626">
        <v>2.25</v>
      </c>
      <c r="P24" s="2626">
        <v>2.5</v>
      </c>
      <c r="Q24" s="2626">
        <v>2.75</v>
      </c>
      <c r="R24" s="2626">
        <v>3.55</v>
      </c>
      <c r="S24" s="2626">
        <v>4.1500000000000004</v>
      </c>
      <c r="T24" s="2626">
        <v>4.55</v>
      </c>
      <c r="U24" s="2626">
        <v>2.16</v>
      </c>
      <c r="V24" s="2626">
        <v>2.5</v>
      </c>
      <c r="W24" s="2626">
        <v>2.85</v>
      </c>
      <c r="X24" s="2626">
        <v>1.17</v>
      </c>
      <c r="Y24" s="2626">
        <v>0.81</v>
      </c>
      <c r="Z24" s="2626">
        <v>1.35</v>
      </c>
    </row>
    <row r="25" spans="1:256">
      <c r="B25" s="2626"/>
      <c r="C25" s="2627">
        <v>42135</v>
      </c>
      <c r="D25" s="2626">
        <v>5.0999999999999996</v>
      </c>
      <c r="E25" s="2626">
        <v>5.0999999999999996</v>
      </c>
      <c r="F25" s="2626">
        <v>5.5</v>
      </c>
      <c r="G25" s="2626">
        <v>5.5</v>
      </c>
      <c r="H25" s="2626">
        <v>5.65</v>
      </c>
      <c r="I25" s="2626">
        <v>3.25</v>
      </c>
      <c r="J25" s="2626">
        <v>3.75</v>
      </c>
      <c r="L25" s="2626"/>
      <c r="M25" s="2627">
        <v>40471</v>
      </c>
      <c r="N25" s="2626">
        <v>0.36</v>
      </c>
      <c r="O25" s="2626">
        <v>1.91</v>
      </c>
      <c r="P25" s="2626">
        <v>2.2000000000000002</v>
      </c>
      <c r="Q25" s="2626">
        <v>2.5</v>
      </c>
      <c r="R25" s="2626">
        <v>3.25</v>
      </c>
      <c r="S25" s="2626">
        <v>3.85</v>
      </c>
      <c r="T25" s="2626">
        <v>4.2</v>
      </c>
      <c r="U25" s="2626">
        <v>1.91</v>
      </c>
      <c r="V25" s="2626">
        <v>2.2000000000000002</v>
      </c>
      <c r="W25" s="2626">
        <v>2.5</v>
      </c>
      <c r="X25" s="2626">
        <v>1.17</v>
      </c>
      <c r="Y25" s="2626">
        <v>0.81</v>
      </c>
      <c r="Z25" s="2626">
        <v>1.35</v>
      </c>
    </row>
    <row r="26" spans="1:256">
      <c r="B26" s="2626"/>
      <c r="C26" s="2627">
        <v>42064</v>
      </c>
      <c r="D26" s="2626">
        <v>5.35</v>
      </c>
      <c r="E26" s="2626">
        <v>5.35</v>
      </c>
      <c r="F26" s="2626">
        <v>5.75</v>
      </c>
      <c r="G26" s="2626">
        <v>5.75</v>
      </c>
      <c r="H26" s="2626">
        <v>5.9</v>
      </c>
      <c r="I26" s="2626"/>
      <c r="J26" s="2626"/>
      <c r="L26" s="2626"/>
      <c r="M26" s="2627">
        <v>39805</v>
      </c>
      <c r="N26" s="2626">
        <v>0.36</v>
      </c>
      <c r="O26" s="2626">
        <v>1.71</v>
      </c>
      <c r="P26" s="2626">
        <v>1.98</v>
      </c>
      <c r="Q26" s="2626">
        <v>2.25</v>
      </c>
      <c r="R26" s="2626">
        <v>2.79</v>
      </c>
      <c r="S26" s="2626">
        <v>3.33</v>
      </c>
      <c r="T26" s="2626">
        <v>3.6</v>
      </c>
      <c r="U26" s="2626">
        <v>1.71</v>
      </c>
      <c r="V26" s="2626">
        <v>1.98</v>
      </c>
      <c r="W26" s="2626">
        <v>2.25</v>
      </c>
      <c r="X26" s="2626">
        <v>1.17</v>
      </c>
      <c r="Y26" s="2626">
        <v>0.81</v>
      </c>
      <c r="Z26" s="2626">
        <v>1.35</v>
      </c>
    </row>
    <row r="27" spans="1:256">
      <c r="B27" s="2626"/>
      <c r="C27" s="2627">
        <v>41965</v>
      </c>
      <c r="D27" s="2626">
        <v>5.6</v>
      </c>
      <c r="E27" s="2626">
        <v>5.6</v>
      </c>
      <c r="F27" s="2626">
        <v>6</v>
      </c>
      <c r="G27" s="2626">
        <v>6</v>
      </c>
      <c r="H27" s="2626">
        <v>6.15</v>
      </c>
      <c r="I27" s="2626"/>
      <c r="J27" s="2626"/>
      <c r="L27" s="2626"/>
      <c r="M27" s="2627">
        <v>39779</v>
      </c>
      <c r="N27" s="2626">
        <v>0.36</v>
      </c>
      <c r="O27" s="2626">
        <v>1.98</v>
      </c>
      <c r="P27" s="2626">
        <v>2.25</v>
      </c>
      <c r="Q27" s="2626">
        <v>2.52</v>
      </c>
      <c r="R27" s="2626">
        <v>3.06</v>
      </c>
      <c r="S27" s="2626">
        <v>3.6</v>
      </c>
      <c r="T27" s="2626">
        <v>3.87</v>
      </c>
      <c r="U27" s="2626">
        <v>1.98</v>
      </c>
      <c r="V27" s="2626">
        <v>2.25</v>
      </c>
      <c r="W27" s="2626">
        <v>2.52</v>
      </c>
      <c r="X27" s="2626">
        <v>1.17</v>
      </c>
      <c r="Y27" s="2626">
        <v>0.81</v>
      </c>
      <c r="Z27" s="2626">
        <v>1.35</v>
      </c>
    </row>
    <row r="28" spans="1:256">
      <c r="B28" s="2626"/>
      <c r="C28" s="2627">
        <v>41096</v>
      </c>
      <c r="D28" s="2626">
        <v>5.6</v>
      </c>
      <c r="E28" s="2626">
        <v>6</v>
      </c>
      <c r="F28" s="2626">
        <v>6.15</v>
      </c>
      <c r="G28" s="2626">
        <v>6.4</v>
      </c>
      <c r="H28" s="2626">
        <v>6.55</v>
      </c>
      <c r="I28" s="2626">
        <v>4</v>
      </c>
      <c r="J28" s="2626">
        <v>4.5</v>
      </c>
      <c r="L28" s="2626"/>
      <c r="M28" s="2627">
        <v>39751</v>
      </c>
      <c r="N28" s="2626">
        <v>0.72</v>
      </c>
      <c r="O28" s="2626">
        <v>2.88</v>
      </c>
      <c r="P28" s="2626">
        <v>3.24</v>
      </c>
      <c r="Q28" s="2626">
        <v>3.6</v>
      </c>
      <c r="R28" s="2626">
        <v>4.1399999999999997</v>
      </c>
      <c r="S28" s="2626">
        <v>4.7699999999999996</v>
      </c>
      <c r="T28" s="2626">
        <v>5.13</v>
      </c>
      <c r="U28" s="2626">
        <v>2.88</v>
      </c>
      <c r="V28" s="2626">
        <v>3.24</v>
      </c>
      <c r="W28" s="2626">
        <v>3.6</v>
      </c>
      <c r="X28" s="2626">
        <v>1.53</v>
      </c>
      <c r="Y28" s="2626">
        <v>1.17</v>
      </c>
      <c r="Z28" s="2626">
        <v>1.71</v>
      </c>
    </row>
    <row r="29" spans="1:256">
      <c r="B29" s="2626"/>
      <c r="C29" s="2627">
        <v>41068</v>
      </c>
      <c r="D29" s="2626">
        <v>5.85</v>
      </c>
      <c r="E29" s="2626">
        <v>6.31</v>
      </c>
      <c r="F29" s="2626">
        <v>6.4</v>
      </c>
      <c r="G29" s="2626">
        <v>6.65</v>
      </c>
      <c r="H29" s="2626">
        <v>6.8</v>
      </c>
      <c r="I29" s="2626">
        <v>4.2</v>
      </c>
      <c r="J29" s="2626">
        <v>4.7</v>
      </c>
      <c r="L29" s="2626"/>
      <c r="M29" s="2628">
        <v>39736</v>
      </c>
      <c r="N29" s="2626">
        <v>0.72</v>
      </c>
      <c r="O29" s="2626">
        <v>3.15</v>
      </c>
      <c r="P29" s="2626">
        <v>3.51</v>
      </c>
      <c r="Q29" s="2626">
        <v>3.87</v>
      </c>
      <c r="R29" s="2626">
        <v>4.41</v>
      </c>
      <c r="S29" s="2626">
        <v>5.13</v>
      </c>
      <c r="T29" s="2626">
        <v>5.58</v>
      </c>
      <c r="U29" s="2626">
        <v>3.15</v>
      </c>
      <c r="V29" s="2626">
        <v>3.51</v>
      </c>
      <c r="W29" s="2626">
        <v>3.87</v>
      </c>
      <c r="X29" s="2626">
        <v>1.53</v>
      </c>
      <c r="Y29" s="2626">
        <v>1.17</v>
      </c>
      <c r="Z29" s="2626">
        <v>1.71</v>
      </c>
    </row>
    <row r="30" spans="1:256">
      <c r="B30" s="2626"/>
      <c r="C30" s="2627">
        <v>40731</v>
      </c>
      <c r="D30" s="2626">
        <v>6.1</v>
      </c>
      <c r="E30" s="2626">
        <v>6.56</v>
      </c>
      <c r="F30" s="2626">
        <v>6.65</v>
      </c>
      <c r="G30" s="2626">
        <v>6.9</v>
      </c>
      <c r="H30" s="2626">
        <v>7.05</v>
      </c>
      <c r="I30" s="2626">
        <v>4.45</v>
      </c>
      <c r="J30" s="2626">
        <v>4.9000000000000004</v>
      </c>
      <c r="L30" s="2626"/>
      <c r="M30" s="2627">
        <v>39730</v>
      </c>
      <c r="N30" s="2626">
        <v>0.72</v>
      </c>
      <c r="O30" s="2626">
        <v>3.15</v>
      </c>
      <c r="P30" s="2626">
        <v>3.51</v>
      </c>
      <c r="Q30" s="2626">
        <v>3.87</v>
      </c>
      <c r="R30" s="2626">
        <v>4.41</v>
      </c>
      <c r="S30" s="2626">
        <v>5.13</v>
      </c>
      <c r="T30" s="2626">
        <v>5.58</v>
      </c>
      <c r="U30" s="2626">
        <v>3.15</v>
      </c>
      <c r="V30" s="2626">
        <v>3.51</v>
      </c>
      <c r="W30" s="2626">
        <v>3.87</v>
      </c>
      <c r="X30" s="2626">
        <v>1.53</v>
      </c>
      <c r="Y30" s="2626">
        <v>1.17</v>
      </c>
      <c r="Z30" s="2626">
        <v>1.71</v>
      </c>
    </row>
    <row r="31" spans="1:256">
      <c r="B31" s="2626"/>
      <c r="C31" s="2627">
        <v>40639</v>
      </c>
      <c r="D31" s="2626">
        <v>5.85</v>
      </c>
      <c r="E31" s="2626">
        <v>6.31</v>
      </c>
      <c r="F31" s="2626">
        <v>6.4</v>
      </c>
      <c r="G31" s="2626">
        <v>6.65</v>
      </c>
      <c r="H31" s="2626">
        <v>6.8</v>
      </c>
      <c r="I31" s="2626">
        <v>4.2</v>
      </c>
      <c r="J31" s="2626">
        <v>4.7</v>
      </c>
      <c r="L31" s="2626"/>
      <c r="M31" s="2627">
        <v>39437</v>
      </c>
      <c r="N31" s="2626">
        <v>0.72</v>
      </c>
      <c r="O31" s="2626">
        <v>3.33</v>
      </c>
      <c r="P31" s="2626">
        <v>3.78</v>
      </c>
      <c r="Q31" s="2626">
        <v>4.1399999999999997</v>
      </c>
      <c r="R31" s="2626">
        <v>4.68</v>
      </c>
      <c r="S31" s="2626">
        <v>5.4</v>
      </c>
      <c r="T31" s="2626">
        <v>5.85</v>
      </c>
      <c r="U31" s="2626">
        <v>3.33</v>
      </c>
      <c r="V31" s="2626">
        <v>3.78</v>
      </c>
      <c r="W31" s="2626">
        <v>4.1399999999999997</v>
      </c>
      <c r="X31" s="2626">
        <v>1.53</v>
      </c>
      <c r="Y31" s="2626">
        <v>1.17</v>
      </c>
      <c r="Z31" s="2626">
        <v>1.71</v>
      </c>
    </row>
    <row r="32" spans="1:256">
      <c r="B32" s="2626"/>
      <c r="C32" s="2627">
        <v>40583</v>
      </c>
      <c r="D32" s="2626">
        <v>5.6</v>
      </c>
      <c r="E32" s="2626">
        <v>6.06</v>
      </c>
      <c r="F32" s="2626">
        <v>6.1</v>
      </c>
      <c r="G32" s="2626">
        <v>6.45</v>
      </c>
      <c r="H32" s="2626">
        <v>6.6</v>
      </c>
      <c r="I32" s="2626">
        <v>4</v>
      </c>
      <c r="J32" s="2626">
        <v>4.5</v>
      </c>
      <c r="L32" s="2626"/>
      <c r="M32" s="2627">
        <v>39340</v>
      </c>
      <c r="N32" s="2626">
        <v>0.81</v>
      </c>
      <c r="O32" s="2626">
        <v>2.88</v>
      </c>
      <c r="P32" s="2626">
        <v>3.42</v>
      </c>
      <c r="Q32" s="2626">
        <v>3.87</v>
      </c>
      <c r="R32" s="2626">
        <v>4.5</v>
      </c>
      <c r="S32" s="2626">
        <v>5.22</v>
      </c>
      <c r="T32" s="2626">
        <v>5.76</v>
      </c>
      <c r="U32" s="2626">
        <v>2.88</v>
      </c>
      <c r="V32" s="2626">
        <v>3.42</v>
      </c>
      <c r="W32" s="2626">
        <v>3.87</v>
      </c>
      <c r="X32" s="2626">
        <v>1.53</v>
      </c>
      <c r="Y32" s="2626">
        <v>1.17</v>
      </c>
      <c r="Z32" s="2626">
        <v>1.71</v>
      </c>
    </row>
    <row r="33" spans="2:26">
      <c r="B33" s="2626"/>
      <c r="C33" s="2627">
        <v>40538</v>
      </c>
      <c r="D33" s="2626">
        <v>5.35</v>
      </c>
      <c r="E33" s="2626">
        <v>5.81</v>
      </c>
      <c r="F33" s="2626">
        <v>5.85</v>
      </c>
      <c r="G33" s="2626">
        <v>6.22</v>
      </c>
      <c r="H33" s="2626">
        <v>6.4</v>
      </c>
      <c r="I33" s="2626">
        <v>3.75</v>
      </c>
      <c r="J33" s="2626">
        <v>4.3</v>
      </c>
      <c r="L33" s="2626"/>
      <c r="M33" s="2627">
        <v>39316</v>
      </c>
      <c r="N33" s="2626">
        <v>0.81</v>
      </c>
      <c r="O33" s="2626">
        <v>2.61</v>
      </c>
      <c r="P33" s="2626">
        <v>3.15</v>
      </c>
      <c r="Q33" s="2626">
        <v>3.6</v>
      </c>
      <c r="R33" s="2626">
        <v>4.2300000000000004</v>
      </c>
      <c r="S33" s="2626">
        <v>4.95</v>
      </c>
      <c r="T33" s="2626">
        <v>5.49</v>
      </c>
      <c r="U33" s="2626">
        <v>2.61</v>
      </c>
      <c r="V33" s="2626">
        <v>3.15</v>
      </c>
      <c r="W33" s="2626">
        <v>3.6</v>
      </c>
      <c r="X33" s="2626">
        <v>1.53</v>
      </c>
      <c r="Y33" s="2626">
        <v>1.17</v>
      </c>
      <c r="Z33" s="2626">
        <v>1.71</v>
      </c>
    </row>
    <row r="34" spans="2:26">
      <c r="B34" s="2626"/>
      <c r="C34" s="2627">
        <v>40471</v>
      </c>
      <c r="D34" s="2626">
        <v>5.0999999999999996</v>
      </c>
      <c r="E34" s="2626">
        <v>5.56</v>
      </c>
      <c r="F34" s="2626">
        <v>5.6</v>
      </c>
      <c r="G34" s="2626">
        <v>5.96</v>
      </c>
      <c r="H34" s="2626">
        <v>6.14</v>
      </c>
      <c r="I34" s="2626">
        <v>3.5</v>
      </c>
      <c r="J34" s="2626">
        <v>4.05</v>
      </c>
      <c r="L34" s="2626"/>
      <c r="M34" s="2627">
        <v>39284</v>
      </c>
      <c r="N34" s="2626">
        <v>0.81</v>
      </c>
      <c r="O34" s="2626">
        <v>2.34</v>
      </c>
      <c r="P34" s="2626">
        <v>2.88</v>
      </c>
      <c r="Q34" s="2626">
        <v>3.33</v>
      </c>
      <c r="R34" s="2626">
        <v>3.96</v>
      </c>
      <c r="S34" s="2626">
        <v>4.68</v>
      </c>
      <c r="T34" s="2626">
        <v>5.22</v>
      </c>
      <c r="U34" s="2626">
        <v>2.34</v>
      </c>
      <c r="V34" s="2626">
        <v>2.88</v>
      </c>
      <c r="W34" s="2626">
        <v>3.33</v>
      </c>
      <c r="X34" s="2626">
        <v>1.53</v>
      </c>
      <c r="Y34" s="2626">
        <v>1.17</v>
      </c>
      <c r="Z34" s="2626">
        <v>1.71</v>
      </c>
    </row>
    <row r="35" spans="2:26">
      <c r="B35" s="2626"/>
      <c r="C35" s="2627">
        <v>39805</v>
      </c>
      <c r="D35" s="2626">
        <v>4.8600000000000003</v>
      </c>
      <c r="E35" s="2626">
        <v>5.31</v>
      </c>
      <c r="F35" s="2626">
        <v>5.4</v>
      </c>
      <c r="G35" s="2626">
        <v>5.76</v>
      </c>
      <c r="H35" s="2626">
        <v>5.94</v>
      </c>
      <c r="I35" s="2626">
        <v>3.33</v>
      </c>
      <c r="J35" s="2626">
        <v>3.87</v>
      </c>
      <c r="L35" s="2626"/>
      <c r="M35" s="2627">
        <v>39221</v>
      </c>
      <c r="N35" s="2626">
        <v>0.72</v>
      </c>
      <c r="O35" s="2626">
        <v>2.0699999999999998</v>
      </c>
      <c r="P35" s="2626">
        <v>2.61</v>
      </c>
      <c r="Q35" s="2626">
        <v>3.06</v>
      </c>
      <c r="R35" s="2626">
        <v>3.69</v>
      </c>
      <c r="S35" s="2626">
        <v>4.41</v>
      </c>
      <c r="T35" s="2626">
        <v>4.95</v>
      </c>
      <c r="U35" s="2626">
        <v>2.0699999999999998</v>
      </c>
      <c r="V35" s="2626">
        <v>2.61</v>
      </c>
      <c r="W35" s="2626">
        <v>3.06</v>
      </c>
      <c r="X35" s="2626">
        <v>1.44</v>
      </c>
      <c r="Y35" s="2626">
        <v>1.08</v>
      </c>
      <c r="Z35" s="2626">
        <v>1.62</v>
      </c>
    </row>
    <row r="36" spans="2:26">
      <c r="B36" s="2626"/>
      <c r="C36" s="2627">
        <v>39779</v>
      </c>
      <c r="D36" s="2626">
        <v>5.04</v>
      </c>
      <c r="E36" s="2626">
        <v>5.58</v>
      </c>
      <c r="F36" s="2626">
        <v>5.67</v>
      </c>
      <c r="G36" s="2626">
        <v>5.94</v>
      </c>
      <c r="H36" s="2626">
        <v>6.12</v>
      </c>
      <c r="I36" s="2626">
        <v>3.51</v>
      </c>
      <c r="J36" s="2626">
        <v>4.05</v>
      </c>
      <c r="L36" s="2626"/>
      <c r="M36" s="2627">
        <v>39159</v>
      </c>
      <c r="N36" s="2626">
        <v>0.72</v>
      </c>
      <c r="O36" s="2626">
        <v>1.98</v>
      </c>
      <c r="P36" s="2626">
        <v>2.4300000000000002</v>
      </c>
      <c r="Q36" s="2626">
        <v>2.79</v>
      </c>
      <c r="R36" s="2626">
        <v>3.33</v>
      </c>
      <c r="S36" s="2626">
        <v>3.96</v>
      </c>
      <c r="T36" s="2626">
        <v>4.41</v>
      </c>
      <c r="U36" s="2626">
        <v>1.98</v>
      </c>
      <c r="V36" s="2626">
        <v>2.4300000000000002</v>
      </c>
      <c r="W36" s="2626">
        <v>2.79</v>
      </c>
      <c r="X36" s="2626">
        <v>1.44</v>
      </c>
      <c r="Y36" s="2626">
        <v>1.08</v>
      </c>
      <c r="Z36" s="2626">
        <v>1.62</v>
      </c>
    </row>
    <row r="37" spans="2:26">
      <c r="B37" s="2626"/>
      <c r="C37" s="2627">
        <v>39751</v>
      </c>
      <c r="D37" s="2626">
        <v>6.03</v>
      </c>
      <c r="E37" s="2626">
        <v>6.66</v>
      </c>
      <c r="F37" s="2626">
        <v>6.75</v>
      </c>
      <c r="G37" s="2626">
        <v>7.02</v>
      </c>
      <c r="H37" s="2626">
        <v>7.2</v>
      </c>
      <c r="I37" s="2626">
        <v>4.05</v>
      </c>
      <c r="J37" s="2626">
        <v>4.59</v>
      </c>
      <c r="L37" s="2626"/>
      <c r="M37" s="2627">
        <v>38948</v>
      </c>
      <c r="N37" s="2626">
        <v>0.72</v>
      </c>
      <c r="O37" s="2626">
        <v>1.8</v>
      </c>
      <c r="P37" s="2626">
        <v>2.25</v>
      </c>
      <c r="Q37" s="2626">
        <v>2.52</v>
      </c>
      <c r="R37" s="2626">
        <v>3.06</v>
      </c>
      <c r="S37" s="2626">
        <v>3.69</v>
      </c>
      <c r="T37" s="2626">
        <v>4.1399999999999997</v>
      </c>
      <c r="U37" s="2626">
        <v>1.8</v>
      </c>
      <c r="V37" s="2626">
        <v>2.25</v>
      </c>
      <c r="W37" s="2626">
        <v>2.52</v>
      </c>
      <c r="X37" s="2626">
        <v>1.44</v>
      </c>
      <c r="Y37" s="2626">
        <v>1.08</v>
      </c>
      <c r="Z37" s="2626">
        <v>1.62</v>
      </c>
    </row>
    <row r="38" spans="2:26">
      <c r="B38" s="2626"/>
      <c r="C38" s="2628">
        <v>39748</v>
      </c>
      <c r="D38" s="2626">
        <v>6.12</v>
      </c>
      <c r="E38" s="2626">
        <v>6.93</v>
      </c>
      <c r="F38" s="2626">
        <v>7.02</v>
      </c>
      <c r="G38" s="2626">
        <v>7.29</v>
      </c>
      <c r="H38" s="2626">
        <v>7.47</v>
      </c>
      <c r="I38" s="2626">
        <v>4.05</v>
      </c>
      <c r="J38" s="2626">
        <v>4.59</v>
      </c>
      <c r="L38" s="2626"/>
      <c r="M38" s="2627">
        <v>38289</v>
      </c>
      <c r="N38" s="2626">
        <v>0.72</v>
      </c>
      <c r="O38" s="2626">
        <v>1.71</v>
      </c>
      <c r="P38" s="2626">
        <v>2.0699999999999998</v>
      </c>
      <c r="Q38" s="2626">
        <v>2.25</v>
      </c>
      <c r="R38" s="2626">
        <v>2.7</v>
      </c>
      <c r="S38" s="2626">
        <v>3.24</v>
      </c>
      <c r="T38" s="2626">
        <v>3.6</v>
      </c>
      <c r="U38" s="2626">
        <v>1.71</v>
      </c>
      <c r="V38" s="2626">
        <v>2.0699999999999998</v>
      </c>
      <c r="W38" s="2626">
        <v>2.25</v>
      </c>
      <c r="X38" s="2626">
        <v>1.44</v>
      </c>
      <c r="Y38" s="2626">
        <v>1.08</v>
      </c>
      <c r="Z38" s="2626">
        <v>1.62</v>
      </c>
    </row>
    <row r="39" spans="2:26">
      <c r="B39" s="2626"/>
      <c r="C39" s="2627">
        <v>39730</v>
      </c>
      <c r="D39" s="2626">
        <v>6.12</v>
      </c>
      <c r="E39" s="2626">
        <v>6.93</v>
      </c>
      <c r="F39" s="2626">
        <v>7.02</v>
      </c>
      <c r="G39" s="2626">
        <v>7.29</v>
      </c>
      <c r="H39" s="2626">
        <v>7.47</v>
      </c>
      <c r="I39" s="2626">
        <v>4.32</v>
      </c>
      <c r="J39" s="2626">
        <v>4.8600000000000003</v>
      </c>
      <c r="L39" s="2626"/>
      <c r="M39" s="2627">
        <v>37308</v>
      </c>
      <c r="N39" s="2626">
        <v>0.72</v>
      </c>
      <c r="O39" s="2626">
        <v>1.71</v>
      </c>
      <c r="P39" s="2626">
        <v>1.89</v>
      </c>
      <c r="Q39" s="2626">
        <v>1.98</v>
      </c>
      <c r="R39" s="2626">
        <v>2.25</v>
      </c>
      <c r="S39" s="2626">
        <v>2.52</v>
      </c>
      <c r="T39" s="2626">
        <v>2.79</v>
      </c>
      <c r="U39" s="2626">
        <v>1.71</v>
      </c>
      <c r="V39" s="2626">
        <v>1.89</v>
      </c>
      <c r="W39" s="2626">
        <v>1.98</v>
      </c>
      <c r="X39" s="2626">
        <v>1.44</v>
      </c>
      <c r="Y39" s="2626">
        <v>1.08</v>
      </c>
      <c r="Z39" s="2626">
        <v>1.62</v>
      </c>
    </row>
    <row r="40" spans="2:26">
      <c r="B40" s="2626"/>
      <c r="C40" s="2627">
        <v>39707</v>
      </c>
      <c r="D40" s="2626">
        <v>6.21</v>
      </c>
      <c r="E40" s="2626">
        <v>7.2</v>
      </c>
      <c r="F40" s="2626">
        <v>7.29</v>
      </c>
      <c r="G40" s="2626">
        <v>7.56</v>
      </c>
      <c r="H40" s="2626">
        <v>7.74</v>
      </c>
      <c r="I40" s="2626">
        <v>4.59</v>
      </c>
      <c r="J40" s="2626">
        <v>5.13</v>
      </c>
      <c r="L40" s="2626"/>
      <c r="M40" s="2627">
        <v>36321</v>
      </c>
      <c r="N40" s="2626">
        <v>0.99</v>
      </c>
      <c r="O40" s="2626">
        <v>1.98</v>
      </c>
      <c r="P40" s="2626">
        <v>2.16</v>
      </c>
      <c r="Q40" s="2626">
        <v>2.25</v>
      </c>
      <c r="R40" s="2626">
        <v>2.4300000000000002</v>
      </c>
      <c r="S40" s="2626">
        <v>2.7</v>
      </c>
      <c r="T40" s="2626">
        <v>2.88</v>
      </c>
      <c r="U40" s="2626">
        <v>1.98</v>
      </c>
      <c r="V40" s="2626">
        <v>2.16</v>
      </c>
      <c r="W40" s="2626">
        <v>2.25</v>
      </c>
      <c r="X40" s="2626">
        <v>1.71</v>
      </c>
      <c r="Y40" s="2626">
        <v>1.35</v>
      </c>
      <c r="Z40" s="2626">
        <v>1.89</v>
      </c>
    </row>
    <row r="41" spans="2:26">
      <c r="B41" s="2626"/>
      <c r="C41" s="2627">
        <v>39437</v>
      </c>
      <c r="D41" s="2626">
        <v>6.57</v>
      </c>
      <c r="E41" s="2626">
        <v>7.47</v>
      </c>
      <c r="F41" s="2626">
        <v>7.56</v>
      </c>
      <c r="G41" s="2626">
        <v>7.74</v>
      </c>
      <c r="H41" s="2626">
        <v>7.83</v>
      </c>
      <c r="I41" s="2626">
        <v>4.7699999999999996</v>
      </c>
      <c r="J41" s="2626">
        <v>5.22</v>
      </c>
      <c r="L41" s="2626"/>
      <c r="M41" s="2627">
        <v>36136</v>
      </c>
      <c r="N41" s="2626">
        <v>1.44</v>
      </c>
      <c r="O41" s="2626">
        <v>2.79</v>
      </c>
      <c r="P41" s="2626">
        <v>3.33</v>
      </c>
      <c r="Q41" s="2626">
        <v>3.78</v>
      </c>
      <c r="R41" s="2626">
        <v>3.96</v>
      </c>
      <c r="S41" s="2626">
        <v>4.1399999999999997</v>
      </c>
      <c r="T41" s="2626">
        <v>4.5</v>
      </c>
      <c r="U41" s="2626">
        <v>3.33</v>
      </c>
      <c r="V41" s="2626">
        <v>3.78</v>
      </c>
      <c r="W41" s="2626">
        <v>4.1399999999999997</v>
      </c>
      <c r="X41" s="2626">
        <v>2.16</v>
      </c>
      <c r="Y41" s="2626">
        <v>1.8</v>
      </c>
      <c r="Z41" s="2626">
        <v>2.34</v>
      </c>
    </row>
    <row r="42" spans="2:26">
      <c r="B42" s="2626"/>
      <c r="C42" s="2627">
        <v>39340</v>
      </c>
      <c r="D42" s="2626">
        <v>6.48</v>
      </c>
      <c r="E42" s="2626">
        <v>7.29</v>
      </c>
      <c r="F42" s="2626">
        <v>7.47</v>
      </c>
      <c r="G42" s="2626">
        <v>7.65</v>
      </c>
      <c r="H42" s="2626">
        <v>7.83</v>
      </c>
      <c r="I42" s="2626">
        <v>4.7699999999999996</v>
      </c>
      <c r="J42" s="2626">
        <v>5.22</v>
      </c>
      <c r="L42" s="2626"/>
      <c r="M42" s="2627">
        <v>35977</v>
      </c>
      <c r="N42" s="2626">
        <v>1.44</v>
      </c>
      <c r="O42" s="2626">
        <v>2.79</v>
      </c>
      <c r="P42" s="2626">
        <v>3.96</v>
      </c>
      <c r="Q42" s="2626">
        <v>4.7699999999999996</v>
      </c>
      <c r="R42" s="2626">
        <v>4.8600000000000003</v>
      </c>
      <c r="S42" s="2626">
        <v>4.95</v>
      </c>
      <c r="T42" s="2626">
        <v>5.22</v>
      </c>
      <c r="U42" s="2626">
        <v>3.96</v>
      </c>
      <c r="V42" s="2626">
        <v>4.7699999999999996</v>
      </c>
      <c r="W42" s="2626">
        <v>4.95</v>
      </c>
      <c r="X42" s="2626" t="s">
        <v>2533</v>
      </c>
      <c r="Y42" s="2626" t="s">
        <v>2533</v>
      </c>
      <c r="Z42" s="2626" t="s">
        <v>2533</v>
      </c>
    </row>
    <row r="43" spans="2:26">
      <c r="B43" s="2626"/>
      <c r="C43" s="2627">
        <v>39316</v>
      </c>
      <c r="D43" s="2626">
        <v>6.21</v>
      </c>
      <c r="E43" s="2626">
        <v>7.02</v>
      </c>
      <c r="F43" s="2626">
        <v>7.2</v>
      </c>
      <c r="G43" s="2626">
        <v>7.38</v>
      </c>
      <c r="H43" s="2626">
        <v>7.56</v>
      </c>
      <c r="I43" s="2626">
        <v>4.59</v>
      </c>
      <c r="J43" s="2626">
        <v>5.04</v>
      </c>
      <c r="L43" s="2626"/>
      <c r="M43" s="2627">
        <v>35879</v>
      </c>
      <c r="N43" s="2626">
        <v>1.71</v>
      </c>
      <c r="O43" s="2626">
        <v>2.88</v>
      </c>
      <c r="P43" s="2626">
        <v>4.1399999999999997</v>
      </c>
      <c r="Q43" s="2626">
        <v>5.22</v>
      </c>
      <c r="R43" s="2626">
        <v>5.58</v>
      </c>
      <c r="S43" s="2626">
        <v>6.21</v>
      </c>
      <c r="T43" s="2626">
        <v>6.66</v>
      </c>
      <c r="U43" s="2626">
        <v>4.1399999999999997</v>
      </c>
      <c r="V43" s="2626">
        <v>5.22</v>
      </c>
      <c r="W43" s="2626">
        <v>6.21</v>
      </c>
      <c r="X43" s="2626" t="s">
        <v>2533</v>
      </c>
      <c r="Y43" s="2626" t="s">
        <v>2533</v>
      </c>
      <c r="Z43" s="2626" t="s">
        <v>2533</v>
      </c>
    </row>
    <row r="44" spans="2:26">
      <c r="B44" s="2626"/>
      <c r="C44" s="2627">
        <v>39284</v>
      </c>
      <c r="D44" s="2626">
        <v>6.03</v>
      </c>
      <c r="E44" s="2626">
        <v>6.84</v>
      </c>
      <c r="F44" s="2626">
        <v>7.02</v>
      </c>
      <c r="G44" s="2626">
        <v>7.2</v>
      </c>
      <c r="H44" s="2626">
        <v>7.38</v>
      </c>
      <c r="I44" s="2626">
        <v>4.5</v>
      </c>
      <c r="J44" s="2626">
        <v>4.95</v>
      </c>
      <c r="L44" s="2626"/>
      <c r="M44" s="2627">
        <v>35726</v>
      </c>
      <c r="N44" s="2626">
        <v>1.71</v>
      </c>
      <c r="O44" s="2626">
        <v>2.88</v>
      </c>
      <c r="P44" s="2626">
        <v>4.1399999999999997</v>
      </c>
      <c r="Q44" s="2626">
        <v>5.67</v>
      </c>
      <c r="R44" s="2626">
        <v>5.94</v>
      </c>
      <c r="S44" s="2626">
        <v>6.21</v>
      </c>
      <c r="T44" s="2626">
        <v>6.66</v>
      </c>
      <c r="U44" s="2626">
        <v>4.1399999999999997</v>
      </c>
      <c r="V44" s="2626">
        <v>5.67</v>
      </c>
      <c r="W44" s="2626">
        <v>6.21</v>
      </c>
      <c r="X44" s="2626" t="s">
        <v>2533</v>
      </c>
      <c r="Y44" s="2626" t="s">
        <v>2533</v>
      </c>
      <c r="Z44" s="2626" t="s">
        <v>2533</v>
      </c>
    </row>
    <row r="45" spans="2:26">
      <c r="B45" s="2626"/>
      <c r="C45" s="2627">
        <v>39221</v>
      </c>
      <c r="D45" s="2626">
        <v>5.85</v>
      </c>
      <c r="E45" s="2626">
        <v>6.57</v>
      </c>
      <c r="F45" s="2626">
        <v>6.75</v>
      </c>
      <c r="G45" s="2626">
        <v>6.93</v>
      </c>
      <c r="H45" s="2626">
        <v>7.2</v>
      </c>
      <c r="I45" s="2626">
        <v>4.41</v>
      </c>
      <c r="J45" s="2626">
        <v>4.8600000000000003</v>
      </c>
      <c r="L45" s="2626"/>
      <c r="M45" s="2627">
        <v>35300</v>
      </c>
      <c r="N45" s="2626">
        <v>1.98</v>
      </c>
      <c r="O45" s="2626">
        <v>3.33</v>
      </c>
      <c r="P45" s="2626">
        <v>5.4</v>
      </c>
      <c r="Q45" s="2626">
        <v>7.47</v>
      </c>
      <c r="R45" s="2626">
        <v>7.92</v>
      </c>
      <c r="S45" s="2626">
        <v>8.2799999999999994</v>
      </c>
      <c r="T45" s="2626">
        <v>9</v>
      </c>
      <c r="U45" s="2626">
        <v>5.4</v>
      </c>
      <c r="V45" s="2626">
        <v>7.47</v>
      </c>
      <c r="W45" s="2626">
        <v>8.2799999999999994</v>
      </c>
      <c r="X45" s="2626" t="s">
        <v>2533</v>
      </c>
      <c r="Y45" s="2626" t="s">
        <v>2533</v>
      </c>
      <c r="Z45" s="2626" t="s">
        <v>2533</v>
      </c>
    </row>
    <row r="46" spans="2:26">
      <c r="B46" s="2626"/>
      <c r="C46" s="2627">
        <v>39159</v>
      </c>
      <c r="D46" s="2626">
        <v>5.67</v>
      </c>
      <c r="E46" s="2626">
        <v>6.39</v>
      </c>
      <c r="F46" s="2626">
        <v>6.57</v>
      </c>
      <c r="G46" s="2626">
        <v>6.75</v>
      </c>
      <c r="H46" s="2626">
        <v>7.11</v>
      </c>
      <c r="I46" s="2626">
        <v>4.32</v>
      </c>
      <c r="J46" s="2626">
        <v>4.7699999999999996</v>
      </c>
      <c r="L46" s="2626"/>
      <c r="M46" s="2627">
        <v>35186</v>
      </c>
      <c r="N46" s="2626">
        <v>2.97</v>
      </c>
      <c r="O46" s="2626">
        <v>4.8600000000000003</v>
      </c>
      <c r="P46" s="2626">
        <v>7.2</v>
      </c>
      <c r="Q46" s="2626">
        <v>9.18</v>
      </c>
      <c r="R46" s="2626">
        <v>9.9</v>
      </c>
      <c r="S46" s="2626">
        <v>10.8</v>
      </c>
      <c r="T46" s="2626">
        <v>12.06</v>
      </c>
      <c r="U46" s="2626">
        <v>7.2</v>
      </c>
      <c r="V46" s="2626">
        <v>9.18</v>
      </c>
      <c r="W46" s="2626">
        <v>10.8</v>
      </c>
      <c r="X46" s="2626" t="s">
        <v>2533</v>
      </c>
      <c r="Y46" s="2626" t="s">
        <v>2533</v>
      </c>
      <c r="Z46" s="2626" t="s">
        <v>2533</v>
      </c>
    </row>
    <row r="47" spans="2:26">
      <c r="B47" s="2626"/>
      <c r="C47" s="2627">
        <v>38948</v>
      </c>
      <c r="D47" s="2626">
        <v>5.58</v>
      </c>
      <c r="E47" s="2626">
        <v>6.12</v>
      </c>
      <c r="F47" s="2626">
        <v>6.3</v>
      </c>
      <c r="G47" s="2626">
        <v>6.48</v>
      </c>
      <c r="H47" s="2626">
        <v>6.84</v>
      </c>
      <c r="I47" s="2626">
        <v>4.1399999999999997</v>
      </c>
      <c r="J47" s="2626">
        <v>4.59</v>
      </c>
      <c r="L47" s="2626"/>
      <c r="M47" s="2627">
        <v>34161</v>
      </c>
      <c r="N47" s="2626">
        <v>3.15</v>
      </c>
      <c r="O47" s="2626">
        <v>6.66</v>
      </c>
      <c r="P47" s="2626">
        <v>9</v>
      </c>
      <c r="Q47" s="2626">
        <v>10.98</v>
      </c>
      <c r="R47" s="2626">
        <v>11.7</v>
      </c>
      <c r="S47" s="2626">
        <v>12.24</v>
      </c>
      <c r="T47" s="2626">
        <v>13.86</v>
      </c>
      <c r="U47" s="2626">
        <v>9</v>
      </c>
      <c r="V47" s="2626">
        <v>10.98</v>
      </c>
      <c r="W47" s="2626">
        <v>12.24</v>
      </c>
      <c r="X47" s="2626" t="s">
        <v>2533</v>
      </c>
      <c r="Y47" s="2626" t="s">
        <v>2533</v>
      </c>
      <c r="Z47" s="2626" t="s">
        <v>2533</v>
      </c>
    </row>
    <row r="48" spans="2:26">
      <c r="B48" s="2626"/>
      <c r="C48" s="2627">
        <v>38835</v>
      </c>
      <c r="D48" s="2626">
        <v>5.4</v>
      </c>
      <c r="E48" s="2626">
        <v>5.85</v>
      </c>
      <c r="F48" s="2626">
        <v>6.03</v>
      </c>
      <c r="G48" s="2626">
        <v>6.12</v>
      </c>
      <c r="H48" s="2626">
        <v>6.39</v>
      </c>
      <c r="I48" s="2626">
        <v>4.1399999999999997</v>
      </c>
      <c r="J48" s="2626">
        <v>4.59</v>
      </c>
      <c r="L48" s="2626"/>
      <c r="M48" s="2627">
        <v>34104</v>
      </c>
      <c r="N48" s="2626">
        <v>2.16</v>
      </c>
      <c r="O48" s="2626">
        <v>4.8600000000000003</v>
      </c>
      <c r="P48" s="2626">
        <v>7.2</v>
      </c>
      <c r="Q48" s="2626">
        <v>9.18</v>
      </c>
      <c r="R48" s="2626">
        <v>9.9</v>
      </c>
      <c r="S48" s="2626">
        <v>10.8</v>
      </c>
      <c r="T48" s="2626">
        <v>12.06</v>
      </c>
      <c r="U48" s="2626">
        <v>7.2</v>
      </c>
      <c r="V48" s="2626">
        <v>9.18</v>
      </c>
      <c r="W48" s="2626">
        <v>10.8</v>
      </c>
      <c r="X48" s="2626" t="s">
        <v>2533</v>
      </c>
      <c r="Y48" s="2626" t="s">
        <v>2533</v>
      </c>
      <c r="Z48" s="2626" t="s">
        <v>2533</v>
      </c>
    </row>
    <row r="49" spans="2:26">
      <c r="B49" s="2626"/>
      <c r="C49" s="2627">
        <v>38428</v>
      </c>
      <c r="D49" s="2626">
        <v>5.22</v>
      </c>
      <c r="E49" s="2626">
        <v>5.58</v>
      </c>
      <c r="F49" s="2626">
        <v>5.76</v>
      </c>
      <c r="G49" s="2626">
        <v>5.85</v>
      </c>
      <c r="H49" s="2626">
        <v>6.12</v>
      </c>
      <c r="I49" s="2626">
        <v>3.96</v>
      </c>
      <c r="J49" s="2626">
        <v>4.41</v>
      </c>
      <c r="L49" s="2626"/>
      <c r="M49" s="2627">
        <v>33349</v>
      </c>
      <c r="N49" s="2626">
        <v>1.8</v>
      </c>
      <c r="O49" s="2626">
        <v>3.24</v>
      </c>
      <c r="P49" s="2626">
        <v>5.4</v>
      </c>
      <c r="Q49" s="2626">
        <v>7.56</v>
      </c>
      <c r="R49" s="2626">
        <v>7.92</v>
      </c>
      <c r="S49" s="2626">
        <v>8.2799999999999994</v>
      </c>
      <c r="T49" s="2626">
        <v>9</v>
      </c>
      <c r="U49" s="2626">
        <v>6.12</v>
      </c>
      <c r="V49" s="2626">
        <v>6.84</v>
      </c>
      <c r="W49" s="2626">
        <v>7.56</v>
      </c>
      <c r="X49" s="2626" t="s">
        <v>2533</v>
      </c>
      <c r="Y49" s="2626" t="s">
        <v>2533</v>
      </c>
      <c r="Z49" s="2626" t="s">
        <v>2533</v>
      </c>
    </row>
    <row r="50" spans="2:26">
      <c r="B50" s="2626"/>
      <c r="C50" s="2627">
        <v>38289</v>
      </c>
      <c r="D50" s="2626">
        <v>5.22</v>
      </c>
      <c r="E50" s="2626">
        <v>5.58</v>
      </c>
      <c r="F50" s="2626">
        <v>5.76</v>
      </c>
      <c r="G50" s="2626">
        <v>5.85</v>
      </c>
      <c r="H50" s="2626">
        <v>6.12</v>
      </c>
      <c r="I50" s="2626">
        <v>3.78</v>
      </c>
      <c r="J50" s="2626">
        <v>4.2300000000000004</v>
      </c>
      <c r="L50" s="2626"/>
      <c r="M50" s="2627">
        <v>33106</v>
      </c>
      <c r="N50" s="2626">
        <v>2.16</v>
      </c>
      <c r="O50" s="2626">
        <v>4.32</v>
      </c>
      <c r="P50" s="2626">
        <v>6.48</v>
      </c>
      <c r="Q50" s="2626">
        <v>8.64</v>
      </c>
      <c r="R50" s="2626">
        <v>9.36</v>
      </c>
      <c r="S50" s="2626">
        <v>10.08</v>
      </c>
      <c r="T50" s="2626">
        <v>11.52</v>
      </c>
      <c r="U50" s="2626">
        <v>7.2</v>
      </c>
      <c r="V50" s="2626">
        <v>8.64</v>
      </c>
      <c r="W50" s="2626">
        <v>10.08</v>
      </c>
      <c r="X50" s="2626" t="s">
        <v>2533</v>
      </c>
      <c r="Y50" s="2626" t="s">
        <v>2533</v>
      </c>
      <c r="Z50" s="2626" t="s">
        <v>2533</v>
      </c>
    </row>
    <row r="51" spans="2:26">
      <c r="B51" s="2626"/>
      <c r="C51" s="2627">
        <v>37308</v>
      </c>
      <c r="D51" s="2626">
        <v>5.04</v>
      </c>
      <c r="E51" s="2626">
        <v>5.31</v>
      </c>
      <c r="F51" s="2626">
        <v>5.49</v>
      </c>
      <c r="G51" s="2626">
        <v>5.58</v>
      </c>
      <c r="H51" s="2626">
        <v>5.76</v>
      </c>
      <c r="I51" s="2626">
        <v>3.6</v>
      </c>
      <c r="J51" s="2626">
        <v>4.05</v>
      </c>
      <c r="L51" s="2626"/>
      <c r="M51" s="2627">
        <v>32978</v>
      </c>
      <c r="N51" s="2626">
        <v>2.88</v>
      </c>
      <c r="O51" s="2626">
        <v>6.3</v>
      </c>
      <c r="P51" s="2626">
        <v>7.74</v>
      </c>
      <c r="Q51" s="2626">
        <v>10.08</v>
      </c>
      <c r="R51" s="2626">
        <v>10.98</v>
      </c>
      <c r="S51" s="2626">
        <v>11.88</v>
      </c>
      <c r="T51" s="2626">
        <v>13.68</v>
      </c>
      <c r="U51" s="2626" t="s">
        <v>2533</v>
      </c>
      <c r="V51" s="2626" t="s">
        <v>2533</v>
      </c>
      <c r="W51" s="2626" t="s">
        <v>2533</v>
      </c>
      <c r="X51" s="2626" t="s">
        <v>2533</v>
      </c>
      <c r="Y51" s="2626" t="s">
        <v>2533</v>
      </c>
      <c r="Z51" s="2626" t="s">
        <v>2533</v>
      </c>
    </row>
    <row r="52" spans="2:26">
      <c r="B52" s="2626"/>
      <c r="C52" s="2627">
        <v>36321</v>
      </c>
      <c r="D52" s="2626">
        <v>5.58</v>
      </c>
      <c r="E52" s="2626">
        <v>5.85</v>
      </c>
      <c r="F52" s="2626">
        <v>5.94</v>
      </c>
      <c r="G52" s="2626">
        <v>6.03</v>
      </c>
      <c r="H52" s="2626">
        <v>6.21</v>
      </c>
      <c r="I52" s="2626">
        <v>4.1399999999999997</v>
      </c>
      <c r="J52" s="2626">
        <v>4.59</v>
      </c>
      <c r="L52" s="2626"/>
      <c r="M52" s="2627"/>
      <c r="N52" s="2626"/>
      <c r="O52" s="2626"/>
      <c r="P52" s="2626"/>
      <c r="Q52" s="2626"/>
      <c r="R52" s="2626"/>
      <c r="S52" s="2626"/>
      <c r="T52" s="2626"/>
      <c r="U52" s="2626"/>
      <c r="V52" s="2626"/>
      <c r="W52" s="2626"/>
      <c r="X52" s="2626"/>
      <c r="Y52" s="2626"/>
      <c r="Z52" s="2626"/>
    </row>
    <row r="53" spans="2:26">
      <c r="B53" s="2626"/>
      <c r="C53" s="2627">
        <v>36136</v>
      </c>
      <c r="D53" s="2626">
        <v>6.12</v>
      </c>
      <c r="E53" s="2626">
        <v>6.39</v>
      </c>
      <c r="F53" s="2626">
        <v>6.66</v>
      </c>
      <c r="G53" s="2626">
        <v>7.2</v>
      </c>
      <c r="H53" s="2626">
        <v>7.56</v>
      </c>
      <c r="I53" s="2626">
        <v>0</v>
      </c>
      <c r="J53" s="2626">
        <v>0</v>
      </c>
      <c r="L53" s="2626"/>
      <c r="M53" s="2627"/>
      <c r="N53" s="2626"/>
      <c r="O53" s="2626"/>
      <c r="P53" s="2626"/>
      <c r="Q53" s="2626"/>
      <c r="R53" s="2626"/>
      <c r="S53" s="2626"/>
      <c r="T53" s="2626"/>
      <c r="U53" s="2626"/>
      <c r="V53" s="2626"/>
      <c r="W53" s="2626"/>
      <c r="X53" s="2626"/>
      <c r="Y53" s="2626"/>
      <c r="Z53" s="2626"/>
    </row>
    <row r="54" spans="2:26">
      <c r="B54" s="2626"/>
      <c r="C54" s="2627">
        <v>35977</v>
      </c>
      <c r="D54" s="2626">
        <v>6.57</v>
      </c>
      <c r="E54" s="2626">
        <v>6.93</v>
      </c>
      <c r="F54" s="2626">
        <v>7.11</v>
      </c>
      <c r="G54" s="2626">
        <v>7.65</v>
      </c>
      <c r="H54" s="2626">
        <v>8.01</v>
      </c>
      <c r="I54" s="2626">
        <v>0</v>
      </c>
      <c r="J54" s="2626">
        <v>0</v>
      </c>
      <c r="L54" s="2626"/>
      <c r="M54" s="2627"/>
      <c r="N54" s="2626"/>
      <c r="O54" s="2626"/>
      <c r="P54" s="2626"/>
      <c r="Q54" s="2626"/>
      <c r="R54" s="2626"/>
      <c r="S54" s="2626"/>
      <c r="T54" s="2626"/>
      <c r="U54" s="2626"/>
      <c r="V54" s="2626"/>
      <c r="W54" s="2626"/>
      <c r="X54" s="2626"/>
      <c r="Y54" s="2626"/>
      <c r="Z54" s="2626"/>
    </row>
    <row r="55" spans="2:26">
      <c r="B55" s="2626"/>
      <c r="C55" s="2627">
        <v>35879</v>
      </c>
      <c r="D55" s="2626">
        <v>7.02</v>
      </c>
      <c r="E55" s="2626">
        <v>7.92</v>
      </c>
      <c r="F55" s="2626">
        <v>9</v>
      </c>
      <c r="G55" s="2626">
        <v>9.7200000000000006</v>
      </c>
      <c r="H55" s="2626">
        <v>10.35</v>
      </c>
      <c r="I55" s="2626">
        <v>0</v>
      </c>
      <c r="J55" s="2626">
        <v>0</v>
      </c>
      <c r="L55" s="2626"/>
      <c r="M55" s="2627"/>
      <c r="N55" s="2626"/>
      <c r="O55" s="2626"/>
      <c r="P55" s="2626"/>
      <c r="Q55" s="2626"/>
      <c r="R55" s="2626"/>
      <c r="S55" s="2626"/>
      <c r="T55" s="2626"/>
      <c r="U55" s="2626"/>
      <c r="V55" s="2626"/>
      <c r="W55" s="2626"/>
      <c r="X55" s="2626"/>
      <c r="Y55" s="2626"/>
      <c r="Z55" s="2626"/>
    </row>
    <row r="56" spans="2:26">
      <c r="B56" s="2626"/>
      <c r="C56" s="2627">
        <v>35726</v>
      </c>
      <c r="D56" s="2626">
        <v>7.65</v>
      </c>
      <c r="E56" s="2626">
        <v>8.64</v>
      </c>
      <c r="F56" s="2626">
        <v>9.36</v>
      </c>
      <c r="G56" s="2626">
        <v>9.9</v>
      </c>
      <c r="H56" s="2626">
        <v>10.53</v>
      </c>
      <c r="I56" s="2626">
        <v>0</v>
      </c>
      <c r="J56" s="2626">
        <v>0</v>
      </c>
      <c r="L56" s="2626"/>
      <c r="M56" s="2627"/>
      <c r="N56" s="2626"/>
      <c r="O56" s="2626"/>
      <c r="P56" s="2626"/>
      <c r="Q56" s="2626"/>
      <c r="R56" s="2626"/>
      <c r="S56" s="2626"/>
      <c r="T56" s="2626"/>
      <c r="U56" s="2626"/>
      <c r="V56" s="2626"/>
      <c r="W56" s="2626"/>
      <c r="X56" s="2626"/>
      <c r="Y56" s="2626"/>
      <c r="Z56" s="2626"/>
    </row>
    <row r="57" spans="2:26">
      <c r="B57" s="2626"/>
      <c r="C57" s="2627">
        <v>35300</v>
      </c>
      <c r="D57" s="2626">
        <v>9.18</v>
      </c>
      <c r="E57" s="2626">
        <v>10.08</v>
      </c>
      <c r="F57" s="2626">
        <v>10.98</v>
      </c>
      <c r="G57" s="2626">
        <v>11.7</v>
      </c>
      <c r="H57" s="2626">
        <v>12.42</v>
      </c>
      <c r="I57" s="2626">
        <v>0</v>
      </c>
      <c r="J57" s="2626">
        <v>0</v>
      </c>
      <c r="L57" s="2626"/>
      <c r="M57" s="2627"/>
      <c r="N57" s="2626"/>
      <c r="O57" s="2626"/>
      <c r="P57" s="2626"/>
      <c r="Q57" s="2626"/>
      <c r="R57" s="2626"/>
      <c r="S57" s="2626"/>
      <c r="T57" s="2626"/>
      <c r="U57" s="2626"/>
      <c r="V57" s="2626"/>
      <c r="W57" s="2626"/>
      <c r="X57" s="2626"/>
      <c r="Y57" s="2626"/>
      <c r="Z57" s="2626"/>
    </row>
    <row r="58" spans="2:26">
      <c r="B58" s="2626"/>
      <c r="C58" s="2627">
        <v>35186</v>
      </c>
      <c r="D58" s="2626">
        <v>9.7200000000000006</v>
      </c>
      <c r="E58" s="2626">
        <v>10.98</v>
      </c>
      <c r="F58" s="2626">
        <v>13.14</v>
      </c>
      <c r="G58" s="2626">
        <v>14.94</v>
      </c>
      <c r="H58" s="2626">
        <v>15.12</v>
      </c>
      <c r="I58" s="2626">
        <v>0</v>
      </c>
      <c r="J58" s="2626">
        <v>0</v>
      </c>
    </row>
    <row r="59" spans="2:26">
      <c r="B59" s="2626"/>
      <c r="C59" s="2627">
        <v>34881</v>
      </c>
      <c r="D59" s="2626">
        <v>10.08</v>
      </c>
      <c r="E59" s="2626">
        <v>12.06</v>
      </c>
      <c r="F59" s="2626">
        <v>13.5</v>
      </c>
      <c r="G59" s="2626">
        <v>15.12</v>
      </c>
      <c r="H59" s="2626">
        <v>15.3</v>
      </c>
      <c r="I59" s="2626">
        <v>0</v>
      </c>
      <c r="J59" s="2626">
        <v>0</v>
      </c>
    </row>
    <row r="60" spans="2:26">
      <c r="B60" s="2626"/>
      <c r="C60" s="2627">
        <v>34700</v>
      </c>
      <c r="D60" s="2626">
        <v>9</v>
      </c>
      <c r="E60" s="2626">
        <v>10.98</v>
      </c>
      <c r="F60" s="2626">
        <v>12.96</v>
      </c>
      <c r="G60" s="2626">
        <v>14.58</v>
      </c>
      <c r="H60" s="2626">
        <v>14.76</v>
      </c>
      <c r="I60" s="2626">
        <v>0</v>
      </c>
      <c r="J60" s="2626">
        <v>0</v>
      </c>
    </row>
    <row r="61" spans="2:26">
      <c r="B61" s="2626"/>
      <c r="C61" s="2627">
        <v>34161</v>
      </c>
      <c r="D61" s="2626">
        <v>9</v>
      </c>
      <c r="E61" s="2626">
        <v>10.98</v>
      </c>
      <c r="F61" s="2626">
        <v>12.24</v>
      </c>
      <c r="G61" s="2626">
        <v>13.86</v>
      </c>
      <c r="H61" s="2626">
        <v>14.04</v>
      </c>
      <c r="I61" s="2626">
        <v>0</v>
      </c>
      <c r="J61" s="2626">
        <v>0</v>
      </c>
    </row>
    <row r="62" spans="2:26">
      <c r="B62" s="2626"/>
      <c r="C62" s="2627">
        <v>34104</v>
      </c>
      <c r="D62" s="2626">
        <v>8.82</v>
      </c>
      <c r="E62" s="2626">
        <v>9.36</v>
      </c>
      <c r="F62" s="2626">
        <v>10.8</v>
      </c>
      <c r="G62" s="2626">
        <v>12.06</v>
      </c>
      <c r="H62" s="2626">
        <v>12.24</v>
      </c>
      <c r="I62" s="2626">
        <v>0</v>
      </c>
      <c r="J62" s="2626">
        <v>0</v>
      </c>
    </row>
    <row r="63" spans="2:26">
      <c r="B63" s="2626"/>
      <c r="C63" s="2627">
        <v>33349</v>
      </c>
      <c r="D63" s="2626">
        <v>8.1</v>
      </c>
      <c r="E63" s="2626">
        <v>8.64</v>
      </c>
      <c r="F63" s="2626">
        <v>9</v>
      </c>
      <c r="G63" s="2626">
        <v>9.5399999999999991</v>
      </c>
      <c r="H63" s="2626">
        <v>9.7200000000000006</v>
      </c>
      <c r="I63" s="2626">
        <v>0</v>
      </c>
      <c r="J63" s="2626">
        <v>0</v>
      </c>
    </row>
    <row r="64" spans="2:26">
      <c r="B64" s="2626"/>
      <c r="C64" s="2627">
        <v>33318</v>
      </c>
      <c r="D64" s="2626">
        <v>9</v>
      </c>
      <c r="E64" s="2626">
        <v>10.08</v>
      </c>
      <c r="F64" s="2626">
        <v>10.8</v>
      </c>
      <c r="G64" s="2626">
        <v>11.52</v>
      </c>
      <c r="H64" s="2626">
        <v>11.88</v>
      </c>
      <c r="I64" s="2626" t="s">
        <v>2533</v>
      </c>
      <c r="J64" s="2626" t="s">
        <v>2533</v>
      </c>
    </row>
    <row r="65" spans="2:10">
      <c r="B65" s="2626"/>
      <c r="C65" s="2627">
        <v>33106</v>
      </c>
      <c r="D65" s="2626">
        <v>8.64</v>
      </c>
      <c r="E65" s="2626">
        <v>9.36</v>
      </c>
      <c r="F65" s="2626">
        <v>10.08</v>
      </c>
      <c r="G65" s="2626">
        <v>10.8</v>
      </c>
      <c r="H65" s="2626">
        <v>11.16</v>
      </c>
      <c r="I65" s="2626">
        <v>0</v>
      </c>
      <c r="J65" s="2626">
        <v>0</v>
      </c>
    </row>
    <row r="66" spans="2:10">
      <c r="B66" s="2626"/>
      <c r="C66" s="2627">
        <v>32540</v>
      </c>
      <c r="D66" s="2626">
        <v>11.34</v>
      </c>
      <c r="E66" s="2626">
        <v>11.34</v>
      </c>
      <c r="F66" s="2626">
        <v>12.78</v>
      </c>
      <c r="G66" s="2626">
        <v>14.4</v>
      </c>
      <c r="H66" s="2626">
        <v>19.260000000000002</v>
      </c>
      <c r="I66" s="2626">
        <v>0</v>
      </c>
      <c r="J66" s="2626">
        <v>0</v>
      </c>
    </row>
    <row r="67" spans="2:10">
      <c r="B67" s="2626"/>
      <c r="C67" s="2627"/>
      <c r="D67" s="2626"/>
      <c r="E67" s="2626"/>
      <c r="F67" s="2626"/>
      <c r="G67" s="2626"/>
      <c r="H67" s="2626"/>
      <c r="I67" s="2626"/>
      <c r="J67" s="2626"/>
    </row>
    <row r="68" spans="2:10">
      <c r="B68" s="2629"/>
      <c r="C68" s="2630"/>
      <c r="D68" s="2629"/>
      <c r="E68" s="2629"/>
      <c r="F68" s="2629"/>
      <c r="G68" s="2629"/>
      <c r="H68" s="2629"/>
      <c r="I68" s="2629"/>
      <c r="J68" s="2629"/>
    </row>
    <row r="69" spans="2:10">
      <c r="B69" s="2629"/>
      <c r="C69" s="2630"/>
      <c r="D69" s="2629"/>
      <c r="E69" s="2629"/>
      <c r="F69" s="2629"/>
      <c r="G69" s="2629"/>
      <c r="H69" s="2629"/>
      <c r="I69" s="2629"/>
      <c r="J69" s="2629"/>
    </row>
    <row r="70" spans="2:10">
      <c r="B70" s="2629"/>
      <c r="C70" s="2630"/>
      <c r="D70" s="2629"/>
      <c r="E70" s="2629"/>
      <c r="F70" s="2629"/>
      <c r="G70" s="2629"/>
      <c r="H70" s="2629"/>
      <c r="I70" s="2629"/>
      <c r="J70" s="2629"/>
    </row>
    <row r="71" spans="2:10">
      <c r="B71" s="2577"/>
      <c r="C71" s="2577"/>
      <c r="D71" s="2577"/>
      <c r="E71" s="2577"/>
      <c r="F71" s="2577"/>
      <c r="G71" s="2577"/>
      <c r="H71" s="2577"/>
      <c r="I71" s="2577"/>
      <c r="J71" s="2577"/>
    </row>
    <row r="72" spans="2:10">
      <c r="B72" s="2577"/>
      <c r="C72" s="2577"/>
      <c r="D72" s="2577"/>
      <c r="E72" s="2577"/>
      <c r="F72" s="2577"/>
      <c r="G72" s="2577"/>
      <c r="H72" s="2577"/>
      <c r="I72" s="2577"/>
      <c r="J72" s="2577"/>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C1" sqref="C1"/>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4" t="s">
        <v>1524</v>
      </c>
      <c r="B1" s="713"/>
      <c r="C1" s="746" t="s">
        <v>35</v>
      </c>
      <c r="D1" s="2713" t="s">
        <v>3449</v>
      </c>
      <c r="E1" s="2194" t="s">
        <v>2160</v>
      </c>
      <c r="F1" s="2195">
        <f ca="1">J53</f>
        <v>42.81</v>
      </c>
      <c r="G1" s="3164">
        <f>MATCH(C1,'数据-取费表'!A6:A16,0)+5</f>
        <v>9</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1525</v>
      </c>
      <c r="B2" s="748">
        <f ca="1">C40+J29+L46</f>
        <v>12410</v>
      </c>
      <c r="C2" s="3169"/>
      <c r="D2" s="3170"/>
      <c r="E2" s="3171"/>
      <c r="F2" s="3171"/>
      <c r="G2" s="3165"/>
      <c r="H2" s="1892"/>
      <c r="I2" s="1892"/>
      <c r="J2" s="1892"/>
      <c r="K2" s="1893"/>
      <c r="L2" s="1892"/>
      <c r="M2" s="1892"/>
    </row>
    <row r="3" spans="1:33" ht="18" customHeight="1" thickBot="1">
      <c r="A3" s="805" t="s">
        <v>1526</v>
      </c>
      <c r="B3" s="806">
        <f ca="1">IF(ISERROR(B2*10000/F43),0,ROUND(B2*10000/F43,0))</f>
        <v>2375</v>
      </c>
      <c r="C3" s="3169"/>
      <c r="D3" s="3170"/>
      <c r="E3" s="3171"/>
      <c r="F3" s="3171"/>
      <c r="G3" s="3165"/>
      <c r="H3" s="749" t="s">
        <v>677</v>
      </c>
      <c r="I3" s="1270"/>
      <c r="J3" s="1270"/>
      <c r="K3" s="1479"/>
      <c r="L3" s="1270"/>
      <c r="M3" s="1270"/>
    </row>
    <row r="4" spans="1:33" ht="18" customHeight="1">
      <c r="A4" s="750" t="s">
        <v>1527</v>
      </c>
      <c r="B4" s="751" t="s">
        <v>1528</v>
      </c>
      <c r="C4" s="751" t="s">
        <v>1529</v>
      </c>
      <c r="D4" s="751" t="s">
        <v>615</v>
      </c>
      <c r="E4" s="752" t="s">
        <v>1530</v>
      </c>
      <c r="F4" s="753"/>
      <c r="G4" s="1897"/>
      <c r="H4" s="750" t="s">
        <v>1531</v>
      </c>
      <c r="I4" s="751" t="s">
        <v>1532</v>
      </c>
      <c r="J4" s="751" t="s">
        <v>1533</v>
      </c>
      <c r="K4" s="751" t="s">
        <v>1534</v>
      </c>
      <c r="L4" s="752" t="s">
        <v>1535</v>
      </c>
      <c r="M4" s="753"/>
    </row>
    <row r="5" spans="1:33" ht="18" customHeight="1">
      <c r="A5" s="754">
        <v>1</v>
      </c>
      <c r="B5" s="755" t="s">
        <v>2236</v>
      </c>
      <c r="C5" s="55">
        <f ca="1">C6+C10+C12</f>
        <v>858</v>
      </c>
      <c r="D5" s="2299" t="s">
        <v>2239</v>
      </c>
      <c r="E5" s="2293"/>
      <c r="F5" s="2294"/>
      <c r="G5" s="1897"/>
      <c r="H5" s="754">
        <v>1</v>
      </c>
      <c r="I5" s="755" t="s">
        <v>2236</v>
      </c>
      <c r="J5" s="55">
        <f ca="1">J6+J10+J12</f>
        <v>0</v>
      </c>
      <c r="K5" s="2299" t="s">
        <v>2239</v>
      </c>
      <c r="L5" s="2293"/>
      <c r="M5" s="2294"/>
    </row>
    <row r="6" spans="1:33" ht="18" customHeight="1">
      <c r="A6" s="1698" t="s">
        <v>1623</v>
      </c>
      <c r="B6" s="3775" t="s">
        <v>2241</v>
      </c>
      <c r="C6" s="756">
        <f ca="1">ROUND(F6*F8*F7*(1-F9)/10000,0)</f>
        <v>858</v>
      </c>
      <c r="D6" s="2300" t="s">
        <v>2240</v>
      </c>
      <c r="E6" s="757" t="s">
        <v>1537</v>
      </c>
      <c r="F6" s="758">
        <f ca="1">INDIRECT("'数据-取费表'!u"&amp;$G$1)</f>
        <v>0.5</v>
      </c>
      <c r="G6" s="1897"/>
      <c r="H6" s="2307" t="s">
        <v>2246</v>
      </c>
      <c r="I6" s="3775" t="s">
        <v>2241</v>
      </c>
      <c r="J6" s="756">
        <f ca="1">ROUND(M6*M8*M7*(1-M9)/10000,0)</f>
        <v>0</v>
      </c>
      <c r="K6" s="339" t="s">
        <v>1536</v>
      </c>
      <c r="L6" s="757" t="s">
        <v>1537</v>
      </c>
      <c r="M6" s="758">
        <f ca="1">INDIRECT("'数据-取费表'!z"&amp;$G$1)</f>
        <v>0</v>
      </c>
    </row>
    <row r="7" spans="1:33" ht="18" customHeight="1">
      <c r="A7" s="2303"/>
      <c r="B7" s="3776"/>
      <c r="C7" s="761"/>
      <c r="D7" s="762"/>
      <c r="E7" s="757" t="s">
        <v>1538</v>
      </c>
      <c r="F7" s="758">
        <f ca="1">IF(INDIRECT("'数据-取费表'!ah"&amp;$G$1)="",INDIRECT("'数据-取费表'!k"&amp;$G$1),INDIRECT("'数据-取费表'!ah"&amp;$G$1))</f>
        <v>52253.13</v>
      </c>
      <c r="G7" s="1897"/>
      <c r="H7" s="2292"/>
      <c r="I7" s="3776"/>
      <c r="J7" s="761"/>
      <c r="K7" s="762"/>
      <c r="L7" s="757" t="s">
        <v>1538</v>
      </c>
      <c r="M7" s="758">
        <f ca="1">F7</f>
        <v>52253.13</v>
      </c>
    </row>
    <row r="8" spans="1:33" ht="18" customHeight="1">
      <c r="A8" s="2296"/>
      <c r="B8" s="3777"/>
      <c r="C8" s="761"/>
      <c r="D8" s="762"/>
      <c r="E8" s="757" t="s">
        <v>1539</v>
      </c>
      <c r="F8" s="758">
        <f ca="1">INDIRECT("'数据-取费表'!ai"&amp;$G$1)</f>
        <v>365</v>
      </c>
      <c r="G8" s="1897"/>
      <c r="H8" s="2292"/>
      <c r="I8" s="3777"/>
      <c r="J8" s="761"/>
      <c r="K8" s="762"/>
      <c r="L8" s="757" t="s">
        <v>1539</v>
      </c>
      <c r="M8" s="758">
        <f ca="1">INDIRECT("'数据-取费表'!ai"&amp;$G$1)</f>
        <v>365</v>
      </c>
    </row>
    <row r="9" spans="1:33" ht="18" customHeight="1">
      <c r="A9" s="759"/>
      <c r="B9" s="3778"/>
      <c r="C9" s="761"/>
      <c r="D9" s="762"/>
      <c r="E9" s="757" t="s">
        <v>1540</v>
      </c>
      <c r="F9" s="767">
        <f ca="1">INDIRECT("'数据-取费表'!w"&amp;$G$1)</f>
        <v>0.1</v>
      </c>
      <c r="G9" s="1897"/>
      <c r="H9" s="2308"/>
      <c r="I9" s="3777"/>
      <c r="J9" s="761"/>
      <c r="K9" s="762"/>
      <c r="L9" s="768" t="s">
        <v>1540</v>
      </c>
      <c r="M9" s="769">
        <f ca="1">INDIRECT("'数据-取费表'!ab"&amp;$G$1)</f>
        <v>0</v>
      </c>
    </row>
    <row r="10" spans="1:33" ht="18" customHeight="1">
      <c r="A10" s="1698" t="s">
        <v>2244</v>
      </c>
      <c r="B10" s="2297" t="s">
        <v>2237</v>
      </c>
      <c r="C10" s="772">
        <f ca="1">ROUND(IF(F10="押一",C6/12*F11,IF(F10="押二",C6/12*2*F11,IF(F10="押三",C6/12*3*F11,C11*F11))),0)</f>
        <v>0</v>
      </c>
      <c r="D10" s="2304" t="s">
        <v>2670</v>
      </c>
      <c r="E10" s="2301" t="s">
        <v>2242</v>
      </c>
      <c r="F10" s="2385" t="s">
        <v>3450</v>
      </c>
      <c r="G10" s="1897"/>
      <c r="H10" s="2335" t="s">
        <v>2247</v>
      </c>
      <c r="I10" s="2340" t="s">
        <v>2237</v>
      </c>
      <c r="J10" s="756">
        <f ca="1">ROUND(IF(M10="押一",J6/12*M11,IF(M10="押二",J6/12*2*M11,IF(M10="押三",J6/12*3*M11,J11*M11))),0)</f>
        <v>0</v>
      </c>
      <c r="K10" s="2304" t="s">
        <v>2670</v>
      </c>
      <c r="L10" s="2301" t="s">
        <v>2242</v>
      </c>
      <c r="M10" s="2385"/>
    </row>
    <row r="11" spans="1:33" ht="18" customHeight="1">
      <c r="A11" s="763"/>
      <c r="B11" s="2298" t="s">
        <v>2290</v>
      </c>
      <c r="C11" s="2302"/>
      <c r="D11" s="762"/>
      <c r="E11" s="2301" t="s">
        <v>2243</v>
      </c>
      <c r="F11" s="769">
        <f ca="1">'数据-取费表'!B39</f>
        <v>1.4999999999999999E-2</v>
      </c>
      <c r="G11" s="1897"/>
      <c r="H11" s="2336"/>
      <c r="I11" s="2298" t="s">
        <v>2290</v>
      </c>
      <c r="J11" s="2302"/>
      <c r="K11" s="2337"/>
      <c r="L11" s="2301" t="s">
        <v>2243</v>
      </c>
      <c r="M11" s="2295">
        <f ca="1">'数据-取费表'!B39</f>
        <v>1.4999999999999999E-2</v>
      </c>
    </row>
    <row r="12" spans="1:33" ht="18" customHeight="1" thickBot="1">
      <c r="A12" s="2311" t="s">
        <v>2245</v>
      </c>
      <c r="B12" s="2312" t="s">
        <v>2238</v>
      </c>
      <c r="C12" s="2313"/>
      <c r="D12" s="2314"/>
      <c r="E12" s="2315"/>
      <c r="F12" s="2316"/>
      <c r="G12" s="1897"/>
      <c r="H12" s="2325" t="s">
        <v>2248</v>
      </c>
      <c r="I12" s="2338" t="s">
        <v>2238</v>
      </c>
      <c r="J12" s="2339"/>
      <c r="K12" s="2314"/>
      <c r="L12" s="2315"/>
      <c r="M12" s="2328"/>
    </row>
    <row r="13" spans="1:33" ht="18" customHeight="1" thickTop="1">
      <c r="A13" s="1697">
        <v>2</v>
      </c>
      <c r="B13" s="1695" t="s">
        <v>1541</v>
      </c>
      <c r="C13" s="765">
        <f ca="1">ROUND(C29*F13,0)</f>
        <v>15325</v>
      </c>
      <c r="D13" s="1702" t="s">
        <v>2086</v>
      </c>
      <c r="E13" s="1702" t="s">
        <v>1543</v>
      </c>
      <c r="F13" s="2310">
        <f ca="1">INDIRECT("'数据-取费表'!y"&amp;$G$1)</f>
        <v>1</v>
      </c>
      <c r="G13" s="1897"/>
      <c r="H13" s="1697">
        <v>2</v>
      </c>
      <c r="I13" s="1695" t="s">
        <v>1541</v>
      </c>
      <c r="J13" s="1687">
        <f ca="1">ROUND(J14*J15,0)</f>
        <v>0</v>
      </c>
      <c r="K13" s="1689" t="s">
        <v>1542</v>
      </c>
      <c r="L13" s="2326"/>
      <c r="M13" s="2327"/>
    </row>
    <row r="14" spans="1:33" ht="18" customHeight="1">
      <c r="A14" s="1529" t="s">
        <v>1679</v>
      </c>
      <c r="B14" s="757" t="s">
        <v>627</v>
      </c>
      <c r="C14" s="777">
        <f ca="1">INDIRECT("'数据-取费表'!m"&amp;$G$1)+INDIRECT("'数据-取费表'!t"&amp;$G$1)</f>
        <v>10519</v>
      </c>
      <c r="D14" s="1845" t="s">
        <v>1544</v>
      </c>
      <c r="E14" s="1846"/>
      <c r="F14" s="778"/>
      <c r="G14" s="1897"/>
      <c r="H14" s="1530" t="s">
        <v>1629</v>
      </c>
      <c r="I14" s="2063" t="s">
        <v>2541</v>
      </c>
      <c r="J14" s="53">
        <f ca="1">C29</f>
        <v>15325</v>
      </c>
      <c r="K14" s="26"/>
      <c r="L14" s="774"/>
      <c r="M14" s="775"/>
    </row>
    <row r="15" spans="1:33" s="1899" customFormat="1" ht="18" customHeight="1" thickBot="1">
      <c r="A15" s="1529" t="s">
        <v>1680</v>
      </c>
      <c r="B15" s="757" t="s">
        <v>629</v>
      </c>
      <c r="C15" s="53">
        <f ca="1">ROUND(C14*F15,0)</f>
        <v>316</v>
      </c>
      <c r="D15" s="779" t="s">
        <v>1545</v>
      </c>
      <c r="E15" s="779" t="s">
        <v>1546</v>
      </c>
      <c r="F15" s="780">
        <f>'数据-取费表'!B33</f>
        <v>0.03</v>
      </c>
      <c r="G15" s="3166"/>
      <c r="H15" s="2325" t="s">
        <v>1684</v>
      </c>
      <c r="I15" s="2320" t="s">
        <v>1543</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29" t="s">
        <v>1681</v>
      </c>
      <c r="B16" s="757" t="s">
        <v>632</v>
      </c>
      <c r="C16" s="53">
        <f ca="1">ROUND(INDIRECT("'数据-取费表'!m"&amp;$G$1)*F16,0)</f>
        <v>0</v>
      </c>
      <c r="D16" s="757" t="s">
        <v>1545</v>
      </c>
      <c r="E16" s="757" t="s">
        <v>1546</v>
      </c>
      <c r="F16" s="782">
        <f ca="1">IF(INDIRECT("'数据-取费表'!c"&amp;$G$1)="住宅",'数据-取费表'!B34,0)</f>
        <v>0</v>
      </c>
      <c r="G16" s="1897"/>
      <c r="H16" s="1697" t="s">
        <v>1547</v>
      </c>
      <c r="I16" s="1695" t="s">
        <v>1548</v>
      </c>
      <c r="J16" s="765">
        <f ca="1">ROUND(J17+J22+J23+J24,0)</f>
        <v>1452</v>
      </c>
      <c r="K16" s="1689" t="s">
        <v>1549</v>
      </c>
      <c r="L16" s="2289"/>
      <c r="M16" s="2294"/>
    </row>
    <row r="17" spans="1:33" s="1899" customFormat="1" ht="18" customHeight="1">
      <c r="A17" s="1529" t="s">
        <v>1682</v>
      </c>
      <c r="B17" s="757" t="s">
        <v>635</v>
      </c>
      <c r="C17" s="53">
        <f ca="1">ROUND(F17*(F43+INDIRECT("'数据-取费表'!S"&amp;$G$1))/10000,0)</f>
        <v>1052</v>
      </c>
      <c r="D17" s="757" t="s">
        <v>1550</v>
      </c>
      <c r="E17" s="757" t="s">
        <v>1551</v>
      </c>
      <c r="F17" s="56">
        <f>'数据-取费表'!B35</f>
        <v>200</v>
      </c>
      <c r="G17" s="3166"/>
      <c r="H17" s="1530" t="s">
        <v>1629</v>
      </c>
      <c r="I17" s="757" t="s">
        <v>638</v>
      </c>
      <c r="J17" s="2924">
        <f ca="1">ROUND(IF(AND(项目基本情况!B11="自然人",项目基本情况!B10="北京市"),J6*M17/(1+'数据-取费表'!C42),J18+J19+J20),0)</f>
        <v>1299</v>
      </c>
      <c r="K17" s="2288" t="s">
        <v>1552</v>
      </c>
      <c r="L17" s="2287" t="s">
        <v>1553</v>
      </c>
      <c r="M17" s="2923"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29" t="s">
        <v>1683</v>
      </c>
      <c r="B18" s="757" t="s">
        <v>641</v>
      </c>
      <c r="C18" s="53">
        <f ca="1">ROUND(C14*F18,0)</f>
        <v>158</v>
      </c>
      <c r="D18" s="757" t="s">
        <v>1545</v>
      </c>
      <c r="E18" s="757" t="s">
        <v>1546</v>
      </c>
      <c r="F18" s="782">
        <f>'数据-取费表'!B36</f>
        <v>1.4999999999999999E-2</v>
      </c>
      <c r="G18" s="3166"/>
      <c r="H18" s="1529" t="s">
        <v>1679</v>
      </c>
      <c r="I18" s="757" t="s">
        <v>1554</v>
      </c>
      <c r="J18" s="53">
        <f ca="1">ROUND(J6*M18/(1+'数据-取费表'!C42),1)</f>
        <v>0</v>
      </c>
      <c r="K18" s="2287" t="s">
        <v>1555</v>
      </c>
      <c r="L18" s="757" t="s">
        <v>1546</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0" t="s">
        <v>1629</v>
      </c>
      <c r="B19" s="757" t="s">
        <v>644</v>
      </c>
      <c r="C19" s="53">
        <f ca="1">SUM(C14:C18)</f>
        <v>12045</v>
      </c>
      <c r="D19" s="259" t="s">
        <v>1556</v>
      </c>
      <c r="E19" s="1848"/>
      <c r="F19" s="56"/>
      <c r="G19" s="1897"/>
      <c r="H19" s="1529" t="s">
        <v>1680</v>
      </c>
      <c r="I19" s="757" t="s">
        <v>1557</v>
      </c>
      <c r="J19" s="53">
        <f ca="1">IF(K19="按租金收入计税",ROUND(J6*M19/(1+'数据-取费表'!C42),1),ROUND(C29*F33*0.7,1))</f>
        <v>1287.3</v>
      </c>
      <c r="K19" s="783" t="s">
        <v>647</v>
      </c>
      <c r="L19" s="757" t="s">
        <v>1546</v>
      </c>
      <c r="M19" s="782">
        <f>IF(K19="按租金收入计税",'数据-取费表'!B51,'数据-取费表'!B50)</f>
        <v>1.2E-2</v>
      </c>
    </row>
    <row r="20" spans="1:33" s="1899" customFormat="1" ht="18" customHeight="1">
      <c r="A20" s="1530" t="s">
        <v>1684</v>
      </c>
      <c r="B20" s="757" t="s">
        <v>648</v>
      </c>
      <c r="C20" s="53">
        <f ca="1">ROUND(C19*F20,0)</f>
        <v>241</v>
      </c>
      <c r="D20" s="784" t="s">
        <v>1558</v>
      </c>
      <c r="E20" s="757" t="s">
        <v>1546</v>
      </c>
      <c r="F20" s="782">
        <f>'数据-取费表'!B37</f>
        <v>0.02</v>
      </c>
      <c r="G20" s="3166"/>
      <c r="H20" s="1532" t="s">
        <v>1675</v>
      </c>
      <c r="I20" s="339" t="s">
        <v>1559</v>
      </c>
      <c r="J20" s="54">
        <f ca="1">ROUND(M20*M21/10000,0)</f>
        <v>12</v>
      </c>
      <c r="K20" s="786" t="s">
        <v>1560</v>
      </c>
      <c r="L20" s="757" t="s">
        <v>1561</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0" t="s">
        <v>1685</v>
      </c>
      <c r="B21" s="757" t="s">
        <v>1562</v>
      </c>
      <c r="C21" s="53" t="s">
        <v>1563</v>
      </c>
      <c r="D21" s="784" t="s">
        <v>2087</v>
      </c>
      <c r="E21" s="757" t="s">
        <v>1564</v>
      </c>
      <c r="F21" s="782">
        <f>'数据-取费表'!B38</f>
        <v>0.02</v>
      </c>
      <c r="G21" s="3166"/>
      <c r="H21" s="2309"/>
      <c r="I21" s="766"/>
      <c r="J21" s="69"/>
      <c r="K21" s="788"/>
      <c r="L21" s="757" t="s">
        <v>1565</v>
      </c>
      <c r="M21" s="758">
        <f ca="1">INDIRECT("'数据-取费表'!r"&amp;$G$1)</f>
        <v>6636.81</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0" t="s">
        <v>1686</v>
      </c>
      <c r="B22" s="757" t="s">
        <v>1566</v>
      </c>
      <c r="C22" s="53"/>
      <c r="D22" s="2344" t="str">
        <f>IF(F23&lt;=1,"单利计息。","复利计息。")&amp;"建造成本、管理费用、销售费用产生的利息。"</f>
        <v>复利计息。建造成本、管理费用、销售费用产生的利息。</v>
      </c>
      <c r="E22" s="1848"/>
      <c r="F22" s="56"/>
      <c r="G22" s="1897"/>
      <c r="H22" s="1530" t="s">
        <v>1684</v>
      </c>
      <c r="I22" s="757" t="s">
        <v>1567</v>
      </c>
      <c r="J22" s="53">
        <f ca="1">ROUND(J14*M22,0)</f>
        <v>153</v>
      </c>
      <c r="K22" s="2287" t="s">
        <v>1568</v>
      </c>
      <c r="L22" s="757" t="s">
        <v>1546</v>
      </c>
      <c r="M22" s="789">
        <f ca="1">INDIRECT("'数据-取费表'!Ak"&amp;$G$1)</f>
        <v>0.01</v>
      </c>
    </row>
    <row r="23" spans="1:33" s="1899" customFormat="1" ht="18" customHeight="1">
      <c r="A23" s="1529" t="s">
        <v>1630</v>
      </c>
      <c r="B23" s="757" t="s">
        <v>2252</v>
      </c>
      <c r="C23" s="53">
        <f ca="1">ROUND(IF('数据-取费表'!B22&lt;=1,(C19+C20)*F24*F23/2,(C19+C20)*(POWER((1+F24),F23/2)-1)),0)</f>
        <v>641</v>
      </c>
      <c r="D23" s="2343" t="str">
        <f>IF(F23&lt;=1,"(建造成本+管理费用)×利率×(建设周期÷2)","(建造成本+管理费用)×((1+利率)^(建设周期÷2)-1)")</f>
        <v>(建造成本+管理费用)×((1+利率)^(建设周期÷2)-1)</v>
      </c>
      <c r="E23" s="757" t="s">
        <v>1569</v>
      </c>
      <c r="F23" s="615">
        <f>'数据-取费表'!B20</f>
        <v>2.5</v>
      </c>
      <c r="G23" s="3166"/>
      <c r="H23" s="1530" t="s">
        <v>1685</v>
      </c>
      <c r="I23" s="757" t="s">
        <v>661</v>
      </c>
      <c r="J23" s="53">
        <f ca="1">ROUND(J13*M23,0)</f>
        <v>0</v>
      </c>
      <c r="K23" s="2287" t="s">
        <v>1570</v>
      </c>
      <c r="L23" s="757" t="s">
        <v>1546</v>
      </c>
      <c r="M23" s="790">
        <f ca="1">INDIRECT("'数据-取费表'!Al"&amp;$G$1)</f>
        <v>1E-3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29" t="s">
        <v>1631</v>
      </c>
      <c r="B24" s="757" t="s">
        <v>1571</v>
      </c>
      <c r="C24" s="53">
        <f ca="1">ROUND(IF('数据-取费表'!B22&lt;=1,F21*F24*F23/2,F21*(POWER((1+F24),F23/2)-1)),4)</f>
        <v>1E-3</v>
      </c>
      <c r="D24" s="2343" t="str">
        <f>IF(F23&lt;=1,"销售费用×利率×(建设周期÷2)","销售费用×((1+利率)^(建设周期÷2)-1)")</f>
        <v>销售费用×((1+利率)^(建设周期÷2)-1)</v>
      </c>
      <c r="E24" s="757" t="s">
        <v>1572</v>
      </c>
      <c r="F24" s="791">
        <f ca="1">'数据-取费表'!B40</f>
        <v>4.1499999999999995E-2</v>
      </c>
      <c r="G24" s="3166"/>
      <c r="H24" s="2325" t="s">
        <v>1686</v>
      </c>
      <c r="I24" s="2320" t="s">
        <v>648</v>
      </c>
      <c r="J24" s="2318">
        <f ca="1">ROUND(J5*M24,0)</f>
        <v>0</v>
      </c>
      <c r="K24" s="2319" t="s">
        <v>1573</v>
      </c>
      <c r="L24" s="2320" t="s">
        <v>1546</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1" t="s">
        <v>1639</v>
      </c>
      <c r="B25" s="757" t="s">
        <v>666</v>
      </c>
      <c r="C25" s="53"/>
      <c r="D25" s="259" t="s">
        <v>1574</v>
      </c>
      <c r="E25" s="1848"/>
      <c r="F25" s="56"/>
      <c r="G25" s="1897"/>
      <c r="H25" s="1697" t="s">
        <v>1575</v>
      </c>
      <c r="I25" s="2641" t="s">
        <v>2537</v>
      </c>
      <c r="J25" s="765">
        <f ca="1">J5-J16</f>
        <v>-1452</v>
      </c>
      <c r="K25" s="2322" t="s">
        <v>1576</v>
      </c>
      <c r="L25" s="2323"/>
      <c r="M25" s="2324"/>
    </row>
    <row r="26" spans="1:33" ht="18" customHeight="1">
      <c r="A26" s="1529" t="s">
        <v>1630</v>
      </c>
      <c r="B26" s="757" t="s">
        <v>2219</v>
      </c>
      <c r="C26" s="53">
        <f ca="1">ROUND((C19+C20)*F26,0)</f>
        <v>1229</v>
      </c>
      <c r="D26" s="784" t="s">
        <v>1577</v>
      </c>
      <c r="E26" s="768" t="s">
        <v>1578</v>
      </c>
      <c r="F26" s="767">
        <f ca="1">INDIRECT("'数据-取费表'!q"&amp;$G$1)</f>
        <v>0.1</v>
      </c>
      <c r="G26" s="1897"/>
      <c r="H26" s="2305" t="s">
        <v>1579</v>
      </c>
      <c r="I26" s="2064" t="s">
        <v>2542</v>
      </c>
      <c r="J26" s="756">
        <f ca="1">IF(J5&lt;&gt;0,ROUND(J25*(1-((1+M28)/(1+M26))^M27)/(M26-M28),0),0)</f>
        <v>0</v>
      </c>
      <c r="K26" s="786" t="s">
        <v>1580</v>
      </c>
      <c r="L26" s="757" t="s">
        <v>2205</v>
      </c>
      <c r="M26" s="767">
        <f ca="1">INDIRECT("'数据-取费表'!I"&amp;$G$1)</f>
        <v>5.5E-2</v>
      </c>
    </row>
    <row r="27" spans="1:33" ht="18" customHeight="1">
      <c r="A27" s="1529" t="s">
        <v>1631</v>
      </c>
      <c r="B27" s="757" t="s">
        <v>668</v>
      </c>
      <c r="C27" s="53">
        <f ca="1">ROUND(F21*F26,4)</f>
        <v>2E-3</v>
      </c>
      <c r="D27" s="784" t="s">
        <v>1581</v>
      </c>
      <c r="E27" s="779"/>
      <c r="F27" s="780"/>
      <c r="G27" s="1897"/>
      <c r="H27" s="2306"/>
      <c r="I27" s="760"/>
      <c r="J27" s="761"/>
      <c r="K27" s="793" t="s">
        <v>1582</v>
      </c>
      <c r="L27" s="757" t="s">
        <v>1583</v>
      </c>
      <c r="M27" s="794">
        <f ca="1">INDIRECT("'数据-取费表'!ag"&amp;$G$1)</f>
        <v>0</v>
      </c>
    </row>
    <row r="28" spans="1:33" s="1899" customFormat="1" ht="18" customHeight="1">
      <c r="A28" s="1531" t="s">
        <v>1640</v>
      </c>
      <c r="B28" s="757" t="s">
        <v>669</v>
      </c>
      <c r="C28" s="53">
        <f>ROUND(F28/(1+'数据-取费表'!C42),4)</f>
        <v>5.33E-2</v>
      </c>
      <c r="D28" s="784" t="s">
        <v>2088</v>
      </c>
      <c r="E28" s="757" t="s">
        <v>1584</v>
      </c>
      <c r="F28" s="782">
        <f>'数据-取费表'!B41</f>
        <v>5.6000000000000001E-2</v>
      </c>
      <c r="G28" s="3166"/>
      <c r="H28" s="1697"/>
      <c r="I28" s="764"/>
      <c r="J28" s="765"/>
      <c r="K28" s="788"/>
      <c r="L28" s="757" t="s">
        <v>1585</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1687</v>
      </c>
      <c r="B29" s="2315" t="s">
        <v>2089</v>
      </c>
      <c r="C29" s="2318">
        <f ca="1">ROUND((C19+C20+C23+C26)/(1-F21-C24-C27-C28),0)</f>
        <v>15325</v>
      </c>
      <c r="D29" s="2319"/>
      <c r="E29" s="2320"/>
      <c r="F29" s="2321"/>
      <c r="G29" s="3166"/>
      <c r="H29" s="795" t="s">
        <v>1586</v>
      </c>
      <c r="I29" s="796" t="s">
        <v>1587</v>
      </c>
      <c r="J29" s="797">
        <f ca="1">ROUND(J26/(1+F40)^F41,0)</f>
        <v>0</v>
      </c>
      <c r="K29" s="798" t="s">
        <v>1588</v>
      </c>
      <c r="L29" s="799"/>
      <c r="M29" s="800">
        <f ca="1">INDIRECT("'数据-取费表'!k"&amp;$G$1)</f>
        <v>52253.13</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1688</v>
      </c>
      <c r="B30" s="1695" t="s">
        <v>1589</v>
      </c>
      <c r="C30" s="765">
        <f ca="1">ROUND(C31+C36+C37+C38,0)</f>
        <v>333</v>
      </c>
      <c r="D30" s="1689" t="s">
        <v>1590</v>
      </c>
      <c r="E30" s="2289"/>
      <c r="F30" s="2294"/>
      <c r="G30" s="1897"/>
      <c r="H30" s="1900"/>
      <c r="I30" s="1901"/>
      <c r="J30" s="1902"/>
      <c r="K30" s="1903"/>
      <c r="L30" s="1904"/>
      <c r="M30" s="1905"/>
    </row>
    <row r="31" spans="1:33" ht="18" customHeight="1">
      <c r="A31" s="1530" t="s">
        <v>1629</v>
      </c>
      <c r="B31" s="757" t="s">
        <v>638</v>
      </c>
      <c r="C31" s="2924">
        <f ca="1">ROUND(IF(AND(项目基本情况!B11="自然人",项目基本情况!B10="北京市"),C6*F31/(1+'数据-取费表'!C42),C32+C33+C34),0)</f>
        <v>156</v>
      </c>
      <c r="D31" s="1845" t="s">
        <v>1591</v>
      </c>
      <c r="E31" s="1843" t="s">
        <v>1592</v>
      </c>
      <c r="F31" s="2923" t="str">
        <f>IF(项目基本情况!B11="企业","——",IF('数据-取费表'!B10="住宅",IF(F6*F7*F8/12/(1+'数据-取费表'!F30)&gt;100000,4%,2.5%),IF(F6*F7*F8/12/(1+'数据-取费表'!F30)&gt;100000,12%,7%)))</f>
        <v>——</v>
      </c>
      <c r="G31" s="1897"/>
      <c r="H31" s="3163" t="s">
        <v>2725</v>
      </c>
      <c r="I31" s="1901"/>
      <c r="J31" s="1902"/>
      <c r="K31" s="1903"/>
      <c r="L31" s="1904"/>
      <c r="M31" s="1905"/>
    </row>
    <row r="32" spans="1:33" ht="18" customHeight="1">
      <c r="A32" s="1529" t="s">
        <v>1630</v>
      </c>
      <c r="B32" s="757" t="s">
        <v>1593</v>
      </c>
      <c r="C32" s="53">
        <f ca="1">ROUND(C6*F32/(1+'数据-取费表'!C42),1)</f>
        <v>45.8</v>
      </c>
      <c r="D32" s="1843" t="s">
        <v>1594</v>
      </c>
      <c r="E32" s="757" t="s">
        <v>1595</v>
      </c>
      <c r="F32" s="782">
        <f>'数据-取费表'!B41</f>
        <v>5.6000000000000001E-2</v>
      </c>
      <c r="G32" s="1897"/>
      <c r="H32" s="1906"/>
      <c r="I32" s="1907"/>
      <c r="J32" s="1908"/>
      <c r="K32" s="1909"/>
      <c r="L32" s="1910"/>
      <c r="M32" s="1911"/>
    </row>
    <row r="33" spans="1:18" ht="18" customHeight="1">
      <c r="A33" s="1529" t="s">
        <v>1631</v>
      </c>
      <c r="B33" s="757" t="s">
        <v>1596</v>
      </c>
      <c r="C33" s="53">
        <f ca="1">IF(D33="按租金收入计税",ROUND(C6*F33/(1+'数据-取费表'!C42),1),IF(D33="按房产原值计税",ROUND(C29*F33*0.7,1),INDIRECT("'数据-取费表'!Aj"&amp;$G$1)))</f>
        <v>98.1</v>
      </c>
      <c r="D33" s="783" t="s">
        <v>3451</v>
      </c>
      <c r="E33" s="757" t="s">
        <v>1595</v>
      </c>
      <c r="F33" s="782">
        <f>IF(D33="按租金收入计税",'数据-取费表'!B51,'数据-取费表'!B50)</f>
        <v>0.12</v>
      </c>
      <c r="G33" s="1897"/>
      <c r="H33" s="1912"/>
      <c r="I33" s="1912"/>
      <c r="J33" s="1912"/>
      <c r="K33" s="1913"/>
      <c r="L33" s="1912"/>
      <c r="M33" s="1912"/>
    </row>
    <row r="34" spans="1:18" ht="18" customHeight="1">
      <c r="A34" s="1532" t="s">
        <v>1632</v>
      </c>
      <c r="B34" s="339" t="s">
        <v>1597</v>
      </c>
      <c r="C34" s="54">
        <f ca="1">ROUND(F34*F35/10000,1)</f>
        <v>11.9</v>
      </c>
      <c r="D34" s="786" t="s">
        <v>1598</v>
      </c>
      <c r="E34" s="757" t="s">
        <v>1599</v>
      </c>
      <c r="F34" s="615">
        <f>'数据-取费表'!B52</f>
        <v>18</v>
      </c>
      <c r="G34" s="1897"/>
      <c r="H34" s="1900"/>
      <c r="I34" s="807" t="s">
        <v>1612</v>
      </c>
      <c r="J34" s="808"/>
      <c r="K34" s="1915"/>
      <c r="L34" s="1914"/>
      <c r="M34" s="1914">
        <f ca="1">B3*35/10000</f>
        <v>8.3125</v>
      </c>
    </row>
    <row r="35" spans="1:18" ht="18" customHeight="1">
      <c r="A35" s="787"/>
      <c r="B35" s="766"/>
      <c r="C35" s="69"/>
      <c r="D35" s="788"/>
      <c r="E35" s="757" t="s">
        <v>1600</v>
      </c>
      <c r="F35" s="758">
        <f ca="1">INDIRECT("'数据-取费表'!r"&amp;$G$1)</f>
        <v>6636.81</v>
      </c>
      <c r="G35" s="1897"/>
      <c r="H35" s="1900"/>
      <c r="I35" s="809" t="s">
        <v>1613</v>
      </c>
      <c r="J35" s="810">
        <f ca="1">ROUND(C13*J36,0)</f>
        <v>1073</v>
      </c>
      <c r="K35" s="1913"/>
      <c r="L35" s="1912"/>
      <c r="M35" s="1912"/>
    </row>
    <row r="36" spans="1:18" ht="18" customHeight="1">
      <c r="A36" s="1530" t="s">
        <v>1684</v>
      </c>
      <c r="B36" s="757" t="s">
        <v>1601</v>
      </c>
      <c r="C36" s="53">
        <f ca="1">ROUND(C29*F36,1)</f>
        <v>153.30000000000001</v>
      </c>
      <c r="D36" s="1843" t="s">
        <v>1602</v>
      </c>
      <c r="E36" s="757" t="s">
        <v>1595</v>
      </c>
      <c r="F36" s="789">
        <f ca="1">INDIRECT("'数据-取费表'!Ak"&amp;$G$1)</f>
        <v>0.01</v>
      </c>
      <c r="G36" s="1897"/>
      <c r="H36" s="1912"/>
      <c r="I36" s="811" t="s">
        <v>1614</v>
      </c>
      <c r="J36" s="812">
        <f ca="1">INDIRECT("'数据-取费表'!j"&amp;$G$1)</f>
        <v>7.0000000000000007E-2</v>
      </c>
      <c r="K36" s="1916"/>
      <c r="L36" s="1912"/>
      <c r="M36" s="1912"/>
    </row>
    <row r="37" spans="1:18" ht="18" customHeight="1">
      <c r="A37" s="1530" t="s">
        <v>1685</v>
      </c>
      <c r="B37" s="757" t="s">
        <v>661</v>
      </c>
      <c r="C37" s="53">
        <f ca="1">ROUND(C13*F37,1)</f>
        <v>15.3</v>
      </c>
      <c r="D37" s="1843" t="s">
        <v>1603</v>
      </c>
      <c r="E37" s="757" t="s">
        <v>1595</v>
      </c>
      <c r="F37" s="790">
        <f ca="1">INDIRECT("'数据-取费表'!Al"&amp;$G$1)</f>
        <v>1E-3</v>
      </c>
      <c r="G37" s="1897"/>
      <c r="H37" s="1912"/>
      <c r="I37" s="813" t="s">
        <v>1615</v>
      </c>
      <c r="J37" s="814"/>
      <c r="K37" s="1916"/>
      <c r="L37" s="1912"/>
      <c r="M37" s="1912"/>
    </row>
    <row r="38" spans="1:18" ht="18" customHeight="1" thickBot="1">
      <c r="A38" s="2325" t="s">
        <v>1686</v>
      </c>
      <c r="B38" s="2320" t="s">
        <v>648</v>
      </c>
      <c r="C38" s="2318">
        <f ca="1">ROUND(C5*F38,1)</f>
        <v>8.6</v>
      </c>
      <c r="D38" s="2319" t="s">
        <v>1604</v>
      </c>
      <c r="E38" s="2320" t="s">
        <v>1595</v>
      </c>
      <c r="F38" s="2316">
        <f ca="1">INDIRECT("'数据-取费表'!Am"&amp;$G$1)</f>
        <v>0.01</v>
      </c>
      <c r="G38" s="1897"/>
      <c r="H38" s="1912"/>
      <c r="I38" s="815" t="s">
        <v>1616</v>
      </c>
      <c r="J38" s="816"/>
      <c r="K38" s="1917"/>
      <c r="L38" s="1912"/>
      <c r="M38" s="1912"/>
    </row>
    <row r="39" spans="1:18" ht="24.6" customHeight="1" thickTop="1">
      <c r="A39" s="1697" t="s">
        <v>1689</v>
      </c>
      <c r="B39" s="2641" t="s">
        <v>2537</v>
      </c>
      <c r="C39" s="765">
        <f ca="1">C5-C30</f>
        <v>525</v>
      </c>
      <c r="D39" s="2322" t="s">
        <v>1605</v>
      </c>
      <c r="E39" s="2323"/>
      <c r="F39" s="2324"/>
      <c r="G39" s="1897"/>
      <c r="H39" s="1912"/>
      <c r="I39" s="809" t="s">
        <v>1617</v>
      </c>
      <c r="J39" s="817">
        <f ca="1">ROUND(J35/C39,3)</f>
        <v>2.044</v>
      </c>
      <c r="K39" s="1917"/>
      <c r="L39" s="1912"/>
      <c r="M39" s="1912"/>
    </row>
    <row r="40" spans="1:18" ht="18" customHeight="1">
      <c r="A40" s="754" t="s">
        <v>1690</v>
      </c>
      <c r="B40" s="2064" t="s">
        <v>2090</v>
      </c>
      <c r="C40" s="756">
        <f ca="1">ROUND(C39*(1-((1+F42)/(1+F40))^F41)/(F40-F42),0)</f>
        <v>12410</v>
      </c>
      <c r="D40" s="786" t="s">
        <v>1606</v>
      </c>
      <c r="E40" s="757" t="s">
        <v>2205</v>
      </c>
      <c r="F40" s="767">
        <f ca="1">INDIRECT("'数据-取费表'!I"&amp;$G$1)</f>
        <v>5.5E-2</v>
      </c>
      <c r="G40" s="1897"/>
      <c r="H40" s="1897"/>
      <c r="I40" s="809" t="s">
        <v>1618</v>
      </c>
      <c r="J40" s="817">
        <f ca="1">1-J39</f>
        <v>-1.044</v>
      </c>
      <c r="K40" s="1917"/>
      <c r="L40" s="1897"/>
      <c r="M40" s="1897"/>
    </row>
    <row r="41" spans="1:18" ht="18" customHeight="1">
      <c r="A41" s="759"/>
      <c r="B41" s="760"/>
      <c r="C41" s="761"/>
      <c r="D41" s="793" t="s">
        <v>1607</v>
      </c>
      <c r="E41" s="757" t="s">
        <v>2662</v>
      </c>
      <c r="F41" s="794">
        <f ca="1">IF(INDIRECT("'数据-取费表'!af"&amp;$G$1)=0,INDIRECT("'数据-取费表'!ae"&amp;$G$1),INDIRECT("'数据-取费表'!af"&amp;$G$1))</f>
        <v>42.81</v>
      </c>
      <c r="G41" s="1897"/>
      <c r="H41" s="1852"/>
      <c r="I41" s="815" t="s">
        <v>1619</v>
      </c>
      <c r="J41" s="818"/>
      <c r="K41" s="1916"/>
      <c r="L41" s="1852"/>
      <c r="M41" s="1852"/>
    </row>
    <row r="42" spans="1:18" ht="18" customHeight="1">
      <c r="A42" s="763"/>
      <c r="B42" s="764"/>
      <c r="C42" s="765"/>
      <c r="D42" s="788"/>
      <c r="E42" s="757" t="s">
        <v>1608</v>
      </c>
      <c r="F42" s="767">
        <f ca="1">INDIRECT("'数据-取费表'!v"&amp;$G$1)</f>
        <v>2.5000000000000001E-2</v>
      </c>
      <c r="G42" s="1897"/>
      <c r="H42" s="1852"/>
      <c r="I42" s="819" t="s">
        <v>1620</v>
      </c>
      <c r="J42" s="817">
        <f ca="1">ROUND(C13/C40,3)</f>
        <v>1.2350000000000001</v>
      </c>
      <c r="K42" s="1916"/>
      <c r="L42" s="1852"/>
      <c r="M42" s="1852"/>
    </row>
    <row r="43" spans="1:18" ht="18" customHeight="1" thickBot="1">
      <c r="A43" s="795" t="s">
        <v>1586</v>
      </c>
      <c r="B43" s="796" t="s">
        <v>1609</v>
      </c>
      <c r="C43" s="797">
        <f ca="1">ROUND(C40*10000/F43,0)</f>
        <v>2375</v>
      </c>
      <c r="D43" s="798" t="s">
        <v>1610</v>
      </c>
      <c r="E43" s="799" t="s">
        <v>1611</v>
      </c>
      <c r="F43" s="800">
        <f ca="1">INDIRECT("'数据-取费表'!k"&amp;$G$1)</f>
        <v>52253.13</v>
      </c>
      <c r="G43" s="1897"/>
      <c r="H43" s="1852"/>
      <c r="I43" s="819" t="s">
        <v>1621</v>
      </c>
      <c r="J43" s="820">
        <f ca="1">1-J42</f>
        <v>-0.2350000000000001</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2084</v>
      </c>
      <c r="B46" s="1919"/>
      <c r="C46" s="2346">
        <f ca="1">C67-C40</f>
        <v>-15368</v>
      </c>
      <c r="D46" s="3167"/>
      <c r="E46" s="3167"/>
      <c r="F46" s="3167"/>
      <c r="I46" s="2185" t="s">
        <v>2129</v>
      </c>
      <c r="J46" s="2186"/>
      <c r="K46" s="2187"/>
      <c r="L46" s="2726">
        <f>IF(OR(M47="住宅",D1="土地（套用方法）"),0,IF(L48&gt;J51,L60,J60))</f>
        <v>0</v>
      </c>
      <c r="M46" s="3168"/>
      <c r="O46" s="2201" t="s">
        <v>2196</v>
      </c>
      <c r="P46" s="1480"/>
      <c r="Q46" s="1488"/>
      <c r="R46" s="1480"/>
    </row>
    <row r="47" spans="1:18" s="1894" customFormat="1" ht="18" customHeight="1" thickBot="1">
      <c r="A47" s="2179">
        <v>1</v>
      </c>
      <c r="B47" s="2180" t="s">
        <v>617</v>
      </c>
      <c r="C47" s="2346">
        <f ca="1">C48+C52+C54</f>
        <v>0</v>
      </c>
      <c r="D47" s="3167"/>
      <c r="E47" s="3167"/>
      <c r="F47" s="3167"/>
      <c r="I47" s="2717" t="s">
        <v>2130</v>
      </c>
      <c r="J47" s="2188" t="s">
        <v>3428</v>
      </c>
      <c r="K47" s="2723" t="s">
        <v>2135</v>
      </c>
      <c r="L47" s="2727">
        <f ca="1">INDIRECT("'数据-取费表'!d"&amp;$G$1)</f>
        <v>50</v>
      </c>
      <c r="M47" s="1488" t="str">
        <f>IF(ISNUMBER(FIND("住宅",C1)),"住宅","非住宅")</f>
        <v>非住宅</v>
      </c>
      <c r="O47" s="2202" t="s">
        <v>2161</v>
      </c>
      <c r="P47" s="2203" t="s">
        <v>2162</v>
      </c>
      <c r="Q47" s="2204" t="s">
        <v>2163</v>
      </c>
      <c r="R47" s="2203" t="s">
        <v>2164</v>
      </c>
    </row>
    <row r="48" spans="1:18" s="1894" customFormat="1" ht="18" customHeight="1" thickBot="1">
      <c r="A48" s="2404" t="s">
        <v>2254</v>
      </c>
      <c r="B48" s="2405" t="s">
        <v>2255</v>
      </c>
      <c r="C48" s="2181">
        <f ca="1">ROUND(F48*F50*F49*(1-F51)/10000,0)</f>
        <v>0</v>
      </c>
      <c r="D48" s="2182" t="s">
        <v>618</v>
      </c>
      <c r="E48" s="2183" t="s">
        <v>2085</v>
      </c>
      <c r="F48" s="2184"/>
      <c r="G48" s="1924"/>
      <c r="I48" s="2714" t="s">
        <v>2131</v>
      </c>
      <c r="J48" s="2189" t="s">
        <v>2136</v>
      </c>
      <c r="K48" s="2724" t="s">
        <v>2137</v>
      </c>
      <c r="L48" s="1775">
        <f ca="1">INDIRECT("'数据-取费表'!f"&amp;$G$1)</f>
        <v>45.31</v>
      </c>
      <c r="M48" s="3168"/>
      <c r="O48" s="2205" t="s">
        <v>2165</v>
      </c>
      <c r="P48" s="2206" t="s">
        <v>2191</v>
      </c>
      <c r="Q48" s="2207">
        <f ca="1">C40+J29</f>
        <v>12410</v>
      </c>
      <c r="R48" s="2206" t="s">
        <v>2166</v>
      </c>
    </row>
    <row r="49" spans="1:18" s="1894" customFormat="1" ht="18" customHeight="1" thickBot="1">
      <c r="A49" s="759"/>
      <c r="B49" s="760"/>
      <c r="C49" s="761"/>
      <c r="D49" s="762"/>
      <c r="E49" s="757" t="s">
        <v>1538</v>
      </c>
      <c r="F49" s="758">
        <f ca="1">F7</f>
        <v>52253.13</v>
      </c>
      <c r="G49" s="1924"/>
      <c r="H49" s="1927"/>
      <c r="I49" s="2714" t="s">
        <v>2132</v>
      </c>
      <c r="J49" s="2190">
        <v>2024</v>
      </c>
      <c r="K49" s="2725" t="s">
        <v>2138</v>
      </c>
      <c r="L49" s="2191"/>
      <c r="M49" s="3168"/>
      <c r="O49" s="2205" t="s">
        <v>2167</v>
      </c>
      <c r="P49" s="2206" t="s">
        <v>2192</v>
      </c>
      <c r="Q49" s="2207" t="str">
        <f ca="1">J60</f>
        <v>0</v>
      </c>
      <c r="R49" s="2206" t="s">
        <v>2168</v>
      </c>
    </row>
    <row r="50" spans="1:18" s="1894" customFormat="1" ht="18" customHeight="1" thickBot="1">
      <c r="A50" s="759"/>
      <c r="B50" s="760"/>
      <c r="C50" s="761"/>
      <c r="D50" s="762"/>
      <c r="E50" s="757" t="s">
        <v>1539</v>
      </c>
      <c r="F50" s="758">
        <f ca="1">F8</f>
        <v>365</v>
      </c>
      <c r="G50" s="1929"/>
      <c r="H50" s="1927"/>
      <c r="I50" s="2714" t="s">
        <v>2133</v>
      </c>
      <c r="J50" s="2721">
        <f>SUMPRODUCT((I63:I65=J47)*(J62:L62=J48)*(J63:L65))</f>
        <v>60</v>
      </c>
      <c r="K50" s="2725" t="s">
        <v>2139</v>
      </c>
      <c r="L50" s="2191"/>
      <c r="M50" s="3168"/>
      <c r="O50" s="2208" t="s">
        <v>2169</v>
      </c>
      <c r="P50" s="2206" t="s">
        <v>2193</v>
      </c>
      <c r="Q50" s="2207">
        <f ca="1">C29</f>
        <v>15325</v>
      </c>
      <c r="R50" s="2206" t="s">
        <v>2166</v>
      </c>
    </row>
    <row r="51" spans="1:18" s="1894" customFormat="1" ht="18" customHeight="1" thickBot="1">
      <c r="A51" s="759"/>
      <c r="B51" s="760"/>
      <c r="C51" s="761"/>
      <c r="D51" s="762"/>
      <c r="E51" s="757" t="s">
        <v>622</v>
      </c>
      <c r="F51" s="2178"/>
      <c r="H51" s="1927"/>
      <c r="I51" s="2718" t="s">
        <v>2134</v>
      </c>
      <c r="J51" s="2722">
        <f>IF(J49="",J50,J49+J50-YEAR('数据-取费表'!B2))</f>
        <v>62</v>
      </c>
      <c r="K51" s="2714" t="s">
        <v>2140</v>
      </c>
      <c r="L51" s="2728">
        <f ca="1">ROUND(-PV(INDIRECT("'数据-取费表'!h"&amp;$G$1),J51,(C39-C13*J36),0),0)</f>
        <v>-10423</v>
      </c>
      <c r="M51" s="3168"/>
      <c r="O51" s="2208" t="s">
        <v>2170</v>
      </c>
      <c r="P51" s="2206" t="s">
        <v>2171</v>
      </c>
      <c r="Q51" s="2209" t="e">
        <f ca="1">J58</f>
        <v>#VALUE!</v>
      </c>
      <c r="R51" s="2210"/>
    </row>
    <row r="52" spans="1:18" s="1894" customFormat="1" ht="18" customHeight="1" thickBot="1">
      <c r="A52" s="754" t="s">
        <v>2253</v>
      </c>
      <c r="B52" s="2297" t="s">
        <v>2237</v>
      </c>
      <c r="C52" s="772">
        <f ca="1">ROUND(IF(F52="押一",C48/12*F11,IF(F52="押二",C48/12*2*F11,IF(F52="押三",C48/12*3*F11,C53*F11))),0)</f>
        <v>0</v>
      </c>
      <c r="D52" s="2304" t="s">
        <v>2671</v>
      </c>
      <c r="E52" s="2301" t="s">
        <v>2242</v>
      </c>
      <c r="F52" s="2385"/>
      <c r="I52" s="2719" t="s">
        <v>2207</v>
      </c>
      <c r="J52" s="2192">
        <v>7.4999999999999997E-2</v>
      </c>
      <c r="K52" s="2719" t="s">
        <v>2206</v>
      </c>
      <c r="L52" s="2192"/>
      <c r="M52" s="3168"/>
      <c r="O52" s="2208" t="s">
        <v>2172</v>
      </c>
      <c r="P52" s="2206" t="s">
        <v>2173</v>
      </c>
      <c r="Q52" s="2209">
        <f>J52</f>
        <v>7.4999999999999997E-2</v>
      </c>
      <c r="R52" s="2210"/>
    </row>
    <row r="53" spans="1:18" s="1894" customFormat="1" ht="39.75" customHeight="1" thickBot="1">
      <c r="A53" s="759"/>
      <c r="B53" s="2298" t="s">
        <v>2290</v>
      </c>
      <c r="C53" s="2302"/>
      <c r="D53" s="2304"/>
      <c r="E53" s="2301"/>
      <c r="F53" s="773"/>
      <c r="I53" s="2720" t="s">
        <v>2674</v>
      </c>
      <c r="J53" s="2773">
        <f ca="1">IF(M47="住宅",IF(D1="——",MAX(J51,L48),MAX(J51,L48-'数据-取费表'!B20)),IF(D1="——",MIN(J51,L48),MIN(J51,L48-'数据-取费表'!B20)))</f>
        <v>42.81</v>
      </c>
      <c r="K53" s="3813" t="s">
        <v>2664</v>
      </c>
      <c r="L53" s="3814"/>
      <c r="M53" s="3168"/>
      <c r="O53" s="2208" t="s">
        <v>2174</v>
      </c>
      <c r="P53" s="2206" t="s">
        <v>2175</v>
      </c>
      <c r="Q53" s="2207">
        <f ca="1">J53</f>
        <v>42.81</v>
      </c>
      <c r="R53" s="2206" t="s">
        <v>2176</v>
      </c>
    </row>
    <row r="54" spans="1:18" s="1894" customFormat="1" ht="18" customHeight="1" thickBot="1">
      <c r="A54" s="2311" t="s">
        <v>2245</v>
      </c>
      <c r="B54" s="2312" t="s">
        <v>2238</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8"/>
      <c r="O54" s="2205" t="s">
        <v>2177</v>
      </c>
      <c r="P54" s="2206" t="s">
        <v>2194</v>
      </c>
      <c r="Q54" s="2207">
        <f ca="1">Q48+Q49</f>
        <v>12410</v>
      </c>
      <c r="R54" s="2210" t="s">
        <v>2178</v>
      </c>
    </row>
    <row r="55" spans="1:18" s="1894" customFormat="1" ht="18" customHeight="1" thickTop="1" thickBot="1">
      <c r="A55" s="770">
        <v>2</v>
      </c>
      <c r="B55" s="771" t="s">
        <v>626</v>
      </c>
      <c r="C55" s="772">
        <f ca="1">C13</f>
        <v>15325</v>
      </c>
      <c r="D55" s="768"/>
      <c r="E55" s="768"/>
      <c r="F55" s="773"/>
      <c r="I55" s="2731" t="s">
        <v>2141</v>
      </c>
      <c r="J55" s="2703" t="e">
        <f ca="1">ROUND(IF(J47="钢混",J57/J50,1-(1-2%)*(J50-J57)/J50),3)</f>
        <v>#VALUE!</v>
      </c>
      <c r="K55" s="2732" t="s">
        <v>2142</v>
      </c>
      <c r="L55" s="2193"/>
      <c r="M55" s="3168"/>
      <c r="O55" s="2211" t="s">
        <v>2197</v>
      </c>
      <c r="P55" s="1480"/>
      <c r="Q55" s="1488"/>
      <c r="R55" s="1480"/>
    </row>
    <row r="56" spans="1:18" s="1894" customFormat="1" ht="42.75" customHeight="1" thickBot="1">
      <c r="A56" s="1531"/>
      <c r="B56" s="2063" t="s">
        <v>2091</v>
      </c>
      <c r="C56" s="53">
        <f ca="1">C29</f>
        <v>15325</v>
      </c>
      <c r="D56" s="2401"/>
      <c r="E56" s="757"/>
      <c r="F56" s="782"/>
      <c r="I56" s="2733" t="s">
        <v>2143</v>
      </c>
      <c r="J56" s="2743" t="s">
        <v>1477</v>
      </c>
      <c r="K56" s="2714" t="s">
        <v>2148</v>
      </c>
      <c r="L56" s="1775" t="str">
        <f ca="1">IF(L48&lt;J51,"——",L48-J51)</f>
        <v>——</v>
      </c>
      <c r="M56" s="3168"/>
      <c r="O56" s="2202" t="s">
        <v>2161</v>
      </c>
      <c r="P56" s="2203" t="s">
        <v>2162</v>
      </c>
      <c r="Q56" s="2204" t="s">
        <v>2163</v>
      </c>
      <c r="R56" s="2203" t="s">
        <v>2164</v>
      </c>
    </row>
    <row r="57" spans="1:18" s="1894" customFormat="1" ht="28.5" customHeight="1" thickBot="1">
      <c r="A57" s="770" t="s">
        <v>1547</v>
      </c>
      <c r="B57" s="771" t="s">
        <v>633</v>
      </c>
      <c r="C57" s="772">
        <f ca="1">ROUND(C58+C63+C64+C65,0)</f>
        <v>181</v>
      </c>
      <c r="D57" s="26" t="s">
        <v>1549</v>
      </c>
      <c r="E57" s="2402"/>
      <c r="F57" s="56"/>
      <c r="I57" s="2734" t="s">
        <v>2144</v>
      </c>
      <c r="J57" s="2735" t="str">
        <f ca="1">IF(OR(M47="住宅",J51&lt;L48,J56="是"),"——",J51-L48)</f>
        <v>——</v>
      </c>
      <c r="K57" s="2714" t="s">
        <v>2149</v>
      </c>
      <c r="L57" s="1775" t="str">
        <f ca="1">IF(L48&lt;J51,"——",IF(L55="比较法",L49,IF(L55="基准地价",L50,L51)))</f>
        <v>——</v>
      </c>
      <c r="M57" s="3168"/>
      <c r="O57" s="2205" t="s">
        <v>2165</v>
      </c>
      <c r="P57" s="2206" t="s">
        <v>2195</v>
      </c>
      <c r="Q57" s="2207">
        <f ca="1">C40+J29</f>
        <v>12410</v>
      </c>
      <c r="R57" s="2206" t="s">
        <v>2166</v>
      </c>
    </row>
    <row r="58" spans="1:18" s="1894" customFormat="1" ht="28.5" customHeight="1" thickBot="1">
      <c r="A58" s="1530" t="s">
        <v>1623</v>
      </c>
      <c r="B58" s="757" t="s">
        <v>638</v>
      </c>
      <c r="C58" s="2924">
        <f ca="1">ROUND(IF(AND(项目基本情况!B11="自然人",项目基本情况!B10="北京市"),C48*F58/(1+'数据-取费表'!C42),C59+C60+C61),0)</f>
        <v>12</v>
      </c>
      <c r="D58" s="2400" t="s">
        <v>639</v>
      </c>
      <c r="E58" s="2401" t="s">
        <v>672</v>
      </c>
      <c r="F58" s="2923" t="str">
        <f>IF(项目基本情况!B11="企业","——",IF('数据-取费表'!B10="住宅",IF(F48*F49*F50/12/(1+'数据-取费表'!F30)&gt;100000,4%,2.5%),IF(F48*F49*F50/12/(1+'数据-取费表'!F30)&gt;100000,12%,7%)))</f>
        <v>——</v>
      </c>
      <c r="I58" s="2734" t="s">
        <v>2145</v>
      </c>
      <c r="J58" s="2704" t="e">
        <f ca="1">IF(J55&lt;0.4,0.4,J55)</f>
        <v>#VALUE!</v>
      </c>
      <c r="K58" s="2714" t="s">
        <v>2150</v>
      </c>
      <c r="L58" s="1775" t="e">
        <f ca="1">ROUND(POWER(1+L52,L47-L48)*(POWER(1+L52,L48)-1)/(POWER(1+L52,L47)-1),4)</f>
        <v>#DIV/0!</v>
      </c>
      <c r="M58" s="3168"/>
      <c r="O58" s="2205" t="s">
        <v>2167</v>
      </c>
      <c r="P58" s="2206" t="s">
        <v>2198</v>
      </c>
      <c r="Q58" s="2207">
        <f ca="1">L60</f>
        <v>0</v>
      </c>
      <c r="R58" s="2210" t="s">
        <v>2200</v>
      </c>
    </row>
    <row r="59" spans="1:18" s="1894" customFormat="1" ht="28.5" customHeight="1" thickBot="1">
      <c r="A59" s="1529" t="s">
        <v>1630</v>
      </c>
      <c r="B59" s="757" t="s">
        <v>642</v>
      </c>
      <c r="C59" s="53">
        <f ca="1">ROUND(C47*F59/1.05,1)</f>
        <v>0</v>
      </c>
      <c r="D59" s="2401" t="s">
        <v>1555</v>
      </c>
      <c r="E59" s="757" t="s">
        <v>1546</v>
      </c>
      <c r="F59" s="782">
        <f t="shared" ref="F59:F65" si="0">F32</f>
        <v>5.6000000000000001E-2</v>
      </c>
      <c r="I59" s="2734" t="s">
        <v>2146</v>
      </c>
      <c r="J59" s="2735" t="str">
        <f ca="1">IF(OR(M47="住宅",J51&lt;L48,J56="是"),"——",ROUND(C29*J58,0))</f>
        <v>——</v>
      </c>
      <c r="K59" s="2714"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8"/>
      <c r="O59" s="2208" t="s">
        <v>2169</v>
      </c>
      <c r="P59" s="2206" t="s">
        <v>2199</v>
      </c>
      <c r="Q59" s="2207">
        <f>IF(L55="比较法",L49,IF(L55="基准地价",L50,0))</f>
        <v>0</v>
      </c>
      <c r="R59" s="2206" t="s">
        <v>2166</v>
      </c>
    </row>
    <row r="60" spans="1:18" s="1894" customFormat="1" ht="18" customHeight="1" thickBot="1">
      <c r="A60" s="1529" t="s">
        <v>1631</v>
      </c>
      <c r="B60" s="757" t="s">
        <v>1557</v>
      </c>
      <c r="C60" s="53">
        <f ca="1">IF(D60="按租金收入计税",ROUND(C48*F60/(1+'数据-取费表'!C42),1),IF(D60="按房产原值计税",ROUND(C56*F60*0.7,1),INDIRECT("'数据-取费表'!Aj"&amp;$G$1)))</f>
        <v>0</v>
      </c>
      <c r="D60" s="2401" t="str">
        <f>D33</f>
        <v>按租金收入计税</v>
      </c>
      <c r="E60" s="757" t="s">
        <v>1546</v>
      </c>
      <c r="F60" s="782">
        <f t="shared" si="0"/>
        <v>0.12</v>
      </c>
      <c r="I60" s="2736" t="s">
        <v>2147</v>
      </c>
      <c r="J60" s="2737" t="str">
        <f ca="1">IF(OR(M47="住宅",J51&lt;L48,J56="是"),"0",ROUND(J59/(1+J52)^J53,0))</f>
        <v>0</v>
      </c>
      <c r="K60" s="2738" t="s">
        <v>2152</v>
      </c>
      <c r="L60" s="2737">
        <f ca="1">IF(OR(M47="住宅",L48&lt;J51),0,ROUND(L57*(L58/L59-1),0))</f>
        <v>0</v>
      </c>
      <c r="M60" s="3168"/>
      <c r="O60" s="2208" t="s">
        <v>2170</v>
      </c>
      <c r="P60" s="2206" t="s">
        <v>2179</v>
      </c>
      <c r="Q60" s="2209">
        <f>L52</f>
        <v>0</v>
      </c>
      <c r="R60" s="2210"/>
    </row>
    <row r="61" spans="1:18" s="1894" customFormat="1" ht="18" customHeight="1" thickBot="1">
      <c r="A61" s="1532" t="s">
        <v>1632</v>
      </c>
      <c r="B61" s="339" t="s">
        <v>650</v>
      </c>
      <c r="C61" s="54">
        <f ca="1">ROUND(F61*F62/10000,1)</f>
        <v>11.9</v>
      </c>
      <c r="D61" s="786" t="s">
        <v>651</v>
      </c>
      <c r="E61" s="757" t="s">
        <v>652</v>
      </c>
      <c r="F61" s="615">
        <f t="shared" si="0"/>
        <v>18</v>
      </c>
      <c r="K61" s="1920"/>
      <c r="O61" s="2208" t="s">
        <v>2172</v>
      </c>
      <c r="P61" s="2206" t="s">
        <v>2180</v>
      </c>
      <c r="Q61" s="2207" t="e">
        <f ca="1">L58</f>
        <v>#DIV/0!</v>
      </c>
      <c r="R61" s="2210" t="s">
        <v>2181</v>
      </c>
    </row>
    <row r="62" spans="1:18" s="1894" customFormat="1" ht="15.75" thickBot="1">
      <c r="A62" s="787"/>
      <c r="B62" s="766"/>
      <c r="C62" s="69"/>
      <c r="D62" s="788"/>
      <c r="E62" s="757" t="s">
        <v>656</v>
      </c>
      <c r="F62" s="758">
        <f t="shared" ca="1" si="0"/>
        <v>6636.81</v>
      </c>
      <c r="I62" s="2739" t="s">
        <v>2153</v>
      </c>
      <c r="J62" s="2740" t="s">
        <v>2154</v>
      </c>
      <c r="K62" s="2740" t="s">
        <v>2155</v>
      </c>
      <c r="L62" s="2740" t="s">
        <v>2136</v>
      </c>
      <c r="M62" s="2741" t="s">
        <v>2643</v>
      </c>
      <c r="O62" s="2208" t="s">
        <v>2174</v>
      </c>
      <c r="P62" s="2206" t="str">
        <f>K59</f>
        <v>建设期及建筑物耐用年限下的土地年期修正系数Kn</v>
      </c>
      <c r="Q62" s="2207" t="e">
        <f ca="1">L59</f>
        <v>#DIV/0!</v>
      </c>
      <c r="R62" s="2210" t="s">
        <v>2183</v>
      </c>
    </row>
    <row r="63" spans="1:18" s="1894" customFormat="1" ht="15.75" thickBot="1">
      <c r="A63" s="1530" t="s">
        <v>1684</v>
      </c>
      <c r="B63" s="757" t="s">
        <v>658</v>
      </c>
      <c r="C63" s="53">
        <f ca="1">ROUND(C56*F63,1)</f>
        <v>153.30000000000001</v>
      </c>
      <c r="D63" s="2401" t="s">
        <v>1602</v>
      </c>
      <c r="E63" s="757" t="s">
        <v>1546</v>
      </c>
      <c r="F63" s="789">
        <f t="shared" ca="1" si="0"/>
        <v>0.01</v>
      </c>
      <c r="I63" s="2739" t="s">
        <v>2156</v>
      </c>
      <c r="J63" s="2740">
        <v>70</v>
      </c>
      <c r="K63" s="2740">
        <v>50</v>
      </c>
      <c r="L63" s="2740">
        <v>80</v>
      </c>
      <c r="M63" s="2742">
        <v>0.02</v>
      </c>
      <c r="O63" s="2205" t="s">
        <v>2177</v>
      </c>
      <c r="P63" s="2206" t="s">
        <v>2194</v>
      </c>
      <c r="Q63" s="2207">
        <f ca="1">Q57+Q58</f>
        <v>12410</v>
      </c>
      <c r="R63" s="2210" t="s">
        <v>2178</v>
      </c>
    </row>
    <row r="64" spans="1:18" s="1894" customFormat="1" ht="16.5" thickBot="1">
      <c r="A64" s="1530" t="s">
        <v>1685</v>
      </c>
      <c r="B64" s="757" t="s">
        <v>661</v>
      </c>
      <c r="C64" s="53">
        <f ca="1">ROUND(C55*F64,1)</f>
        <v>15.3</v>
      </c>
      <c r="D64" s="2401" t="s">
        <v>662</v>
      </c>
      <c r="E64" s="757" t="s">
        <v>1546</v>
      </c>
      <c r="F64" s="790">
        <f t="shared" ca="1" si="0"/>
        <v>1E-3</v>
      </c>
      <c r="I64" s="2739" t="s">
        <v>2157</v>
      </c>
      <c r="J64" s="2740">
        <v>50</v>
      </c>
      <c r="K64" s="2740">
        <v>35</v>
      </c>
      <c r="L64" s="2740">
        <v>60</v>
      </c>
      <c r="M64" s="818">
        <v>0</v>
      </c>
      <c r="O64" s="2211" t="s">
        <v>2201</v>
      </c>
      <c r="P64" s="1480"/>
      <c r="Q64" s="1488"/>
      <c r="R64" s="1480"/>
    </row>
    <row r="65" spans="1:18" s="1894" customFormat="1" ht="15.75" thickBot="1">
      <c r="A65" s="1530" t="s">
        <v>1686</v>
      </c>
      <c r="B65" s="757" t="s">
        <v>648</v>
      </c>
      <c r="C65" s="53">
        <f ca="1">ROUND(C47*F65,1)</f>
        <v>0</v>
      </c>
      <c r="D65" s="2401" t="s">
        <v>665</v>
      </c>
      <c r="E65" s="757" t="s">
        <v>1546</v>
      </c>
      <c r="F65" s="767">
        <f t="shared" ca="1" si="0"/>
        <v>0.01</v>
      </c>
      <c r="I65" s="2739" t="s">
        <v>2158</v>
      </c>
      <c r="J65" s="2740">
        <v>40</v>
      </c>
      <c r="K65" s="2740">
        <v>30</v>
      </c>
      <c r="L65" s="2740">
        <v>50</v>
      </c>
      <c r="M65" s="2742">
        <v>0.02</v>
      </c>
      <c r="O65" s="2202" t="s">
        <v>2161</v>
      </c>
      <c r="P65" s="2203" t="s">
        <v>2162</v>
      </c>
      <c r="Q65" s="2204" t="s">
        <v>2163</v>
      </c>
      <c r="R65" s="2203" t="s">
        <v>2164</v>
      </c>
    </row>
    <row r="66" spans="1:18" s="1894" customFormat="1" ht="24.75" thickBot="1">
      <c r="A66" s="770" t="s">
        <v>1575</v>
      </c>
      <c r="B66" s="2642" t="s">
        <v>2537</v>
      </c>
      <c r="C66" s="772">
        <f ca="1">C47-C57</f>
        <v>-181</v>
      </c>
      <c r="D66" s="2400" t="s">
        <v>682</v>
      </c>
      <c r="E66" s="2399"/>
      <c r="F66" s="792"/>
      <c r="K66" s="1920"/>
      <c r="O66" s="2205" t="s">
        <v>2165</v>
      </c>
      <c r="P66" s="2206" t="s">
        <v>2195</v>
      </c>
      <c r="Q66" s="2207">
        <f ca="1">C40+J29</f>
        <v>12410</v>
      </c>
      <c r="R66" s="2206" t="s">
        <v>2166</v>
      </c>
    </row>
    <row r="67" spans="1:18" s="1894" customFormat="1" ht="20.25" thickBot="1">
      <c r="A67" s="754" t="s">
        <v>1579</v>
      </c>
      <c r="B67" s="2064" t="s">
        <v>2090</v>
      </c>
      <c r="C67" s="756">
        <f ca="1">ROUND(C66*(1-((1+F69)/(1+F67))^F68)/(F67-F69),0)</f>
        <v>-2958</v>
      </c>
      <c r="D67" s="786" t="s">
        <v>686</v>
      </c>
      <c r="E67" s="757" t="s">
        <v>687</v>
      </c>
      <c r="F67" s="767">
        <f ca="1">F40</f>
        <v>5.5E-2</v>
      </c>
      <c r="K67" s="1920"/>
      <c r="O67" s="2205" t="s">
        <v>2167</v>
      </c>
      <c r="P67" s="2206" t="s">
        <v>2198</v>
      </c>
      <c r="Q67" s="2207">
        <f ca="1">L60</f>
        <v>0</v>
      </c>
      <c r="R67" s="2210" t="s">
        <v>2200</v>
      </c>
    </row>
    <row r="68" spans="1:18" ht="21.75" thickBot="1">
      <c r="A68" s="759"/>
      <c r="B68" s="760"/>
      <c r="C68" s="761"/>
      <c r="D68" s="793" t="s">
        <v>1607</v>
      </c>
      <c r="E68" s="757" t="s">
        <v>1583</v>
      </c>
      <c r="F68" s="794">
        <f ca="1">F41</f>
        <v>42.81</v>
      </c>
      <c r="O68" s="2208" t="s">
        <v>2169</v>
      </c>
      <c r="P68" s="2206" t="s">
        <v>2199</v>
      </c>
      <c r="Q68" s="2212">
        <f ca="1">L51</f>
        <v>-10423</v>
      </c>
      <c r="R68" s="2213" t="s">
        <v>2202</v>
      </c>
    </row>
    <row r="69" spans="1:18" ht="20.25" thickBot="1">
      <c r="A69" s="763"/>
      <c r="B69" s="764"/>
      <c r="C69" s="765"/>
      <c r="D69" s="788"/>
      <c r="E69" s="757" t="s">
        <v>692</v>
      </c>
      <c r="F69" s="2178"/>
      <c r="O69" s="2208" t="s">
        <v>2170</v>
      </c>
      <c r="P69" s="2214" t="s">
        <v>2184</v>
      </c>
      <c r="Q69" s="2207">
        <f ca="1">ROUND(Q70-Q71*Q72,0)</f>
        <v>-548</v>
      </c>
      <c r="R69" s="2210"/>
    </row>
    <row r="70" spans="1:18" ht="15.75" thickBot="1">
      <c r="A70" s="795" t="s">
        <v>1586</v>
      </c>
      <c r="B70" s="796" t="s">
        <v>1609</v>
      </c>
      <c r="C70" s="797">
        <f ca="1">ROUND(C67*10000/F70,0)</f>
        <v>-566</v>
      </c>
      <c r="D70" s="798" t="s">
        <v>1610</v>
      </c>
      <c r="E70" s="799" t="s">
        <v>1611</v>
      </c>
      <c r="F70" s="800">
        <f ca="1">F43</f>
        <v>52253.13</v>
      </c>
      <c r="O70" s="2208" t="s">
        <v>2185</v>
      </c>
      <c r="P70" s="2214" t="s">
        <v>2186</v>
      </c>
      <c r="Q70" s="2207">
        <f ca="1">C39</f>
        <v>525</v>
      </c>
      <c r="R70" s="2206" t="s">
        <v>2166</v>
      </c>
    </row>
    <row r="71" spans="1:18" ht="15.75" thickBot="1">
      <c r="O71" s="2208" t="s">
        <v>2187</v>
      </c>
      <c r="P71" s="2214" t="s">
        <v>2188</v>
      </c>
      <c r="Q71" s="2207">
        <f ca="1">C13</f>
        <v>15325</v>
      </c>
      <c r="R71" s="2206" t="s">
        <v>2166</v>
      </c>
    </row>
    <row r="72" spans="1:18" ht="15.75" thickBot="1">
      <c r="O72" s="2208" t="s">
        <v>2189</v>
      </c>
      <c r="P72" s="2214" t="s">
        <v>2190</v>
      </c>
      <c r="Q72" s="2209">
        <f ca="1">J36</f>
        <v>7.0000000000000007E-2</v>
      </c>
      <c r="R72" s="2210"/>
    </row>
    <row r="73" spans="1:18" ht="15.75" thickBot="1">
      <c r="O73" s="2208" t="s">
        <v>2172</v>
      </c>
      <c r="P73" s="2206" t="s">
        <v>2179</v>
      </c>
      <c r="Q73" s="2209">
        <f>L52</f>
        <v>0</v>
      </c>
      <c r="R73" s="2210"/>
    </row>
    <row r="74" spans="1:18" ht="20.25" thickBot="1">
      <c r="O74" s="2208" t="s">
        <v>2174</v>
      </c>
      <c r="P74" s="2206" t="s">
        <v>2180</v>
      </c>
      <c r="Q74" s="2207" t="e">
        <f ca="1">L58</f>
        <v>#DIV/0!</v>
      </c>
      <c r="R74" s="2210" t="s">
        <v>2181</v>
      </c>
    </row>
    <row r="75" spans="1:18" ht="15.75" thickBot="1">
      <c r="O75" s="2208" t="s">
        <v>2203</v>
      </c>
      <c r="P75" s="2206" t="str">
        <f>K59</f>
        <v>建设期及建筑物耐用年限下的土地年期修正系数Kn</v>
      </c>
      <c r="Q75" s="2207" t="e">
        <f ca="1">L59</f>
        <v>#DIV/0!</v>
      </c>
      <c r="R75" s="2210" t="s">
        <v>2183</v>
      </c>
    </row>
    <row r="76" spans="1:18" ht="15.75" thickBot="1">
      <c r="O76" s="2205" t="s">
        <v>2177</v>
      </c>
      <c r="P76" s="2206" t="s">
        <v>2194</v>
      </c>
      <c r="Q76" s="2207">
        <f ca="1">Q66+Q67</f>
        <v>12410</v>
      </c>
      <c r="R76" s="2210" t="s">
        <v>2178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0"/>
  <sheetViews>
    <sheetView topLeftCell="A22" workbookViewId="0">
      <selection activeCell="A61" sqref="A61"/>
    </sheetView>
  </sheetViews>
  <sheetFormatPr defaultRowHeight="13.5"/>
  <cols>
    <col min="1" max="1" width="25.375" customWidth="1"/>
  </cols>
  <sheetData>
    <row r="1" spans="1:17">
      <c r="A1" s="3456" t="s">
        <v>3162</v>
      </c>
      <c r="B1" s="3456" t="s">
        <v>3163</v>
      </c>
      <c r="C1" s="3456" t="s">
        <v>3164</v>
      </c>
      <c r="D1" s="3456" t="s">
        <v>3165</v>
      </c>
      <c r="E1" s="3456" t="s">
        <v>3166</v>
      </c>
      <c r="F1" s="3456" t="s">
        <v>1823</v>
      </c>
      <c r="G1" s="3456" t="s">
        <v>3167</v>
      </c>
      <c r="H1" s="3456" t="s">
        <v>3168</v>
      </c>
      <c r="I1" s="3456" t="s">
        <v>3169</v>
      </c>
      <c r="J1" s="3456" t="s">
        <v>3170</v>
      </c>
      <c r="K1" s="3456" t="s">
        <v>3171</v>
      </c>
      <c r="L1" s="3456" t="s">
        <v>3172</v>
      </c>
      <c r="M1" s="3456" t="s">
        <v>3173</v>
      </c>
      <c r="N1" s="3456" t="s">
        <v>3174</v>
      </c>
      <c r="O1" s="3456" t="s">
        <v>3175</v>
      </c>
      <c r="P1" s="3456" t="s">
        <v>3176</v>
      </c>
      <c r="Q1" s="3456" t="s">
        <v>3177</v>
      </c>
    </row>
    <row r="2" spans="1:17">
      <c r="A2" s="3456" t="s">
        <v>3178</v>
      </c>
      <c r="B2" s="3456" t="s">
        <v>3179</v>
      </c>
      <c r="C2" s="3456" t="s">
        <v>3180</v>
      </c>
      <c r="D2" s="3456">
        <v>23736.73</v>
      </c>
      <c r="E2" s="3456">
        <v>71210.19</v>
      </c>
      <c r="F2" s="3456" t="s">
        <v>3181</v>
      </c>
      <c r="G2" s="3456" t="s">
        <v>3182</v>
      </c>
      <c r="H2" s="3456" t="s">
        <v>3183</v>
      </c>
      <c r="I2" s="3456" t="s">
        <v>3184</v>
      </c>
      <c r="J2" s="3456" t="s">
        <v>3185</v>
      </c>
      <c r="K2" s="3456" t="s">
        <v>3185</v>
      </c>
      <c r="L2" s="3456">
        <v>28788</v>
      </c>
      <c r="M2" s="3456">
        <v>28788</v>
      </c>
      <c r="N2" s="3456">
        <v>4042.68</v>
      </c>
      <c r="O2" s="3456">
        <v>0</v>
      </c>
      <c r="P2" s="3456" t="s">
        <v>3186</v>
      </c>
      <c r="Q2" s="3456" t="s">
        <v>3187</v>
      </c>
    </row>
    <row r="3" spans="1:17">
      <c r="A3" s="3456" t="s">
        <v>3188</v>
      </c>
      <c r="B3" s="3456" t="s">
        <v>3179</v>
      </c>
      <c r="C3" s="3456" t="s">
        <v>3180</v>
      </c>
      <c r="D3" s="3456">
        <v>17909.02</v>
      </c>
      <c r="E3" s="3456">
        <v>62681.57</v>
      </c>
      <c r="F3" s="3456" t="s">
        <v>3189</v>
      </c>
      <c r="G3" s="3456" t="s">
        <v>3182</v>
      </c>
      <c r="H3" s="3456" t="s">
        <v>3183</v>
      </c>
      <c r="I3" s="3456" t="s">
        <v>3184</v>
      </c>
      <c r="J3" s="3456" t="s">
        <v>3185</v>
      </c>
      <c r="K3" s="3456" t="s">
        <v>3185</v>
      </c>
      <c r="L3" s="3456">
        <v>23880</v>
      </c>
      <c r="M3" s="3456">
        <v>23880</v>
      </c>
      <c r="N3" s="3456">
        <v>3809.73</v>
      </c>
      <c r="O3" s="3456">
        <v>0</v>
      </c>
      <c r="P3" s="3456" t="s">
        <v>3190</v>
      </c>
      <c r="Q3" s="3456" t="s">
        <v>3187</v>
      </c>
    </row>
    <row r="4" spans="1:17">
      <c r="A4" s="3456" t="s">
        <v>3191</v>
      </c>
      <c r="B4" s="3456" t="s">
        <v>3179</v>
      </c>
      <c r="C4" s="3456" t="s">
        <v>3180</v>
      </c>
      <c r="D4" s="3456">
        <v>33519.46</v>
      </c>
      <c r="E4" s="3456">
        <v>97206.43</v>
      </c>
      <c r="F4" s="3456" t="s">
        <v>3192</v>
      </c>
      <c r="G4" s="3456" t="s">
        <v>3182</v>
      </c>
      <c r="H4" s="3456" t="s">
        <v>3183</v>
      </c>
      <c r="I4" s="3456" t="s">
        <v>3184</v>
      </c>
      <c r="J4" s="3456" t="s">
        <v>3185</v>
      </c>
      <c r="K4" s="3456" t="s">
        <v>3185</v>
      </c>
      <c r="L4" s="3456">
        <v>37730</v>
      </c>
      <c r="M4" s="3456">
        <v>37730</v>
      </c>
      <c r="N4" s="3456">
        <v>3881.43</v>
      </c>
      <c r="O4" s="3456">
        <v>0</v>
      </c>
      <c r="P4" s="3456" t="s">
        <v>3193</v>
      </c>
      <c r="Q4" s="3456" t="s">
        <v>3187</v>
      </c>
    </row>
    <row r="5" spans="1:17">
      <c r="A5" s="3456" t="s">
        <v>3194</v>
      </c>
      <c r="B5" s="3456" t="s">
        <v>3179</v>
      </c>
      <c r="C5" s="3456" t="s">
        <v>3180</v>
      </c>
      <c r="D5" s="3456">
        <v>50027.57</v>
      </c>
      <c r="E5" s="3456">
        <v>145079.95000000001</v>
      </c>
      <c r="F5" s="3456" t="s">
        <v>3195</v>
      </c>
      <c r="G5" s="3456" t="s">
        <v>3182</v>
      </c>
      <c r="H5" s="3456" t="s">
        <v>3183</v>
      </c>
      <c r="I5" s="3456" t="s">
        <v>3184</v>
      </c>
      <c r="J5" s="3456" t="s">
        <v>3185</v>
      </c>
      <c r="K5" s="3456" t="s">
        <v>3185</v>
      </c>
      <c r="L5" s="3456">
        <v>59854</v>
      </c>
      <c r="M5" s="3456">
        <v>59854</v>
      </c>
      <c r="N5" s="3456">
        <v>4125.59</v>
      </c>
      <c r="O5" s="3456">
        <v>0</v>
      </c>
      <c r="P5" s="3456" t="s">
        <v>3196</v>
      </c>
      <c r="Q5" s="3456" t="s">
        <v>3187</v>
      </c>
    </row>
    <row r="6" spans="1:17">
      <c r="A6" s="3456" t="s">
        <v>3197</v>
      </c>
      <c r="B6" s="3456" t="s">
        <v>3179</v>
      </c>
      <c r="C6" s="3456" t="s">
        <v>3180</v>
      </c>
      <c r="D6" s="3456">
        <v>41705.629999999997</v>
      </c>
      <c r="E6" s="3456">
        <v>150140.26999999999</v>
      </c>
      <c r="F6" s="3456" t="s">
        <v>3198</v>
      </c>
      <c r="G6" s="3456" t="s">
        <v>3182</v>
      </c>
      <c r="H6" s="3456" t="s">
        <v>3183</v>
      </c>
      <c r="I6" s="3456" t="s">
        <v>3184</v>
      </c>
      <c r="J6" s="3456" t="s">
        <v>3185</v>
      </c>
      <c r="K6" s="3456" t="s">
        <v>3185</v>
      </c>
      <c r="L6" s="3456">
        <v>50111</v>
      </c>
      <c r="M6" s="3456">
        <v>50111</v>
      </c>
      <c r="N6" s="3456">
        <v>3337.61</v>
      </c>
      <c r="O6" s="3456">
        <v>0</v>
      </c>
      <c r="P6" s="3456" t="s">
        <v>3199</v>
      </c>
      <c r="Q6" s="3456" t="s">
        <v>3187</v>
      </c>
    </row>
    <row r="7" spans="1:17">
      <c r="A7" s="3456" t="s">
        <v>3200</v>
      </c>
      <c r="B7" s="3456" t="s">
        <v>3179</v>
      </c>
      <c r="C7" s="3456" t="s">
        <v>3180</v>
      </c>
      <c r="D7" s="3456">
        <v>41965.57</v>
      </c>
      <c r="E7" s="3456">
        <v>113307.04</v>
      </c>
      <c r="F7" s="3456" t="s">
        <v>3201</v>
      </c>
      <c r="G7" s="3456" t="s">
        <v>3182</v>
      </c>
      <c r="H7" s="3456" t="s">
        <v>3183</v>
      </c>
      <c r="I7" s="3456" t="s">
        <v>3184</v>
      </c>
      <c r="J7" s="3456" t="s">
        <v>3185</v>
      </c>
      <c r="K7" s="3456" t="s">
        <v>3185</v>
      </c>
      <c r="L7" s="3456">
        <v>50174</v>
      </c>
      <c r="M7" s="3456">
        <v>50174</v>
      </c>
      <c r="N7" s="3456">
        <v>4428.1400000000003</v>
      </c>
      <c r="O7" s="3456">
        <v>0</v>
      </c>
      <c r="P7" s="3456" t="s">
        <v>3202</v>
      </c>
      <c r="Q7" s="3456" t="s">
        <v>3187</v>
      </c>
    </row>
    <row r="8" spans="1:17">
      <c r="A8" s="3456" t="s">
        <v>3203</v>
      </c>
      <c r="B8" s="3456" t="s">
        <v>3179</v>
      </c>
      <c r="C8" s="3456" t="s">
        <v>3180</v>
      </c>
      <c r="D8" s="3456">
        <v>26354.28</v>
      </c>
      <c r="E8" s="3456">
        <v>79062.84</v>
      </c>
      <c r="F8" s="3456" t="s">
        <v>3204</v>
      </c>
      <c r="G8" s="3456" t="s">
        <v>3182</v>
      </c>
      <c r="H8" s="3456" t="s">
        <v>3183</v>
      </c>
      <c r="I8" s="3456" t="s">
        <v>3184</v>
      </c>
      <c r="J8" s="3456" t="s">
        <v>3185</v>
      </c>
      <c r="K8" s="3456" t="s">
        <v>3185</v>
      </c>
      <c r="L8" s="3456">
        <v>31062</v>
      </c>
      <c r="M8" s="3456">
        <v>31062</v>
      </c>
      <c r="N8" s="3456">
        <v>3928.77</v>
      </c>
      <c r="O8" s="3456">
        <v>0</v>
      </c>
      <c r="P8" s="3456" t="s">
        <v>3205</v>
      </c>
      <c r="Q8" s="3456" t="s">
        <v>3187</v>
      </c>
    </row>
    <row r="9" spans="1:17">
      <c r="A9" s="3456" t="s">
        <v>3206</v>
      </c>
      <c r="B9" s="3456" t="s">
        <v>3179</v>
      </c>
      <c r="C9" s="3456" t="s">
        <v>3207</v>
      </c>
      <c r="D9" s="3456">
        <v>26176.63</v>
      </c>
      <c r="E9" s="3456">
        <v>95544.7</v>
      </c>
      <c r="F9" s="3456" t="s">
        <v>3208</v>
      </c>
      <c r="G9" s="3456" t="s">
        <v>3182</v>
      </c>
      <c r="H9" s="3456" t="s">
        <v>3209</v>
      </c>
      <c r="I9" s="3456" t="s">
        <v>3210</v>
      </c>
      <c r="J9" s="3456" t="s">
        <v>3211</v>
      </c>
      <c r="K9" s="3456" t="s">
        <v>3211</v>
      </c>
      <c r="L9" s="3456">
        <v>37021</v>
      </c>
      <c r="M9" s="3456">
        <v>37021</v>
      </c>
      <c r="N9" s="3456">
        <v>3874.73</v>
      </c>
      <c r="O9" s="3456">
        <v>0</v>
      </c>
      <c r="P9" s="3456" t="s">
        <v>3212</v>
      </c>
      <c r="Q9" s="3456" t="s">
        <v>3213</v>
      </c>
    </row>
    <row r="10" spans="1:17">
      <c r="A10" s="3456" t="s">
        <v>3214</v>
      </c>
      <c r="B10" s="3456" t="s">
        <v>3179</v>
      </c>
      <c r="C10" s="3456" t="s">
        <v>3207</v>
      </c>
      <c r="D10" s="3456">
        <v>96024.98</v>
      </c>
      <c r="E10" s="3456">
        <v>288074.94</v>
      </c>
      <c r="F10" s="3456" t="s">
        <v>3215</v>
      </c>
      <c r="G10" s="3456" t="s">
        <v>3182</v>
      </c>
      <c r="H10" s="3456" t="s">
        <v>3183</v>
      </c>
      <c r="I10" s="3456" t="s">
        <v>3216</v>
      </c>
      <c r="J10" s="3456" t="s">
        <v>3217</v>
      </c>
      <c r="K10" s="3456" t="s">
        <v>3217</v>
      </c>
      <c r="L10" s="3456">
        <v>115944</v>
      </c>
      <c r="M10" s="3456">
        <v>115944</v>
      </c>
      <c r="N10" s="3456">
        <v>4024.79</v>
      </c>
      <c r="O10" s="3456">
        <v>0</v>
      </c>
      <c r="P10" s="3456" t="s">
        <v>3218</v>
      </c>
      <c r="Q10" s="3456" t="s">
        <v>3213</v>
      </c>
    </row>
    <row r="11" spans="1:17">
      <c r="A11" s="3456" t="s">
        <v>3219</v>
      </c>
      <c r="B11" s="3456" t="s">
        <v>3179</v>
      </c>
      <c r="C11" s="3456" t="s">
        <v>3207</v>
      </c>
      <c r="D11" s="3456">
        <v>28338.23</v>
      </c>
      <c r="E11" s="3456">
        <v>102017.63</v>
      </c>
      <c r="F11" s="3456" t="s">
        <v>3220</v>
      </c>
      <c r="G11" s="3456" t="s">
        <v>3182</v>
      </c>
      <c r="H11" s="3456" t="s">
        <v>3183</v>
      </c>
      <c r="I11" s="3456" t="s">
        <v>3216</v>
      </c>
      <c r="J11" s="3456" t="s">
        <v>3217</v>
      </c>
      <c r="K11" s="3456" t="s">
        <v>3217</v>
      </c>
      <c r="L11" s="3456">
        <v>38606</v>
      </c>
      <c r="M11" s="3456">
        <v>38606</v>
      </c>
      <c r="N11" s="3456">
        <v>3784.25</v>
      </c>
      <c r="O11" s="3456">
        <v>0</v>
      </c>
      <c r="P11" s="3456" t="s">
        <v>3221</v>
      </c>
      <c r="Q11" s="3456" t="s">
        <v>3222</v>
      </c>
    </row>
    <row r="12" spans="1:17">
      <c r="A12" s="3456" t="s">
        <v>3223</v>
      </c>
      <c r="B12" s="3456" t="s">
        <v>3179</v>
      </c>
      <c r="C12" s="3456" t="s">
        <v>3207</v>
      </c>
      <c r="D12" s="3456">
        <v>52086.78</v>
      </c>
      <c r="E12" s="3456">
        <v>156260.34</v>
      </c>
      <c r="F12" s="3456" t="s">
        <v>3204</v>
      </c>
      <c r="G12" s="3456" t="s">
        <v>3182</v>
      </c>
      <c r="H12" s="3456" t="s">
        <v>3183</v>
      </c>
      <c r="I12" s="3456" t="s">
        <v>3216</v>
      </c>
      <c r="J12" s="3456" t="s">
        <v>3217</v>
      </c>
      <c r="K12" s="3456" t="s">
        <v>3217</v>
      </c>
      <c r="L12" s="3456">
        <v>63458</v>
      </c>
      <c r="M12" s="3456">
        <v>63458</v>
      </c>
      <c r="N12" s="3456">
        <v>4061.04</v>
      </c>
      <c r="O12" s="3456">
        <v>0</v>
      </c>
      <c r="P12" s="3456" t="s">
        <v>3224</v>
      </c>
      <c r="Q12" s="3456" t="s">
        <v>3213</v>
      </c>
    </row>
    <row r="13" spans="1:17" s="3463" customFormat="1">
      <c r="A13" s="3462" t="s">
        <v>3225</v>
      </c>
      <c r="B13" s="3462" t="s">
        <v>3179</v>
      </c>
      <c r="C13" s="3462" t="s">
        <v>3207</v>
      </c>
      <c r="D13" s="3462">
        <v>18163.759999999998</v>
      </c>
      <c r="E13" s="3462">
        <v>90818.8</v>
      </c>
      <c r="F13" s="3462" t="s">
        <v>3226</v>
      </c>
      <c r="G13" s="3462" t="s">
        <v>3182</v>
      </c>
      <c r="H13" s="3462" t="s">
        <v>3183</v>
      </c>
      <c r="I13" s="3462" t="s">
        <v>3216</v>
      </c>
      <c r="J13" s="3462" t="s">
        <v>3217</v>
      </c>
      <c r="K13" s="3462" t="s">
        <v>3217</v>
      </c>
      <c r="L13" s="3462">
        <v>42160</v>
      </c>
      <c r="M13" s="3462">
        <v>42160</v>
      </c>
      <c r="N13" s="3462">
        <v>4642.21</v>
      </c>
      <c r="O13" s="3462">
        <v>0</v>
      </c>
      <c r="P13" s="3462" t="s">
        <v>3227</v>
      </c>
      <c r="Q13" s="3462" t="s">
        <v>3228</v>
      </c>
    </row>
    <row r="14" spans="1:17">
      <c r="A14" s="3456" t="s">
        <v>3229</v>
      </c>
      <c r="B14" s="3456" t="s">
        <v>3179</v>
      </c>
      <c r="C14" s="3456" t="s">
        <v>3207</v>
      </c>
      <c r="D14" s="3456">
        <v>34791.67</v>
      </c>
      <c r="E14" s="3456">
        <v>135687.51</v>
      </c>
      <c r="F14" s="3456" t="s">
        <v>3230</v>
      </c>
      <c r="G14" s="3456" t="s">
        <v>3182</v>
      </c>
      <c r="H14" s="3456" t="s">
        <v>3183</v>
      </c>
      <c r="I14" s="3456" t="s">
        <v>3216</v>
      </c>
      <c r="J14" s="3456" t="s">
        <v>3217</v>
      </c>
      <c r="K14" s="3456" t="s">
        <v>3217</v>
      </c>
      <c r="L14" s="3456">
        <v>44376</v>
      </c>
      <c r="M14" s="3456">
        <v>44376</v>
      </c>
      <c r="N14" s="3456">
        <v>3270.46</v>
      </c>
      <c r="O14" s="3456">
        <v>0</v>
      </c>
      <c r="P14" s="3456" t="s">
        <v>3224</v>
      </c>
      <c r="Q14" s="3456" t="s">
        <v>3228</v>
      </c>
    </row>
    <row r="15" spans="1:17">
      <c r="A15" s="3456" t="s">
        <v>3231</v>
      </c>
      <c r="B15" s="3456" t="s">
        <v>3179</v>
      </c>
      <c r="C15" s="3456" t="s">
        <v>3180</v>
      </c>
      <c r="D15" s="3456">
        <v>32867.879999999997</v>
      </c>
      <c r="E15" s="3456">
        <v>82169.7</v>
      </c>
      <c r="F15" s="3456" t="s">
        <v>3232</v>
      </c>
      <c r="G15" s="3456" t="s">
        <v>3182</v>
      </c>
      <c r="H15" s="3456" t="s">
        <v>3183</v>
      </c>
      <c r="I15" s="3456" t="s">
        <v>3184</v>
      </c>
      <c r="J15" s="3456" t="s">
        <v>3233</v>
      </c>
      <c r="K15" s="3456" t="s">
        <v>3233</v>
      </c>
      <c r="L15" s="3456">
        <v>38243</v>
      </c>
      <c r="M15" s="3456">
        <v>38243</v>
      </c>
      <c r="N15" s="3456">
        <v>4654.1499999999996</v>
      </c>
      <c r="O15" s="3456">
        <v>0</v>
      </c>
      <c r="P15" s="3456" t="s">
        <v>3234</v>
      </c>
      <c r="Q15" s="3456" t="s">
        <v>3222</v>
      </c>
    </row>
    <row r="16" spans="1:17">
      <c r="A16" s="3456" t="s">
        <v>3235</v>
      </c>
      <c r="B16" s="3456" t="s">
        <v>3179</v>
      </c>
      <c r="C16" s="3456" t="s">
        <v>3180</v>
      </c>
      <c r="D16" s="3456">
        <v>49754.85</v>
      </c>
      <c r="E16" s="3456">
        <v>223896.83</v>
      </c>
      <c r="F16" s="3456" t="s">
        <v>3236</v>
      </c>
      <c r="G16" s="3456" t="s">
        <v>3182</v>
      </c>
      <c r="H16" s="3456" t="s">
        <v>3237</v>
      </c>
      <c r="I16" s="3456" t="s">
        <v>3184</v>
      </c>
      <c r="J16" s="3456" t="s">
        <v>3233</v>
      </c>
      <c r="K16" s="3456" t="s">
        <v>3233</v>
      </c>
      <c r="L16" s="3456">
        <v>78285</v>
      </c>
      <c r="M16" s="3456">
        <v>78285</v>
      </c>
      <c r="N16" s="3456">
        <v>3496.48</v>
      </c>
      <c r="O16" s="3456">
        <v>0</v>
      </c>
      <c r="P16" s="3456" t="s">
        <v>3238</v>
      </c>
      <c r="Q16" s="3456" t="s">
        <v>3213</v>
      </c>
    </row>
    <row r="17" spans="1:17">
      <c r="A17" s="3456" t="s">
        <v>3239</v>
      </c>
      <c r="B17" s="3456" t="s">
        <v>3179</v>
      </c>
      <c r="C17" s="3456" t="s">
        <v>3180</v>
      </c>
      <c r="D17" s="3456">
        <v>52860.92</v>
      </c>
      <c r="E17" s="3456">
        <v>132152.29999999999</v>
      </c>
      <c r="F17" s="3456" t="s">
        <v>3232</v>
      </c>
      <c r="G17" s="3456" t="s">
        <v>3182</v>
      </c>
      <c r="H17" s="3456" t="s">
        <v>3183</v>
      </c>
      <c r="I17" s="3456" t="s">
        <v>3184</v>
      </c>
      <c r="J17" s="3456" t="s">
        <v>3233</v>
      </c>
      <c r="K17" s="3456" t="s">
        <v>3233</v>
      </c>
      <c r="L17" s="3456">
        <v>61535</v>
      </c>
      <c r="M17" s="3456">
        <v>61535</v>
      </c>
      <c r="N17" s="3456">
        <v>4656.37</v>
      </c>
      <c r="O17" s="3456">
        <v>0</v>
      </c>
      <c r="P17" s="3456" t="s">
        <v>3234</v>
      </c>
      <c r="Q17" s="3456" t="s">
        <v>3222</v>
      </c>
    </row>
    <row r="18" spans="1:17">
      <c r="A18" s="3456" t="s">
        <v>3240</v>
      </c>
      <c r="B18" s="3456" t="s">
        <v>3179</v>
      </c>
      <c r="C18" s="3456" t="s">
        <v>3180</v>
      </c>
      <c r="D18" s="3456">
        <v>25523.57</v>
      </c>
      <c r="E18" s="3456">
        <v>107198.99</v>
      </c>
      <c r="F18" s="3456" t="s">
        <v>3241</v>
      </c>
      <c r="G18" s="3456" t="s">
        <v>3182</v>
      </c>
      <c r="H18" s="3456" t="s">
        <v>3242</v>
      </c>
      <c r="I18" s="3456" t="s">
        <v>3184</v>
      </c>
      <c r="J18" s="3456" t="s">
        <v>3233</v>
      </c>
      <c r="K18" s="3456" t="s">
        <v>3233</v>
      </c>
      <c r="L18" s="3456">
        <v>39043</v>
      </c>
      <c r="M18" s="3456">
        <v>39043</v>
      </c>
      <c r="N18" s="3456">
        <v>3642.11</v>
      </c>
      <c r="O18" s="3456">
        <v>0</v>
      </c>
      <c r="P18" s="3456" t="s">
        <v>3243</v>
      </c>
      <c r="Q18" s="3456" t="s">
        <v>3213</v>
      </c>
    </row>
    <row r="19" spans="1:17">
      <c r="A19" s="3456" t="s">
        <v>3244</v>
      </c>
      <c r="B19" s="3456" t="s">
        <v>3179</v>
      </c>
      <c r="C19" s="3456" t="s">
        <v>3180</v>
      </c>
      <c r="D19" s="3456">
        <v>91288.47</v>
      </c>
      <c r="E19" s="3456">
        <v>328638.49</v>
      </c>
      <c r="F19" s="3456" t="s">
        <v>3220</v>
      </c>
      <c r="G19" s="3456" t="s">
        <v>3182</v>
      </c>
      <c r="H19" s="3456" t="s">
        <v>3183</v>
      </c>
      <c r="I19" s="3456" t="s">
        <v>3184</v>
      </c>
      <c r="J19" s="3456" t="s">
        <v>3233</v>
      </c>
      <c r="K19" s="3456" t="s">
        <v>3233</v>
      </c>
      <c r="L19" s="3456">
        <v>129776</v>
      </c>
      <c r="M19" s="3456">
        <v>129776</v>
      </c>
      <c r="N19" s="3456">
        <v>3948.9</v>
      </c>
      <c r="O19" s="3456">
        <v>0</v>
      </c>
      <c r="P19" s="3456" t="s">
        <v>3245</v>
      </c>
      <c r="Q19" s="3456" t="s">
        <v>3213</v>
      </c>
    </row>
    <row r="20" spans="1:17">
      <c r="A20" s="3456" t="s">
        <v>3246</v>
      </c>
      <c r="B20" s="3456" t="s">
        <v>3179</v>
      </c>
      <c r="C20" s="3456" t="s">
        <v>3207</v>
      </c>
      <c r="D20" s="3456">
        <v>36715.14</v>
      </c>
      <c r="E20" s="3456">
        <v>91787.85</v>
      </c>
      <c r="F20" s="3456" t="s">
        <v>3247</v>
      </c>
      <c r="G20" s="3456" t="s">
        <v>3182</v>
      </c>
      <c r="H20" s="3456" t="s">
        <v>3248</v>
      </c>
      <c r="I20" s="3456" t="s">
        <v>3216</v>
      </c>
      <c r="J20" s="3456" t="s">
        <v>3249</v>
      </c>
      <c r="K20" s="3456" t="s">
        <v>3249</v>
      </c>
      <c r="L20" s="3456">
        <v>39105</v>
      </c>
      <c r="M20" s="3456">
        <v>39105</v>
      </c>
      <c r="N20" s="3456">
        <v>4260.37</v>
      </c>
      <c r="O20" s="3456">
        <v>0</v>
      </c>
      <c r="P20" s="3456" t="s">
        <v>3250</v>
      </c>
      <c r="Q20" s="3456" t="s">
        <v>3213</v>
      </c>
    </row>
    <row r="21" spans="1:17">
      <c r="A21" s="3456" t="s">
        <v>3251</v>
      </c>
      <c r="B21" s="3456" t="s">
        <v>3179</v>
      </c>
      <c r="C21" s="3456" t="s">
        <v>3180</v>
      </c>
      <c r="D21" s="3456">
        <v>46750.17</v>
      </c>
      <c r="E21" s="3456">
        <v>168300.61</v>
      </c>
      <c r="F21" s="3456" t="s">
        <v>3252</v>
      </c>
      <c r="G21" s="3456" t="s">
        <v>3182</v>
      </c>
      <c r="H21" s="3456" t="s">
        <v>3253</v>
      </c>
      <c r="I21" s="3456" t="s">
        <v>3216</v>
      </c>
      <c r="J21" s="3456" t="s">
        <v>3249</v>
      </c>
      <c r="K21" s="3456" t="s">
        <v>3249</v>
      </c>
      <c r="L21" s="3456">
        <v>53455</v>
      </c>
      <c r="M21" s="3456">
        <v>53455</v>
      </c>
      <c r="N21" s="3456">
        <v>3176.16</v>
      </c>
      <c r="O21" s="3456">
        <v>0</v>
      </c>
      <c r="P21" s="3456" t="s">
        <v>3234</v>
      </c>
      <c r="Q21" s="3456" t="s">
        <v>3222</v>
      </c>
    </row>
    <row r="22" spans="1:17">
      <c r="A22" s="3456" t="s">
        <v>3254</v>
      </c>
      <c r="B22" s="3456" t="s">
        <v>3179</v>
      </c>
      <c r="C22" s="3456" t="s">
        <v>3207</v>
      </c>
      <c r="D22" s="3456">
        <v>22234.560000000001</v>
      </c>
      <c r="E22" s="3456">
        <v>81156.14</v>
      </c>
      <c r="F22" s="3456" t="s">
        <v>3208</v>
      </c>
      <c r="G22" s="3456" t="s">
        <v>3182</v>
      </c>
      <c r="H22" s="3456" t="s">
        <v>3183</v>
      </c>
      <c r="I22" s="3456" t="s">
        <v>3216</v>
      </c>
      <c r="J22" s="3456" t="s">
        <v>3249</v>
      </c>
      <c r="K22" s="3456" t="s">
        <v>3249</v>
      </c>
      <c r="L22" s="3456">
        <v>31098</v>
      </c>
      <c r="M22" s="3456">
        <v>31098</v>
      </c>
      <c r="N22" s="3456">
        <v>3831.87</v>
      </c>
      <c r="O22" s="3456">
        <v>0</v>
      </c>
      <c r="P22" s="3456" t="s">
        <v>3255</v>
      </c>
      <c r="Q22" s="3456" t="s">
        <v>3213</v>
      </c>
    </row>
    <row r="23" spans="1:17">
      <c r="A23" s="3456" t="s">
        <v>3256</v>
      </c>
      <c r="B23" s="3456" t="s">
        <v>3179</v>
      </c>
      <c r="C23" s="3456" t="s">
        <v>3180</v>
      </c>
      <c r="D23" s="3456">
        <v>109944.27</v>
      </c>
      <c r="E23" s="3456">
        <v>340827.24</v>
      </c>
      <c r="F23" s="3456" t="s">
        <v>3257</v>
      </c>
      <c r="G23" s="3456" t="s">
        <v>3182</v>
      </c>
      <c r="H23" s="3456" t="s">
        <v>3258</v>
      </c>
      <c r="I23" s="3456" t="s">
        <v>3216</v>
      </c>
      <c r="J23" s="3456" t="s">
        <v>3249</v>
      </c>
      <c r="K23" s="3456" t="s">
        <v>3249</v>
      </c>
      <c r="L23" s="3456">
        <v>120670</v>
      </c>
      <c r="M23" s="3456">
        <v>120670</v>
      </c>
      <c r="N23" s="3456">
        <v>3540.5</v>
      </c>
      <c r="O23" s="3456">
        <v>0</v>
      </c>
      <c r="P23" s="3456" t="s">
        <v>3234</v>
      </c>
      <c r="Q23" s="3456" t="s">
        <v>3222</v>
      </c>
    </row>
    <row r="24" spans="1:17">
      <c r="A24" s="3456" t="s">
        <v>3259</v>
      </c>
      <c r="B24" s="3456" t="s">
        <v>3179</v>
      </c>
      <c r="C24" s="3456" t="s">
        <v>3207</v>
      </c>
      <c r="D24" s="3456">
        <v>55111.41</v>
      </c>
      <c r="E24" s="3456">
        <v>192889.94</v>
      </c>
      <c r="F24" s="3456" t="s">
        <v>3260</v>
      </c>
      <c r="G24" s="3456" t="s">
        <v>3182</v>
      </c>
      <c r="H24" s="3456" t="s">
        <v>3248</v>
      </c>
      <c r="I24" s="3456" t="s">
        <v>3216</v>
      </c>
      <c r="J24" s="3456" t="s">
        <v>3249</v>
      </c>
      <c r="K24" s="3456" t="s">
        <v>3249</v>
      </c>
      <c r="L24" s="3456">
        <v>72900</v>
      </c>
      <c r="M24" s="3456">
        <v>72900</v>
      </c>
      <c r="N24" s="3456">
        <v>3779.36</v>
      </c>
      <c r="O24" s="3456">
        <v>0</v>
      </c>
      <c r="P24" s="3456" t="s">
        <v>3261</v>
      </c>
      <c r="Q24" s="3456" t="s">
        <v>3213</v>
      </c>
    </row>
    <row r="25" spans="1:17">
      <c r="A25" s="3456" t="s">
        <v>3262</v>
      </c>
      <c r="B25" s="3456" t="s">
        <v>3179</v>
      </c>
      <c r="C25" s="3456" t="s">
        <v>3207</v>
      </c>
      <c r="D25" s="3456">
        <v>44598.76</v>
      </c>
      <c r="E25" s="3456">
        <v>187314.79</v>
      </c>
      <c r="F25" s="3456" t="s">
        <v>3241</v>
      </c>
      <c r="G25" s="3456" t="s">
        <v>3182</v>
      </c>
      <c r="H25" s="3456" t="s">
        <v>3183</v>
      </c>
      <c r="I25" s="3456" t="s">
        <v>3216</v>
      </c>
      <c r="J25" s="3456" t="s">
        <v>3249</v>
      </c>
      <c r="K25" s="3456" t="s">
        <v>3249</v>
      </c>
      <c r="L25" s="3456">
        <v>68154</v>
      </c>
      <c r="M25" s="3456">
        <v>68154</v>
      </c>
      <c r="N25" s="3456">
        <v>3638.47</v>
      </c>
      <c r="O25" s="3456">
        <v>0</v>
      </c>
      <c r="P25" s="3456" t="s">
        <v>3243</v>
      </c>
      <c r="Q25" s="3456" t="s">
        <v>3213</v>
      </c>
    </row>
    <row r="26" spans="1:17">
      <c r="A26" s="3456" t="s">
        <v>3263</v>
      </c>
      <c r="B26" s="3456" t="s">
        <v>3179</v>
      </c>
      <c r="C26" s="3456" t="s">
        <v>3207</v>
      </c>
      <c r="D26" s="3456">
        <v>49963.37</v>
      </c>
      <c r="E26" s="3456">
        <v>124908.43</v>
      </c>
      <c r="F26" s="3456" t="s">
        <v>3247</v>
      </c>
      <c r="G26" s="3456" t="s">
        <v>3182</v>
      </c>
      <c r="H26" s="3456" t="s">
        <v>3248</v>
      </c>
      <c r="I26" s="3456" t="s">
        <v>3216</v>
      </c>
      <c r="J26" s="3456" t="s">
        <v>3249</v>
      </c>
      <c r="K26" s="3456" t="s">
        <v>3249</v>
      </c>
      <c r="L26" s="3456">
        <v>53102</v>
      </c>
      <c r="M26" s="3456">
        <v>53102</v>
      </c>
      <c r="N26" s="3456">
        <v>4251.2700000000004</v>
      </c>
      <c r="O26" s="3456">
        <v>0</v>
      </c>
      <c r="P26" s="3456" t="s">
        <v>3264</v>
      </c>
      <c r="Q26" s="3456" t="s">
        <v>3213</v>
      </c>
    </row>
    <row r="27" spans="1:17">
      <c r="A27" s="3456" t="s">
        <v>3265</v>
      </c>
      <c r="B27" s="3456" t="s">
        <v>3179</v>
      </c>
      <c r="C27" s="3456" t="s">
        <v>3207</v>
      </c>
      <c r="D27" s="3456">
        <v>36384.58</v>
      </c>
      <c r="E27" s="3456">
        <v>127346.03</v>
      </c>
      <c r="F27" s="3456" t="s">
        <v>3266</v>
      </c>
      <c r="G27" s="3456" t="s">
        <v>3182</v>
      </c>
      <c r="H27" s="3456" t="s">
        <v>3183</v>
      </c>
      <c r="I27" s="3456" t="s">
        <v>3216</v>
      </c>
      <c r="J27" s="3456" t="s">
        <v>3249</v>
      </c>
      <c r="K27" s="3456" t="s">
        <v>3249</v>
      </c>
      <c r="L27" s="3456">
        <v>47447</v>
      </c>
      <c r="M27" s="3456">
        <v>47447</v>
      </c>
      <c r="N27" s="3456">
        <v>3725.83</v>
      </c>
      <c r="O27" s="3456">
        <v>0</v>
      </c>
      <c r="P27" s="3456" t="s">
        <v>3267</v>
      </c>
      <c r="Q27" s="3456" t="s">
        <v>3213</v>
      </c>
    </row>
    <row r="28" spans="1:17">
      <c r="A28" s="3456" t="s">
        <v>3268</v>
      </c>
      <c r="B28" s="3456" t="s">
        <v>3179</v>
      </c>
      <c r="C28" s="3456" t="s">
        <v>3180</v>
      </c>
      <c r="D28" s="3456">
        <v>43446.48</v>
      </c>
      <c r="E28" s="3456">
        <v>182475.22</v>
      </c>
      <c r="F28" s="3456" t="s">
        <v>3241</v>
      </c>
      <c r="G28" s="3456" t="s">
        <v>3182</v>
      </c>
      <c r="H28" s="3456" t="s">
        <v>3183</v>
      </c>
      <c r="I28" s="3456">
        <v>0</v>
      </c>
      <c r="J28" s="3456" t="s">
        <v>3269</v>
      </c>
      <c r="K28" s="3456" t="s">
        <v>3269</v>
      </c>
      <c r="L28" s="3456">
        <v>65971</v>
      </c>
      <c r="M28" s="3456">
        <v>65971</v>
      </c>
      <c r="N28" s="3456">
        <v>3615.34</v>
      </c>
      <c r="O28" s="3456">
        <v>0</v>
      </c>
      <c r="P28" s="3456" t="s">
        <v>3243</v>
      </c>
      <c r="Q28" s="3456" t="s">
        <v>3213</v>
      </c>
    </row>
    <row r="29" spans="1:17">
      <c r="A29" s="3456" t="s">
        <v>3270</v>
      </c>
      <c r="B29" s="3456" t="s">
        <v>3179</v>
      </c>
      <c r="C29" s="3456" t="s">
        <v>3180</v>
      </c>
      <c r="D29" s="3456">
        <v>16105.01</v>
      </c>
      <c r="E29" s="3456">
        <v>67641.039999999994</v>
      </c>
      <c r="F29" s="3456" t="s">
        <v>3241</v>
      </c>
      <c r="G29" s="3456" t="s">
        <v>3182</v>
      </c>
      <c r="H29" s="3456" t="s">
        <v>3183</v>
      </c>
      <c r="I29" s="3456">
        <v>0</v>
      </c>
      <c r="J29" s="3456" t="s">
        <v>3269</v>
      </c>
      <c r="K29" s="3456" t="s">
        <v>3269</v>
      </c>
      <c r="L29" s="3456">
        <v>24406</v>
      </c>
      <c r="M29" s="3456">
        <v>24406</v>
      </c>
      <c r="N29" s="3456">
        <v>3608.16</v>
      </c>
      <c r="O29" s="3456">
        <v>0</v>
      </c>
      <c r="P29" s="3456" t="s">
        <v>3243</v>
      </c>
      <c r="Q29" s="3456" t="s">
        <v>3213</v>
      </c>
    </row>
    <row r="30" spans="1:17">
      <c r="A30" s="3456" t="s">
        <v>3271</v>
      </c>
      <c r="B30" s="3456" t="s">
        <v>3179</v>
      </c>
      <c r="C30" s="3456" t="s">
        <v>3180</v>
      </c>
      <c r="D30" s="3456">
        <v>21135.67</v>
      </c>
      <c r="E30" s="3456">
        <v>88769.81</v>
      </c>
      <c r="F30" s="3456" t="s">
        <v>3241</v>
      </c>
      <c r="G30" s="3456" t="s">
        <v>3182</v>
      </c>
      <c r="H30" s="3456" t="s">
        <v>3183</v>
      </c>
      <c r="I30" s="3456">
        <v>0</v>
      </c>
      <c r="J30" s="3456" t="s">
        <v>3269</v>
      </c>
      <c r="K30" s="3456" t="s">
        <v>3269</v>
      </c>
      <c r="L30" s="3456">
        <v>32033</v>
      </c>
      <c r="M30" s="3456">
        <v>32033</v>
      </c>
      <c r="N30" s="3456">
        <v>3608.55</v>
      </c>
      <c r="O30" s="3456">
        <v>0</v>
      </c>
      <c r="P30" s="3456" t="s">
        <v>3243</v>
      </c>
      <c r="Q30" s="3456" t="s">
        <v>3213</v>
      </c>
    </row>
    <row r="31" spans="1:17" s="3461" customFormat="1">
      <c r="A31" s="3460" t="s">
        <v>3272</v>
      </c>
      <c r="B31" s="3460" t="s">
        <v>3179</v>
      </c>
      <c r="C31" s="3460" t="s">
        <v>3180</v>
      </c>
      <c r="D31" s="3460">
        <v>33558.800000000003</v>
      </c>
      <c r="E31" s="3460">
        <v>120811.68</v>
      </c>
      <c r="F31" s="3460" t="s">
        <v>3220</v>
      </c>
      <c r="G31" s="3460" t="s">
        <v>3182</v>
      </c>
      <c r="H31" s="3460" t="s">
        <v>3248</v>
      </c>
      <c r="I31" s="3460">
        <v>0</v>
      </c>
      <c r="J31" s="3460" t="s">
        <v>3273</v>
      </c>
      <c r="K31" s="3460" t="s">
        <v>3273</v>
      </c>
      <c r="L31" s="3460">
        <v>45644</v>
      </c>
      <c r="M31" s="3460">
        <v>45644</v>
      </c>
      <c r="N31" s="3460">
        <v>3778.11</v>
      </c>
      <c r="O31" s="3460">
        <v>0</v>
      </c>
      <c r="P31" s="3460" t="s">
        <v>3221</v>
      </c>
      <c r="Q31" s="3460" t="s">
        <v>3213</v>
      </c>
    </row>
    <row r="32" spans="1:17">
      <c r="A32" s="3456" t="s">
        <v>3274</v>
      </c>
      <c r="B32" s="3456" t="s">
        <v>3179</v>
      </c>
      <c r="C32" s="3456" t="s">
        <v>3180</v>
      </c>
      <c r="D32" s="3456">
        <v>78098</v>
      </c>
      <c r="E32" s="3456">
        <v>429539</v>
      </c>
      <c r="F32" s="3456" t="s">
        <v>3275</v>
      </c>
      <c r="G32" s="3456" t="s">
        <v>3182</v>
      </c>
      <c r="H32" s="3456" t="s">
        <v>3276</v>
      </c>
      <c r="I32" s="3456">
        <v>0</v>
      </c>
      <c r="J32" s="3456" t="s">
        <v>3277</v>
      </c>
      <c r="K32" s="3456" t="s">
        <v>3277</v>
      </c>
      <c r="L32" s="3456">
        <v>134606</v>
      </c>
      <c r="M32" s="3456">
        <v>134606</v>
      </c>
      <c r="N32" s="3456">
        <v>3133.73</v>
      </c>
      <c r="O32" s="3456">
        <v>0</v>
      </c>
      <c r="P32" s="3456" t="s">
        <v>3278</v>
      </c>
      <c r="Q32" s="3456" t="s">
        <v>3228</v>
      </c>
    </row>
    <row r="33" spans="1:17">
      <c r="A33" s="3456" t="s">
        <v>3279</v>
      </c>
      <c r="B33" s="3456" t="s">
        <v>3179</v>
      </c>
      <c r="C33" s="3456" t="s">
        <v>3180</v>
      </c>
      <c r="D33" s="3456">
        <v>12632.79</v>
      </c>
      <c r="E33" s="3456">
        <v>106115.44</v>
      </c>
      <c r="F33" s="3456" t="s">
        <v>3280</v>
      </c>
      <c r="G33" s="3456" t="s">
        <v>3182</v>
      </c>
      <c r="H33" s="3456" t="s">
        <v>3281</v>
      </c>
      <c r="I33" s="3456">
        <v>0</v>
      </c>
      <c r="J33" s="3456" t="s">
        <v>3277</v>
      </c>
      <c r="K33" s="3456" t="s">
        <v>3277</v>
      </c>
      <c r="L33" s="3456">
        <v>30758</v>
      </c>
      <c r="M33" s="3456">
        <v>30758</v>
      </c>
      <c r="N33" s="3456">
        <v>2898.54</v>
      </c>
      <c r="O33" s="3456">
        <v>0</v>
      </c>
      <c r="P33" s="3456" t="s">
        <v>3282</v>
      </c>
      <c r="Q33" s="3456" t="s">
        <v>3228</v>
      </c>
    </row>
    <row r="34" spans="1:17">
      <c r="A34" s="3456" t="s">
        <v>3283</v>
      </c>
      <c r="B34" s="3456" t="s">
        <v>3179</v>
      </c>
      <c r="C34" s="3456" t="s">
        <v>3180</v>
      </c>
      <c r="D34" s="3456">
        <v>66222.91</v>
      </c>
      <c r="E34" s="3456">
        <v>231780.19</v>
      </c>
      <c r="F34" s="3456" t="s">
        <v>3266</v>
      </c>
      <c r="G34" s="3456" t="s">
        <v>3182</v>
      </c>
      <c r="H34" s="3456" t="s">
        <v>3183</v>
      </c>
      <c r="I34" s="3456">
        <v>0</v>
      </c>
      <c r="J34" s="3456" t="s">
        <v>3284</v>
      </c>
      <c r="K34" s="3456" t="s">
        <v>3284</v>
      </c>
      <c r="L34" s="3456">
        <v>74683</v>
      </c>
      <c r="M34" s="3456">
        <v>74683</v>
      </c>
      <c r="N34" s="3456">
        <v>3222.15</v>
      </c>
      <c r="O34" s="3456">
        <v>0</v>
      </c>
      <c r="P34" s="3456" t="s">
        <v>3285</v>
      </c>
      <c r="Q34" s="3456" t="s">
        <v>3213</v>
      </c>
    </row>
    <row r="35" spans="1:17">
      <c r="A35" s="3456" t="s">
        <v>3286</v>
      </c>
      <c r="B35" s="3456" t="s">
        <v>3179</v>
      </c>
      <c r="C35" s="3456" t="s">
        <v>3180</v>
      </c>
      <c r="D35" s="3456">
        <v>30119.02</v>
      </c>
      <c r="E35" s="3456">
        <v>109934.42</v>
      </c>
      <c r="F35" s="3456" t="s">
        <v>3208</v>
      </c>
      <c r="G35" s="3456" t="s">
        <v>3182</v>
      </c>
      <c r="H35" s="3456" t="s">
        <v>3183</v>
      </c>
      <c r="I35" s="3456">
        <v>0</v>
      </c>
      <c r="J35" s="3456" t="s">
        <v>3284</v>
      </c>
      <c r="K35" s="3456" t="s">
        <v>3284</v>
      </c>
      <c r="L35" s="3456">
        <v>41158</v>
      </c>
      <c r="M35" s="3456">
        <v>41158</v>
      </c>
      <c r="N35" s="3456">
        <v>3743.87</v>
      </c>
      <c r="O35" s="3456">
        <v>0</v>
      </c>
      <c r="P35" s="3456" t="s">
        <v>3255</v>
      </c>
      <c r="Q35" s="3456" t="s">
        <v>3213</v>
      </c>
    </row>
    <row r="36" spans="1:17">
      <c r="A36" s="3456" t="s">
        <v>3287</v>
      </c>
      <c r="B36" s="3456" t="s">
        <v>3179</v>
      </c>
      <c r="C36" s="3456" t="s">
        <v>3180</v>
      </c>
      <c r="D36" s="3456">
        <v>57012.9</v>
      </c>
      <c r="E36" s="3456">
        <v>114025.8</v>
      </c>
      <c r="F36" s="3456" t="s">
        <v>3288</v>
      </c>
      <c r="G36" s="3456" t="s">
        <v>3182</v>
      </c>
      <c r="H36" s="3456" t="s">
        <v>3248</v>
      </c>
      <c r="I36" s="3456">
        <v>0</v>
      </c>
      <c r="J36" s="3456" t="s">
        <v>3289</v>
      </c>
      <c r="K36" s="3456" t="s">
        <v>3289</v>
      </c>
      <c r="L36" s="3456">
        <v>56726</v>
      </c>
      <c r="M36" s="3456">
        <v>79326</v>
      </c>
      <c r="N36" s="3456">
        <v>6956.85</v>
      </c>
      <c r="O36" s="3456">
        <v>39.840000000000003</v>
      </c>
      <c r="P36" s="3456" t="s">
        <v>3290</v>
      </c>
      <c r="Q36" s="3456" t="s">
        <v>3222</v>
      </c>
    </row>
    <row r="37" spans="1:17">
      <c r="A37" s="3456" t="s">
        <v>3291</v>
      </c>
      <c r="B37" s="3456" t="s">
        <v>3179</v>
      </c>
      <c r="C37" s="3456" t="s">
        <v>3180</v>
      </c>
      <c r="D37" s="3456">
        <v>55421.84</v>
      </c>
      <c r="E37" s="3456">
        <v>221687.36</v>
      </c>
      <c r="F37" s="3456" t="s">
        <v>3292</v>
      </c>
      <c r="G37" s="3456" t="s">
        <v>3182</v>
      </c>
      <c r="H37" s="3456" t="s">
        <v>3248</v>
      </c>
      <c r="I37" s="3456">
        <v>0</v>
      </c>
      <c r="J37" s="3456" t="s">
        <v>3293</v>
      </c>
      <c r="K37" s="3456" t="s">
        <v>3293</v>
      </c>
      <c r="L37" s="3456">
        <v>73993</v>
      </c>
      <c r="M37" s="3456">
        <v>73993</v>
      </c>
      <c r="N37" s="3456">
        <v>3337.72</v>
      </c>
      <c r="O37" s="3456">
        <v>0</v>
      </c>
      <c r="P37" s="3456" t="s">
        <v>3294</v>
      </c>
      <c r="Q37" s="3456" t="s">
        <v>3222</v>
      </c>
    </row>
    <row r="38" spans="1:17">
      <c r="A38" s="3456" t="s">
        <v>3295</v>
      </c>
      <c r="B38" s="3456" t="s">
        <v>3179</v>
      </c>
      <c r="C38" s="3456" t="s">
        <v>3180</v>
      </c>
      <c r="D38" s="3456">
        <v>77037.759999999995</v>
      </c>
      <c r="E38" s="3456">
        <v>192594.4</v>
      </c>
      <c r="F38" s="3456" t="s">
        <v>3247</v>
      </c>
      <c r="G38" s="3456" t="s">
        <v>3182</v>
      </c>
      <c r="H38" s="3456" t="s">
        <v>3258</v>
      </c>
      <c r="I38" s="3456">
        <v>0</v>
      </c>
      <c r="J38" s="3456" t="s">
        <v>3296</v>
      </c>
      <c r="K38" s="3456" t="s">
        <v>3296</v>
      </c>
      <c r="L38" s="3456">
        <v>82858</v>
      </c>
      <c r="M38" s="3456">
        <v>82858</v>
      </c>
      <c r="N38" s="3456">
        <v>4302.2</v>
      </c>
      <c r="O38" s="3456">
        <v>0</v>
      </c>
      <c r="P38" s="3456" t="s">
        <v>3297</v>
      </c>
      <c r="Q38" s="3456" t="s">
        <v>3213</v>
      </c>
    </row>
    <row r="39" spans="1:17">
      <c r="A39" s="3456" t="s">
        <v>3298</v>
      </c>
      <c r="B39" s="3456" t="s">
        <v>3179</v>
      </c>
      <c r="C39" s="3456" t="s">
        <v>3180</v>
      </c>
      <c r="D39" s="3456">
        <v>44259.71</v>
      </c>
      <c r="E39" s="3456">
        <v>110649.28</v>
      </c>
      <c r="F39" s="3456" t="s">
        <v>3247</v>
      </c>
      <c r="G39" s="3456" t="s">
        <v>3182</v>
      </c>
      <c r="H39" s="3456" t="s">
        <v>3248</v>
      </c>
      <c r="I39" s="3456">
        <v>0</v>
      </c>
      <c r="J39" s="3456" t="s">
        <v>3296</v>
      </c>
      <c r="K39" s="3456" t="s">
        <v>3296</v>
      </c>
      <c r="L39" s="3456">
        <v>45906</v>
      </c>
      <c r="M39" s="3456">
        <v>45906</v>
      </c>
      <c r="N39" s="3456">
        <v>4148.78</v>
      </c>
      <c r="O39" s="3456">
        <v>0</v>
      </c>
      <c r="P39" s="3456" t="s">
        <v>3299</v>
      </c>
      <c r="Q39" s="3456" t="s">
        <v>3213</v>
      </c>
    </row>
    <row r="40" spans="1:17">
      <c r="A40" s="3456" t="s">
        <v>3300</v>
      </c>
      <c r="B40" s="3456" t="s">
        <v>3179</v>
      </c>
      <c r="C40" s="3456" t="s">
        <v>3180</v>
      </c>
      <c r="D40" s="3456">
        <v>26428.55</v>
      </c>
      <c r="E40" s="3456">
        <v>79285.649999999994</v>
      </c>
      <c r="F40" s="3456" t="s">
        <v>3301</v>
      </c>
      <c r="G40" s="3456" t="s">
        <v>3182</v>
      </c>
      <c r="H40" s="3456" t="s">
        <v>3248</v>
      </c>
      <c r="I40" s="3456">
        <v>0</v>
      </c>
      <c r="J40" s="3456" t="s">
        <v>3296</v>
      </c>
      <c r="K40" s="3456" t="s">
        <v>3296</v>
      </c>
      <c r="L40" s="3456">
        <v>28706</v>
      </c>
      <c r="M40" s="3456">
        <v>28706</v>
      </c>
      <c r="N40" s="3456">
        <v>3620.58</v>
      </c>
      <c r="O40" s="3456">
        <v>0</v>
      </c>
      <c r="P40" s="3456" t="s">
        <v>3302</v>
      </c>
      <c r="Q40" s="3456" t="s">
        <v>3213</v>
      </c>
    </row>
    <row r="41" spans="1:17">
      <c r="A41" s="3456" t="s">
        <v>3303</v>
      </c>
      <c r="B41" s="3456" t="s">
        <v>3179</v>
      </c>
      <c r="C41" s="3456" t="s">
        <v>3180</v>
      </c>
      <c r="D41" s="3456">
        <v>108392.92</v>
      </c>
      <c r="E41" s="3456">
        <v>346857.34</v>
      </c>
      <c r="F41" s="3456" t="s">
        <v>3304</v>
      </c>
      <c r="G41" s="3456" t="s">
        <v>3182</v>
      </c>
      <c r="H41" s="3456" t="s">
        <v>3258</v>
      </c>
      <c r="I41" s="3456">
        <v>0</v>
      </c>
      <c r="J41" s="3456" t="s">
        <v>3305</v>
      </c>
      <c r="K41" s="3456" t="s">
        <v>3305</v>
      </c>
      <c r="L41" s="3456">
        <v>120179</v>
      </c>
      <c r="M41" s="3456">
        <v>120179</v>
      </c>
      <c r="N41" s="3456">
        <v>3464.8</v>
      </c>
      <c r="O41" s="3456">
        <v>0</v>
      </c>
      <c r="P41" s="3456" t="s">
        <v>3234</v>
      </c>
      <c r="Q41" s="3456" t="s">
        <v>3222</v>
      </c>
    </row>
    <row r="42" spans="1:17" s="3463" customFormat="1">
      <c r="A42" s="3462" t="s">
        <v>3306</v>
      </c>
      <c r="B42" s="3462" t="s">
        <v>3179</v>
      </c>
      <c r="C42" s="3462" t="s">
        <v>3180</v>
      </c>
      <c r="D42" s="3462">
        <v>41156.9</v>
      </c>
      <c r="E42" s="3462">
        <v>164627.6</v>
      </c>
      <c r="F42" s="3462" t="s">
        <v>3307</v>
      </c>
      <c r="G42" s="3462" t="s">
        <v>3182</v>
      </c>
      <c r="H42" s="3462" t="s">
        <v>3258</v>
      </c>
      <c r="I42" s="3462">
        <v>0</v>
      </c>
      <c r="J42" s="3462" t="s">
        <v>3305</v>
      </c>
      <c r="K42" s="3462" t="s">
        <v>3305</v>
      </c>
      <c r="L42" s="3462">
        <v>65875</v>
      </c>
      <c r="M42" s="3462">
        <v>65875</v>
      </c>
      <c r="N42" s="3462">
        <v>4001.46</v>
      </c>
      <c r="O42" s="3462">
        <v>0</v>
      </c>
      <c r="P42" s="3462" t="s">
        <v>3221</v>
      </c>
      <c r="Q42" s="3462" t="s">
        <v>3213</v>
      </c>
    </row>
    <row r="43" spans="1:17">
      <c r="A43" s="3456" t="s">
        <v>3308</v>
      </c>
      <c r="B43" s="3456" t="s">
        <v>3179</v>
      </c>
      <c r="C43" s="3456" t="s">
        <v>3180</v>
      </c>
      <c r="D43" s="3456">
        <v>48677.06</v>
      </c>
      <c r="E43" s="3456">
        <v>97354.12</v>
      </c>
      <c r="F43" s="3456" t="s">
        <v>3309</v>
      </c>
      <c r="G43" s="3456" t="s">
        <v>3182</v>
      </c>
      <c r="H43" s="3456" t="s">
        <v>3248</v>
      </c>
      <c r="I43" s="3456">
        <v>0</v>
      </c>
      <c r="J43" s="3456" t="s">
        <v>3305</v>
      </c>
      <c r="K43" s="3456" t="s">
        <v>3305</v>
      </c>
      <c r="L43" s="3456">
        <v>48322</v>
      </c>
      <c r="M43" s="3456">
        <v>59522</v>
      </c>
      <c r="N43" s="3456">
        <v>6113.97</v>
      </c>
      <c r="O43" s="3456">
        <v>23.18</v>
      </c>
      <c r="P43" s="3456" t="s">
        <v>3310</v>
      </c>
      <c r="Q43" s="3456" t="s">
        <v>3213</v>
      </c>
    </row>
    <row r="44" spans="1:17">
      <c r="A44" s="3456" t="s">
        <v>3311</v>
      </c>
      <c r="B44" s="3456" t="s">
        <v>3179</v>
      </c>
      <c r="C44" s="3456" t="s">
        <v>3180</v>
      </c>
      <c r="D44" s="3456">
        <v>33407.620000000003</v>
      </c>
      <c r="E44" s="3456">
        <v>116925</v>
      </c>
      <c r="F44" s="3456" t="s">
        <v>3312</v>
      </c>
      <c r="G44" s="3456" t="s">
        <v>3182</v>
      </c>
      <c r="H44" s="3456" t="s">
        <v>3183</v>
      </c>
      <c r="I44" s="3456">
        <v>0</v>
      </c>
      <c r="J44" s="3456" t="s">
        <v>3313</v>
      </c>
      <c r="K44" s="3456" t="s">
        <v>3313</v>
      </c>
      <c r="L44" s="3456">
        <v>40618</v>
      </c>
      <c r="M44" s="3456">
        <v>40618</v>
      </c>
      <c r="N44" s="3456">
        <v>3473.85</v>
      </c>
      <c r="O44" s="3456">
        <v>0</v>
      </c>
      <c r="P44" s="3456" t="s">
        <v>3314</v>
      </c>
      <c r="Q44" s="3456" t="s">
        <v>3213</v>
      </c>
    </row>
    <row r="45" spans="1:17">
      <c r="A45" s="3456" t="s">
        <v>3315</v>
      </c>
      <c r="B45" s="3456" t="s">
        <v>3179</v>
      </c>
      <c r="C45" s="3456" t="s">
        <v>3180</v>
      </c>
      <c r="D45" s="3456">
        <v>45512.81</v>
      </c>
      <c r="E45" s="3456">
        <v>77371.78</v>
      </c>
      <c r="F45" s="3456" t="s">
        <v>3316</v>
      </c>
      <c r="G45" s="3456" t="s">
        <v>3182</v>
      </c>
      <c r="H45" s="3456" t="s">
        <v>3248</v>
      </c>
      <c r="I45" s="3456">
        <v>0</v>
      </c>
      <c r="J45" s="3456" t="s">
        <v>3317</v>
      </c>
      <c r="K45" s="3456" t="s">
        <v>3317</v>
      </c>
      <c r="L45" s="3456">
        <v>44514</v>
      </c>
      <c r="M45" s="3456">
        <v>44514</v>
      </c>
      <c r="N45" s="3456">
        <v>5753.26</v>
      </c>
      <c r="O45" s="3456">
        <v>0</v>
      </c>
      <c r="P45" s="3456" t="s">
        <v>3318</v>
      </c>
      <c r="Q45" s="3456" t="s">
        <v>3213</v>
      </c>
    </row>
    <row r="46" spans="1:17">
      <c r="A46" s="3456" t="s">
        <v>3319</v>
      </c>
      <c r="B46" s="3456" t="s">
        <v>3179</v>
      </c>
      <c r="C46" s="3456" t="s">
        <v>3180</v>
      </c>
      <c r="D46" s="3456">
        <v>86324.61</v>
      </c>
      <c r="E46" s="3456">
        <v>310768.59999999998</v>
      </c>
      <c r="F46" s="3456" t="s">
        <v>3252</v>
      </c>
      <c r="G46" s="3456" t="s">
        <v>3182</v>
      </c>
      <c r="H46" s="3456" t="s">
        <v>3248</v>
      </c>
      <c r="I46" s="3456">
        <v>0</v>
      </c>
      <c r="J46" s="3456" t="s">
        <v>3317</v>
      </c>
      <c r="K46" s="3456" t="s">
        <v>3317</v>
      </c>
      <c r="L46" s="3456">
        <v>95435</v>
      </c>
      <c r="M46" s="3456">
        <v>95435</v>
      </c>
      <c r="N46" s="3456">
        <v>3070.93</v>
      </c>
      <c r="O46" s="3456">
        <v>0</v>
      </c>
      <c r="P46" s="3456" t="s">
        <v>3320</v>
      </c>
      <c r="Q46" s="3456" t="s">
        <v>3222</v>
      </c>
    </row>
    <row r="47" spans="1:17">
      <c r="A47" s="3456" t="s">
        <v>3321</v>
      </c>
      <c r="B47" s="3456" t="s">
        <v>3179</v>
      </c>
      <c r="C47" s="3456" t="s">
        <v>3180</v>
      </c>
      <c r="D47" s="3456">
        <v>95925.87</v>
      </c>
      <c r="E47" s="3456">
        <v>345333.13</v>
      </c>
      <c r="F47" s="3456" t="s">
        <v>3252</v>
      </c>
      <c r="G47" s="3456" t="s">
        <v>3182</v>
      </c>
      <c r="H47" s="3456" t="s">
        <v>3248</v>
      </c>
      <c r="I47" s="3456">
        <v>0</v>
      </c>
      <c r="J47" s="3456" t="s">
        <v>3317</v>
      </c>
      <c r="K47" s="3456" t="s">
        <v>3317</v>
      </c>
      <c r="L47" s="3456">
        <v>106256</v>
      </c>
      <c r="M47" s="3456">
        <v>106256</v>
      </c>
      <c r="N47" s="3456">
        <v>3076.91</v>
      </c>
      <c r="O47" s="3456">
        <v>0</v>
      </c>
      <c r="P47" s="3456" t="s">
        <v>3322</v>
      </c>
      <c r="Q47" s="3456" t="s">
        <v>3213</v>
      </c>
    </row>
    <row r="48" spans="1:17">
      <c r="A48" s="3456" t="s">
        <v>3323</v>
      </c>
      <c r="B48" s="3456" t="s">
        <v>3179</v>
      </c>
      <c r="C48" s="3456" t="s">
        <v>3180</v>
      </c>
      <c r="D48" s="3456">
        <v>73618.009999999995</v>
      </c>
      <c r="E48" s="3456">
        <v>294472.03999999998</v>
      </c>
      <c r="F48" s="3456" t="s">
        <v>3307</v>
      </c>
      <c r="G48" s="3456" t="s">
        <v>3182</v>
      </c>
      <c r="H48" s="3456" t="s">
        <v>3248</v>
      </c>
      <c r="I48" s="3456">
        <v>0</v>
      </c>
      <c r="J48" s="3456" t="s">
        <v>3317</v>
      </c>
      <c r="K48" s="3456" t="s">
        <v>3317</v>
      </c>
      <c r="L48" s="3456">
        <v>95213</v>
      </c>
      <c r="M48" s="3456">
        <v>95213</v>
      </c>
      <c r="N48" s="3456">
        <v>3233.35</v>
      </c>
      <c r="O48" s="3456">
        <v>0</v>
      </c>
      <c r="P48" s="3456" t="s">
        <v>3261</v>
      </c>
      <c r="Q48" s="3456" t="s">
        <v>3213</v>
      </c>
    </row>
    <row r="49" spans="1:17">
      <c r="A49" s="3456" t="s">
        <v>3324</v>
      </c>
      <c r="B49" s="3456" t="s">
        <v>3179</v>
      </c>
      <c r="C49" s="3456" t="s">
        <v>3180</v>
      </c>
      <c r="D49" s="3456">
        <v>26158.28</v>
      </c>
      <c r="E49" s="3456">
        <v>52316.56</v>
      </c>
      <c r="F49" s="3456" t="s">
        <v>3288</v>
      </c>
      <c r="G49" s="3456" t="s">
        <v>3182</v>
      </c>
      <c r="H49" s="3456" t="s">
        <v>3183</v>
      </c>
      <c r="I49" s="3456">
        <v>0</v>
      </c>
      <c r="J49" s="3456" t="s">
        <v>3325</v>
      </c>
      <c r="K49" s="3456" t="s">
        <v>3325</v>
      </c>
      <c r="L49" s="3456">
        <v>27924</v>
      </c>
      <c r="M49" s="3456">
        <v>27924</v>
      </c>
      <c r="N49" s="3456">
        <v>5337.51</v>
      </c>
      <c r="O49" s="3456">
        <v>0</v>
      </c>
      <c r="P49" s="3456" t="s">
        <v>3326</v>
      </c>
      <c r="Q49" s="3456" t="s">
        <v>3228</v>
      </c>
    </row>
    <row r="50" spans="1:17">
      <c r="A50" s="3456" t="s">
        <v>3327</v>
      </c>
      <c r="B50" s="3456" t="s">
        <v>3179</v>
      </c>
      <c r="C50" s="3456" t="s">
        <v>3180</v>
      </c>
      <c r="D50" s="3456">
        <v>55924.23</v>
      </c>
      <c r="E50" s="3456">
        <v>195734.81</v>
      </c>
      <c r="F50" s="3456" t="s">
        <v>3266</v>
      </c>
      <c r="G50" s="3456" t="s">
        <v>3182</v>
      </c>
      <c r="H50" s="3456" t="s">
        <v>3183</v>
      </c>
      <c r="I50" s="3456">
        <v>0</v>
      </c>
      <c r="J50" s="3456" t="s">
        <v>3328</v>
      </c>
      <c r="K50" s="3456" t="s">
        <v>3328</v>
      </c>
      <c r="L50" s="3456">
        <v>72168</v>
      </c>
      <c r="M50" s="3456">
        <v>72168</v>
      </c>
      <c r="N50" s="3456">
        <v>3687.03</v>
      </c>
      <c r="O50" s="3456">
        <v>0</v>
      </c>
      <c r="P50" s="3456" t="s">
        <v>3267</v>
      </c>
      <c r="Q50" s="3456" t="s">
        <v>3213</v>
      </c>
    </row>
    <row r="51" spans="1:17">
      <c r="A51" s="3456" t="s">
        <v>3329</v>
      </c>
      <c r="B51" s="3456" t="s">
        <v>3179</v>
      </c>
      <c r="C51" s="3456" t="s">
        <v>3180</v>
      </c>
      <c r="D51" s="3456">
        <v>50365.69</v>
      </c>
      <c r="E51" s="3456">
        <v>176278</v>
      </c>
      <c r="F51" s="3456" t="s">
        <v>3266</v>
      </c>
      <c r="G51" s="3456" t="s">
        <v>3182</v>
      </c>
      <c r="H51" s="3456" t="s">
        <v>3183</v>
      </c>
      <c r="I51" s="3456">
        <v>0</v>
      </c>
      <c r="J51" s="3456" t="s">
        <v>3330</v>
      </c>
      <c r="K51" s="3456" t="s">
        <v>3330</v>
      </c>
      <c r="L51" s="3456">
        <v>64621</v>
      </c>
      <c r="M51" s="3456">
        <v>64621</v>
      </c>
      <c r="N51" s="3456">
        <v>3665.86</v>
      </c>
      <c r="O51" s="3456">
        <v>0</v>
      </c>
      <c r="P51" s="3456" t="s">
        <v>3267</v>
      </c>
      <c r="Q51" s="3456" t="s">
        <v>3213</v>
      </c>
    </row>
    <row r="52" spans="1:17">
      <c r="A52" s="3458" t="s">
        <v>3331</v>
      </c>
      <c r="B52" s="3458" t="s">
        <v>3179</v>
      </c>
      <c r="C52" s="3458" t="s">
        <v>3180</v>
      </c>
      <c r="D52" s="3458">
        <v>62169.24</v>
      </c>
      <c r="E52" s="3458">
        <v>124338.48</v>
      </c>
      <c r="F52" s="3458" t="s">
        <v>3288</v>
      </c>
      <c r="G52" s="3458" t="s">
        <v>3182</v>
      </c>
      <c r="H52" s="3458" t="s">
        <v>3248</v>
      </c>
      <c r="I52" s="3458">
        <v>0</v>
      </c>
      <c r="J52" s="3458" t="s">
        <v>3332</v>
      </c>
      <c r="K52" s="3458" t="s">
        <v>3332</v>
      </c>
      <c r="L52" s="3458">
        <v>66062</v>
      </c>
      <c r="M52" s="3458">
        <v>66062</v>
      </c>
      <c r="N52" s="3458">
        <v>5313.08</v>
      </c>
      <c r="O52" s="3458">
        <v>0</v>
      </c>
      <c r="P52" s="3458" t="s">
        <v>3333</v>
      </c>
      <c r="Q52" s="3458" t="s">
        <v>3228</v>
      </c>
    </row>
    <row r="53" spans="1:17">
      <c r="A53" s="3458" t="s">
        <v>3334</v>
      </c>
      <c r="B53" s="3458" t="s">
        <v>3179</v>
      </c>
      <c r="C53" s="3458" t="s">
        <v>3180</v>
      </c>
      <c r="D53" s="3458">
        <v>30733.94</v>
      </c>
      <c r="E53" s="3458">
        <v>122935.76</v>
      </c>
      <c r="F53" s="3458" t="s">
        <v>3335</v>
      </c>
      <c r="G53" s="3458" t="s">
        <v>3182</v>
      </c>
      <c r="H53" s="3458" t="s">
        <v>3248</v>
      </c>
      <c r="I53" s="3458">
        <v>0</v>
      </c>
      <c r="J53" s="3458" t="s">
        <v>3332</v>
      </c>
      <c r="K53" s="3458" t="s">
        <v>3332</v>
      </c>
      <c r="L53" s="3458">
        <v>42939</v>
      </c>
      <c r="M53" s="3458">
        <v>42939</v>
      </c>
      <c r="N53" s="3458">
        <v>3492.8</v>
      </c>
      <c r="O53" s="3458">
        <v>0</v>
      </c>
      <c r="P53" s="3458" t="s">
        <v>3245</v>
      </c>
      <c r="Q53" s="3458" t="s">
        <v>3228</v>
      </c>
    </row>
    <row r="54" spans="1:17">
      <c r="A54" s="3458" t="s">
        <v>3336</v>
      </c>
      <c r="B54" s="3458" t="s">
        <v>3179</v>
      </c>
      <c r="C54" s="3458" t="s">
        <v>3180</v>
      </c>
      <c r="D54" s="3458">
        <v>88139.75</v>
      </c>
      <c r="E54" s="3458">
        <v>176279.5</v>
      </c>
      <c r="F54" s="3458" t="s">
        <v>3337</v>
      </c>
      <c r="G54" s="3458" t="s">
        <v>3182</v>
      </c>
      <c r="H54" s="3458" t="s">
        <v>3248</v>
      </c>
      <c r="I54" s="3458">
        <v>0</v>
      </c>
      <c r="J54" s="3458" t="s">
        <v>3338</v>
      </c>
      <c r="K54" s="3458" t="s">
        <v>3338</v>
      </c>
      <c r="L54" s="3458">
        <v>85537</v>
      </c>
      <c r="M54" s="3458">
        <v>92737</v>
      </c>
      <c r="N54" s="3458">
        <v>5260.79</v>
      </c>
      <c r="O54" s="3458">
        <v>8.42</v>
      </c>
      <c r="P54" s="3458" t="s">
        <v>3339</v>
      </c>
      <c r="Q54" s="3458" t="s">
        <v>3213</v>
      </c>
    </row>
    <row r="55" spans="1:17">
      <c r="A55" s="3458" t="s">
        <v>3340</v>
      </c>
      <c r="B55" s="3458" t="s">
        <v>3179</v>
      </c>
      <c r="C55" s="3458" t="s">
        <v>3180</v>
      </c>
      <c r="D55" s="3458">
        <v>68307.710000000006</v>
      </c>
      <c r="E55" s="3458">
        <v>170769.28</v>
      </c>
      <c r="F55" s="3458" t="s">
        <v>3247</v>
      </c>
      <c r="G55" s="3458" t="s">
        <v>3182</v>
      </c>
      <c r="H55" s="3458" t="s">
        <v>3341</v>
      </c>
      <c r="I55" s="3458">
        <v>0</v>
      </c>
      <c r="J55" s="3458" t="s">
        <v>3342</v>
      </c>
      <c r="K55" s="3458" t="s">
        <v>3342</v>
      </c>
      <c r="L55" s="3458">
        <v>69564</v>
      </c>
      <c r="M55" s="3458">
        <v>69564</v>
      </c>
      <c r="N55" s="3458">
        <v>4073.57</v>
      </c>
      <c r="O55" s="3458">
        <v>0</v>
      </c>
      <c r="P55" s="3458" t="s">
        <v>3343</v>
      </c>
      <c r="Q55" s="3458" t="s">
        <v>3222</v>
      </c>
    </row>
    <row r="56" spans="1:17">
      <c r="A56" s="3458" t="s">
        <v>3344</v>
      </c>
      <c r="B56" s="3458" t="s">
        <v>3179</v>
      </c>
      <c r="C56" s="3458" t="s">
        <v>3180</v>
      </c>
      <c r="D56" s="3458">
        <v>88813.6</v>
      </c>
      <c r="E56" s="3458">
        <v>355254.4</v>
      </c>
      <c r="F56" s="3458" t="s">
        <v>3307</v>
      </c>
      <c r="G56" s="3458" t="s">
        <v>3182</v>
      </c>
      <c r="H56" s="3458" t="s">
        <v>3345</v>
      </c>
      <c r="I56" s="3458">
        <v>0</v>
      </c>
      <c r="J56" s="3458" t="s">
        <v>3342</v>
      </c>
      <c r="K56" s="3458" t="s">
        <v>3342</v>
      </c>
      <c r="L56" s="3458">
        <v>127681</v>
      </c>
      <c r="M56" s="3458">
        <v>127681</v>
      </c>
      <c r="N56" s="3458">
        <v>3594.07</v>
      </c>
      <c r="O56" s="3458">
        <v>0</v>
      </c>
      <c r="P56" s="3458" t="s">
        <v>3346</v>
      </c>
      <c r="Q56" s="3458" t="s">
        <v>3228</v>
      </c>
    </row>
    <row r="57" spans="1:17">
      <c r="A57" s="3458" t="s">
        <v>3347</v>
      </c>
      <c r="B57" s="3458" t="s">
        <v>3179</v>
      </c>
      <c r="C57" s="3458" t="s">
        <v>3180</v>
      </c>
      <c r="D57" s="3458">
        <v>45210.03</v>
      </c>
      <c r="E57" s="3458">
        <v>135630.09</v>
      </c>
      <c r="F57" s="3458" t="s">
        <v>3348</v>
      </c>
      <c r="G57" s="3458" t="s">
        <v>3182</v>
      </c>
      <c r="H57" s="3458" t="s">
        <v>3349</v>
      </c>
      <c r="I57" s="3458">
        <v>0</v>
      </c>
      <c r="J57" s="3458" t="s">
        <v>3350</v>
      </c>
      <c r="K57" s="3458" t="s">
        <v>3350</v>
      </c>
      <c r="L57" s="3458">
        <v>56657</v>
      </c>
      <c r="M57" s="3458">
        <v>56657</v>
      </c>
      <c r="N57" s="3458">
        <v>4177.32</v>
      </c>
      <c r="O57" s="3458">
        <v>0</v>
      </c>
      <c r="P57" s="3458" t="s">
        <v>3318</v>
      </c>
      <c r="Q57" s="3458" t="s">
        <v>3213</v>
      </c>
    </row>
    <row r="58" spans="1:17">
      <c r="A58" s="3458" t="s">
        <v>3351</v>
      </c>
      <c r="B58" s="3458" t="s">
        <v>3179</v>
      </c>
      <c r="C58" s="3458" t="s">
        <v>3180</v>
      </c>
      <c r="D58" s="3458">
        <v>52644.37</v>
      </c>
      <c r="E58" s="3458">
        <v>210577.48</v>
      </c>
      <c r="F58" s="3458" t="s">
        <v>3335</v>
      </c>
      <c r="G58" s="3458" t="s">
        <v>3182</v>
      </c>
      <c r="H58" s="3458" t="s">
        <v>3352</v>
      </c>
      <c r="I58" s="3458">
        <v>0</v>
      </c>
      <c r="J58" s="3458" t="s">
        <v>3353</v>
      </c>
      <c r="K58" s="3458" t="s">
        <v>3353</v>
      </c>
      <c r="L58" s="3458">
        <v>69279</v>
      </c>
      <c r="M58" s="3458">
        <v>69279</v>
      </c>
      <c r="N58" s="3458">
        <v>3289.95</v>
      </c>
      <c r="O58" s="3458">
        <v>0</v>
      </c>
      <c r="P58" s="3458" t="s">
        <v>3221</v>
      </c>
      <c r="Q58" s="3458" t="s">
        <v>3222</v>
      </c>
    </row>
    <row r="59" spans="1:17">
      <c r="A59" s="3458" t="s">
        <v>3354</v>
      </c>
      <c r="B59" s="3458" t="s">
        <v>3179</v>
      </c>
      <c r="C59" s="3458" t="s">
        <v>3180</v>
      </c>
      <c r="D59" s="3458">
        <v>62142.31</v>
      </c>
      <c r="E59" s="3458">
        <v>223712.32</v>
      </c>
      <c r="F59" s="3458" t="s">
        <v>3220</v>
      </c>
      <c r="G59" s="3458" t="s">
        <v>3182</v>
      </c>
      <c r="H59" s="3458" t="s">
        <v>3352</v>
      </c>
      <c r="I59" s="3458">
        <v>0</v>
      </c>
      <c r="J59" s="3458" t="s">
        <v>3353</v>
      </c>
      <c r="K59" s="3458" t="s">
        <v>3353</v>
      </c>
      <c r="L59" s="3458">
        <v>79291</v>
      </c>
      <c r="M59" s="3458">
        <v>79291</v>
      </c>
      <c r="N59" s="3458">
        <v>3544.33</v>
      </c>
      <c r="O59" s="3458">
        <v>0</v>
      </c>
      <c r="P59" s="3458" t="s">
        <v>3221</v>
      </c>
      <c r="Q59" s="3458" t="s">
        <v>3222</v>
      </c>
    </row>
    <row r="60" spans="1:17">
      <c r="A60" s="3458" t="s">
        <v>3355</v>
      </c>
      <c r="B60" s="3458" t="s">
        <v>3179</v>
      </c>
      <c r="C60" s="3458" t="s">
        <v>3180</v>
      </c>
      <c r="D60" s="3458">
        <v>32188.91</v>
      </c>
      <c r="E60" s="3458">
        <v>96566.73</v>
      </c>
      <c r="F60" s="3458" t="s">
        <v>3356</v>
      </c>
      <c r="G60" s="3458" t="s">
        <v>3182</v>
      </c>
      <c r="H60" s="3458" t="s">
        <v>3183</v>
      </c>
      <c r="I60" s="3458">
        <v>0</v>
      </c>
      <c r="J60" s="3458" t="s">
        <v>3357</v>
      </c>
      <c r="K60" s="3458" t="s">
        <v>3357</v>
      </c>
      <c r="L60" s="3458">
        <v>35685</v>
      </c>
      <c r="M60" s="3458">
        <v>56166</v>
      </c>
      <c r="N60" s="3458">
        <v>5816.29</v>
      </c>
      <c r="O60" s="3458">
        <v>57.39</v>
      </c>
      <c r="P60" s="3458" t="s">
        <v>3358</v>
      </c>
      <c r="Q60" s="3458" t="s">
        <v>3213</v>
      </c>
    </row>
    <row r="61" spans="1:17" s="3461" customFormat="1">
      <c r="A61" s="3460" t="s">
        <v>3359</v>
      </c>
      <c r="B61" s="3460" t="s">
        <v>3179</v>
      </c>
      <c r="C61" s="3460" t="s">
        <v>3180</v>
      </c>
      <c r="D61" s="3460">
        <v>44426.7</v>
      </c>
      <c r="E61" s="3460">
        <v>186592.14</v>
      </c>
      <c r="F61" s="3460" t="s">
        <v>3241</v>
      </c>
      <c r="G61" s="3460" t="s">
        <v>3182</v>
      </c>
      <c r="H61" s="3460" t="s">
        <v>3183</v>
      </c>
      <c r="I61" s="3460">
        <v>0</v>
      </c>
      <c r="J61" s="3460" t="s">
        <v>3360</v>
      </c>
      <c r="K61" s="3460" t="s">
        <v>3360</v>
      </c>
      <c r="L61" s="3460">
        <v>66717</v>
      </c>
      <c r="M61" s="3460">
        <v>66717</v>
      </c>
      <c r="N61" s="3460">
        <v>3575.55</v>
      </c>
      <c r="O61" s="3460">
        <v>0</v>
      </c>
      <c r="P61" s="3460" t="s">
        <v>3243</v>
      </c>
      <c r="Q61" s="3460" t="s">
        <v>3228</v>
      </c>
    </row>
    <row r="62" spans="1:17">
      <c r="A62" s="3458" t="s">
        <v>3361</v>
      </c>
      <c r="B62" s="3458" t="s">
        <v>3179</v>
      </c>
      <c r="C62" s="3458" t="s">
        <v>3180</v>
      </c>
      <c r="D62" s="3458">
        <v>28880.66</v>
      </c>
      <c r="E62" s="3458">
        <v>115522.64</v>
      </c>
      <c r="F62" s="3458" t="s">
        <v>3335</v>
      </c>
      <c r="G62" s="3458" t="s">
        <v>3182</v>
      </c>
      <c r="H62" s="3458" t="s">
        <v>3183</v>
      </c>
      <c r="I62" s="3458">
        <v>0</v>
      </c>
      <c r="J62" s="3458" t="s">
        <v>3360</v>
      </c>
      <c r="K62" s="3458" t="s">
        <v>3360</v>
      </c>
      <c r="L62" s="3458">
        <v>42717</v>
      </c>
      <c r="M62" s="3458">
        <v>42717</v>
      </c>
      <c r="N62" s="3458">
        <v>3697.72</v>
      </c>
      <c r="O62" s="3458">
        <v>0</v>
      </c>
      <c r="P62" s="3458" t="s">
        <v>3243</v>
      </c>
      <c r="Q62" s="3458" t="s">
        <v>3228</v>
      </c>
    </row>
    <row r="63" spans="1:17" s="3461" customFormat="1">
      <c r="A63" s="3460" t="s">
        <v>3362</v>
      </c>
      <c r="B63" s="3460" t="s">
        <v>3179</v>
      </c>
      <c r="C63" s="3460" t="s">
        <v>3180</v>
      </c>
      <c r="D63" s="3460">
        <v>16694.240000000002</v>
      </c>
      <c r="E63" s="3460">
        <v>70115.81</v>
      </c>
      <c r="F63" s="3460" t="s">
        <v>3241</v>
      </c>
      <c r="G63" s="3460" t="s">
        <v>3182</v>
      </c>
      <c r="H63" s="3460" t="s">
        <v>3183</v>
      </c>
      <c r="I63" s="3460">
        <v>0</v>
      </c>
      <c r="J63" s="3460" t="s">
        <v>3360</v>
      </c>
      <c r="K63" s="3460" t="s">
        <v>3360</v>
      </c>
      <c r="L63" s="3460">
        <v>25122</v>
      </c>
      <c r="M63" s="3460">
        <v>25122</v>
      </c>
      <c r="N63" s="3460">
        <v>3582.93</v>
      </c>
      <c r="O63" s="3460">
        <v>0</v>
      </c>
      <c r="P63" s="3460" t="s">
        <v>3243</v>
      </c>
      <c r="Q63" s="3460" t="s">
        <v>3213</v>
      </c>
    </row>
    <row r="64" spans="1:17">
      <c r="A64" s="3458" t="s">
        <v>3363</v>
      </c>
      <c r="B64" s="3458" t="s">
        <v>3179</v>
      </c>
      <c r="C64" s="3458" t="s">
        <v>3180</v>
      </c>
      <c r="D64" s="3458">
        <v>43753.34</v>
      </c>
      <c r="E64" s="3458">
        <v>196890.03</v>
      </c>
      <c r="F64" s="3458" t="s">
        <v>3364</v>
      </c>
      <c r="G64" s="3458" t="s">
        <v>3182</v>
      </c>
      <c r="H64" s="3458" t="s">
        <v>3365</v>
      </c>
      <c r="I64" s="3458">
        <v>0</v>
      </c>
      <c r="J64" s="3458" t="s">
        <v>3366</v>
      </c>
      <c r="K64" s="3458" t="s">
        <v>3366</v>
      </c>
      <c r="L64" s="3458">
        <v>54002</v>
      </c>
      <c r="M64" s="3458">
        <v>54002</v>
      </c>
      <c r="N64" s="3458">
        <v>2742.75</v>
      </c>
      <c r="O64" s="3458">
        <v>0</v>
      </c>
      <c r="P64" s="3458" t="s">
        <v>3238</v>
      </c>
      <c r="Q64" s="3458" t="s">
        <v>3213</v>
      </c>
    </row>
    <row r="65" spans="1:17">
      <c r="A65" s="3458" t="s">
        <v>3367</v>
      </c>
      <c r="B65" s="3458" t="s">
        <v>3179</v>
      </c>
      <c r="C65" s="3458" t="s">
        <v>3180</v>
      </c>
      <c r="D65" s="3458">
        <v>70406.25</v>
      </c>
      <c r="E65" s="3458">
        <v>295706.25</v>
      </c>
      <c r="F65" s="3458" t="s">
        <v>3241</v>
      </c>
      <c r="G65" s="3458" t="s">
        <v>3182</v>
      </c>
      <c r="H65" s="3458" t="s">
        <v>3368</v>
      </c>
      <c r="I65" s="3458">
        <v>0</v>
      </c>
      <c r="J65" s="3458" t="s">
        <v>3369</v>
      </c>
      <c r="K65" s="3458" t="s">
        <v>3369</v>
      </c>
      <c r="L65" s="3458">
        <v>121455</v>
      </c>
      <c r="M65" s="3458">
        <v>121455</v>
      </c>
      <c r="N65" s="3458">
        <v>4107.29</v>
      </c>
      <c r="O65" s="3458">
        <v>0</v>
      </c>
      <c r="P65" s="3458" t="s">
        <v>3370</v>
      </c>
      <c r="Q65" s="3458" t="s">
        <v>3228</v>
      </c>
    </row>
    <row r="66" spans="1:17">
      <c r="A66" s="3458" t="s">
        <v>3371</v>
      </c>
      <c r="B66" s="3458" t="s">
        <v>3179</v>
      </c>
      <c r="C66" s="3458" t="s">
        <v>3180</v>
      </c>
      <c r="D66" s="3458">
        <v>63143.61</v>
      </c>
      <c r="E66" s="3458">
        <v>126287.22</v>
      </c>
      <c r="F66" s="3458" t="s">
        <v>3372</v>
      </c>
      <c r="G66" s="3458" t="s">
        <v>3182</v>
      </c>
      <c r="H66" s="3458" t="s">
        <v>3183</v>
      </c>
      <c r="I66" s="3458">
        <v>0</v>
      </c>
      <c r="J66" s="3458" t="s">
        <v>3373</v>
      </c>
      <c r="K66" s="3458" t="s">
        <v>3373</v>
      </c>
      <c r="L66" s="3458">
        <v>64478</v>
      </c>
      <c r="M66" s="3458">
        <v>64478</v>
      </c>
      <c r="N66" s="3458">
        <v>5105.66</v>
      </c>
      <c r="O66" s="3458">
        <v>0</v>
      </c>
      <c r="P66" s="3458" t="s">
        <v>3333</v>
      </c>
      <c r="Q66" s="3458" t="s">
        <v>3228</v>
      </c>
    </row>
    <row r="67" spans="1:17">
      <c r="A67" s="3458" t="s">
        <v>3374</v>
      </c>
      <c r="B67" s="3458" t="s">
        <v>3179</v>
      </c>
      <c r="C67" s="3458" t="s">
        <v>3180</v>
      </c>
      <c r="D67" s="3458">
        <v>20210.05</v>
      </c>
      <c r="E67" s="3458">
        <v>50525.13</v>
      </c>
      <c r="F67" s="3458" t="s">
        <v>3375</v>
      </c>
      <c r="G67" s="3458" t="s">
        <v>3182</v>
      </c>
      <c r="H67" s="3458" t="s">
        <v>3376</v>
      </c>
      <c r="I67" s="3458">
        <v>0</v>
      </c>
      <c r="J67" s="3458" t="s">
        <v>3377</v>
      </c>
      <c r="K67" s="3458" t="s">
        <v>3377</v>
      </c>
      <c r="L67" s="3458">
        <v>20937</v>
      </c>
      <c r="M67" s="3458">
        <v>20937</v>
      </c>
      <c r="N67" s="3458">
        <v>4143.88</v>
      </c>
      <c r="O67" s="3458">
        <v>0</v>
      </c>
      <c r="P67" s="3458" t="s">
        <v>3378</v>
      </c>
      <c r="Q67" s="3458" t="s">
        <v>3213</v>
      </c>
    </row>
    <row r="68" spans="1:17">
      <c r="A68" s="3458" t="s">
        <v>3379</v>
      </c>
      <c r="B68" s="3458" t="s">
        <v>3179</v>
      </c>
      <c r="C68" s="3458" t="s">
        <v>3180</v>
      </c>
      <c r="D68" s="3458">
        <v>13091.5</v>
      </c>
      <c r="E68" s="3458">
        <v>52366</v>
      </c>
      <c r="F68" s="3458" t="s">
        <v>3335</v>
      </c>
      <c r="G68" s="3458" t="s">
        <v>3182</v>
      </c>
      <c r="H68" s="3458" t="s">
        <v>3248</v>
      </c>
      <c r="I68" s="3458">
        <v>0</v>
      </c>
      <c r="J68" s="3458" t="s">
        <v>3380</v>
      </c>
      <c r="K68" s="3458" t="s">
        <v>3380</v>
      </c>
      <c r="L68" s="3458">
        <v>17152</v>
      </c>
      <c r="M68" s="3458">
        <v>17152</v>
      </c>
      <c r="N68" s="3458">
        <v>3275.41</v>
      </c>
      <c r="O68" s="3458">
        <v>0</v>
      </c>
      <c r="P68" s="3458" t="s">
        <v>3221</v>
      </c>
      <c r="Q68" s="3458" t="s">
        <v>3222</v>
      </c>
    </row>
    <row r="75" spans="1:17" ht="28.5">
      <c r="A75" s="3459" t="s">
        <v>3382</v>
      </c>
    </row>
    <row r="140" spans="1:1" ht="30">
      <c r="A140" s="3457" t="s">
        <v>3381</v>
      </c>
    </row>
    <row r="196" spans="1:1" ht="28.5">
      <c r="A196" s="3459" t="s">
        <v>3383</v>
      </c>
    </row>
    <row r="250" spans="1:1" ht="28.5">
      <c r="A250" s="3459" t="s">
        <v>3384</v>
      </c>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36:H139"/>
  <sheetViews>
    <sheetView topLeftCell="A115" workbookViewId="0">
      <selection activeCell="E140" sqref="E140"/>
    </sheetView>
  </sheetViews>
  <sheetFormatPr defaultRowHeight="13.5"/>
  <sheetData>
    <row r="136" spans="4:8">
      <c r="E136" s="3153" t="s">
        <v>3412</v>
      </c>
      <c r="F136" s="3153" t="s">
        <v>3413</v>
      </c>
      <c r="G136" s="3153" t="s">
        <v>3414</v>
      </c>
      <c r="H136" s="3153" t="s">
        <v>3417</v>
      </c>
    </row>
    <row r="137" spans="4:8">
      <c r="D137" s="3153" t="s">
        <v>3411</v>
      </c>
      <c r="E137">
        <v>6.49</v>
      </c>
      <c r="F137">
        <v>361115</v>
      </c>
      <c r="G137">
        <v>11825</v>
      </c>
      <c r="H137" s="3153" t="s">
        <v>3418</v>
      </c>
    </row>
    <row r="138" spans="4:8">
      <c r="D138" s="3153" t="s">
        <v>3415</v>
      </c>
      <c r="E138">
        <v>4.1900000000000004</v>
      </c>
      <c r="F138">
        <v>2700000</v>
      </c>
      <c r="G138">
        <v>12817</v>
      </c>
      <c r="H138" s="3153" t="s">
        <v>3419</v>
      </c>
    </row>
    <row r="139" spans="4:8">
      <c r="D139" s="3153" t="s">
        <v>3416</v>
      </c>
      <c r="E139">
        <v>6.38</v>
      </c>
      <c r="F139">
        <v>44200</v>
      </c>
      <c r="G139">
        <v>11629</v>
      </c>
      <c r="H139" s="3153" t="s">
        <v>3418</v>
      </c>
    </row>
  </sheetData>
  <phoneticPr fontId="22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9:G52"/>
  <sheetViews>
    <sheetView topLeftCell="A11" workbookViewId="0">
      <selection activeCell="O49" sqref="O49"/>
    </sheetView>
  </sheetViews>
  <sheetFormatPr defaultRowHeight="13.5"/>
  <sheetData>
    <row r="49" spans="5:7">
      <c r="F49" s="3153" t="s">
        <v>3435</v>
      </c>
      <c r="G49" s="3153" t="s">
        <v>3414</v>
      </c>
    </row>
    <row r="50" spans="5:7">
      <c r="E50" s="3153" t="s">
        <v>3434</v>
      </c>
      <c r="F50">
        <v>750000</v>
      </c>
      <c r="G50">
        <v>20000</v>
      </c>
    </row>
    <row r="51" spans="5:7">
      <c r="E51" s="3153" t="s">
        <v>3436</v>
      </c>
      <c r="F51">
        <v>1000000</v>
      </c>
      <c r="G51">
        <v>25000</v>
      </c>
    </row>
    <row r="52" spans="5:7">
      <c r="E52" s="3153" t="s">
        <v>3437</v>
      </c>
      <c r="F52">
        <v>506706</v>
      </c>
      <c r="G52">
        <v>25000</v>
      </c>
    </row>
  </sheetData>
  <phoneticPr fontId="22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2:H34"/>
  <sheetViews>
    <sheetView workbookViewId="0">
      <selection activeCell="K36" sqref="K36"/>
    </sheetView>
  </sheetViews>
  <sheetFormatPr defaultRowHeight="13.5"/>
  <cols>
    <col min="5" max="5" width="13.5" customWidth="1"/>
  </cols>
  <sheetData>
    <row r="32" spans="5:8">
      <c r="E32" s="3153" t="s">
        <v>3453</v>
      </c>
      <c r="F32" s="3153" t="s">
        <v>3456</v>
      </c>
      <c r="G32">
        <v>2340010</v>
      </c>
      <c r="H32">
        <v>7902</v>
      </c>
    </row>
    <row r="33" spans="5:8">
      <c r="E33" s="3153" t="s">
        <v>3454</v>
      </c>
      <c r="F33" s="3153" t="s">
        <v>3457</v>
      </c>
      <c r="G33">
        <v>2340010</v>
      </c>
      <c r="H33">
        <v>8521</v>
      </c>
    </row>
    <row r="34" spans="5:8">
      <c r="E34" s="3153" t="s">
        <v>3455</v>
      </c>
      <c r="F34" s="3153" t="s">
        <v>3458</v>
      </c>
      <c r="G34">
        <v>42327</v>
      </c>
      <c r="H34">
        <v>8602</v>
      </c>
    </row>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8" t="s">
        <v>1829</v>
      </c>
      <c r="B1" s="3498"/>
      <c r="C1" s="3498"/>
      <c r="D1" s="3498"/>
      <c r="E1" s="3498"/>
      <c r="F1" s="3498"/>
      <c r="G1" s="3498"/>
      <c r="H1" s="3498"/>
      <c r="I1" s="3498"/>
      <c r="J1" s="3498"/>
      <c r="K1" s="3498"/>
      <c r="L1" s="3498"/>
      <c r="M1" s="3498"/>
      <c r="N1" s="3498"/>
      <c r="O1" s="3498"/>
      <c r="P1" s="3498"/>
      <c r="Q1" s="3498"/>
      <c r="R1" s="3498"/>
    </row>
    <row r="2" spans="1:18">
      <c r="A2" s="1675" t="s">
        <v>1831</v>
      </c>
      <c r="B2" s="1675"/>
      <c r="C2" s="1675"/>
      <c r="D2" s="1675"/>
      <c r="E2" s="1675"/>
      <c r="F2" s="1675"/>
      <c r="G2" s="1675"/>
      <c r="H2" s="1675"/>
      <c r="I2" s="1676"/>
      <c r="J2" s="1676"/>
      <c r="K2" s="1677" t="str">
        <f>"估价期日："&amp;TEXT(项目基本情况!D3,"yyyy年m月d日;;")</f>
        <v>估价期日：2022年11月30日</v>
      </c>
      <c r="L2" s="1675"/>
      <c r="M2" s="1675"/>
      <c r="N2" s="1675"/>
      <c r="O2" s="1675"/>
      <c r="P2" s="1675"/>
      <c r="Q2" s="1675"/>
      <c r="R2" s="1677" t="str">
        <f>"估价期日的国有建设用地使用权性质："&amp;项目基本情况!B16</f>
        <v>估价期日的国有建设用地使用权性质：出让</v>
      </c>
    </row>
    <row r="3" spans="1:18" ht="23.25" customHeight="1">
      <c r="A3" s="3499" t="s">
        <v>1820</v>
      </c>
      <c r="B3" s="3499" t="s">
        <v>2447</v>
      </c>
      <c r="C3" s="3500" t="s">
        <v>1821</v>
      </c>
      <c r="D3" s="3499" t="s">
        <v>2451</v>
      </c>
      <c r="E3" s="3502" t="s">
        <v>1822</v>
      </c>
      <c r="F3" s="3502"/>
      <c r="G3" s="3502"/>
      <c r="H3" s="3502" t="s">
        <v>1823</v>
      </c>
      <c r="I3" s="3502"/>
      <c r="J3" s="3502"/>
      <c r="K3" s="3500" t="s">
        <v>1824</v>
      </c>
      <c r="L3" s="3500" t="s">
        <v>1825</v>
      </c>
      <c r="M3" s="3499" t="s">
        <v>2448</v>
      </c>
      <c r="N3" s="3501" t="str">
        <f>"（分摊）"&amp;项目基本情况!B16&amp;"国有建设用地使用权面积/㎡"</f>
        <v>（分摊）出让国有建设用地使用权面积/㎡</v>
      </c>
      <c r="O3" s="3499" t="s">
        <v>1854</v>
      </c>
      <c r="P3" s="3500" t="s">
        <v>1834</v>
      </c>
      <c r="Q3" s="3500" t="s">
        <v>1855</v>
      </c>
      <c r="R3" s="3500" t="s">
        <v>1826</v>
      </c>
    </row>
    <row r="4" spans="1:18" ht="36.75" customHeight="1">
      <c r="A4" s="3499"/>
      <c r="B4" s="3499"/>
      <c r="C4" s="3500"/>
      <c r="D4" s="3499"/>
      <c r="E4" s="2411" t="s">
        <v>1833</v>
      </c>
      <c r="F4" s="2411" t="s">
        <v>2460</v>
      </c>
      <c r="G4" s="2411" t="s">
        <v>1827</v>
      </c>
      <c r="H4" s="2411" t="s">
        <v>1828</v>
      </c>
      <c r="I4" s="2411" t="s">
        <v>2461</v>
      </c>
      <c r="J4" s="2411" t="s">
        <v>1827</v>
      </c>
      <c r="K4" s="3500"/>
      <c r="L4" s="3500"/>
      <c r="M4" s="3499"/>
      <c r="N4" s="3501"/>
      <c r="O4" s="3499"/>
      <c r="P4" s="3500"/>
      <c r="Q4" s="3500"/>
      <c r="R4" s="3500"/>
    </row>
    <row r="5" spans="1:18" ht="135" customHeight="1">
      <c r="A5" s="1810" t="s">
        <v>2371</v>
      </c>
      <c r="B5" s="2504" t="s">
        <v>2369</v>
      </c>
      <c r="C5" s="2410">
        <v>22</v>
      </c>
      <c r="D5" s="2409" t="s">
        <v>2370</v>
      </c>
      <c r="E5" s="1678">
        <f>项目基本情况!B12</f>
        <v>0</v>
      </c>
      <c r="F5" s="2409">
        <v>258</v>
      </c>
      <c r="G5" s="1678">
        <f>项目基本情况!B13</f>
        <v>0</v>
      </c>
      <c r="H5" s="2409">
        <v>1.5</v>
      </c>
      <c r="I5" s="2409">
        <v>1.5</v>
      </c>
      <c r="J5" s="2409">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f>IF(项目基本情况!B16="出让",项目基本情况!D20,"——")</f>
        <v>0</v>
      </c>
      <c r="N5" s="1678">
        <f>项目基本情况!C22</f>
        <v>23308.880000000001</v>
      </c>
      <c r="O5" s="1678">
        <f>项目基本情况!C21</f>
        <v>184715.46</v>
      </c>
      <c r="P5" s="1678">
        <f ca="1">结果表!E42</f>
        <v>22168</v>
      </c>
      <c r="Q5" s="1678">
        <f ca="1">结果表!D42</f>
        <v>2797</v>
      </c>
      <c r="R5" s="1679">
        <f ca="1">结果表!C42</f>
        <v>51672</v>
      </c>
    </row>
    <row r="6" spans="1:18">
      <c r="A6" s="3495" t="str">
        <f>IF(项目基本情况!B9="市场价格","——","抵押价格")</f>
        <v>抵押价格</v>
      </c>
      <c r="B6" s="3496"/>
      <c r="C6" s="3496"/>
      <c r="D6" s="3496"/>
      <c r="E6" s="3496"/>
      <c r="F6" s="3496"/>
      <c r="G6" s="3496"/>
      <c r="H6" s="3496"/>
      <c r="I6" s="3496"/>
      <c r="J6" s="3496"/>
      <c r="K6" s="3496"/>
      <c r="L6" s="3496"/>
      <c r="M6" s="3496"/>
      <c r="N6" s="3496"/>
      <c r="O6" s="3496"/>
      <c r="P6" s="3496"/>
      <c r="Q6" s="3497"/>
      <c r="R6" s="1680">
        <f ca="1">结果表!O39</f>
        <v>51672</v>
      </c>
    </row>
    <row r="7" spans="1:18">
      <c r="A7" s="3495" t="str">
        <f>IF(项目基本情况!B9="市场价格","——",IF(项目基本情况!E8="已注销及未注销","抵押担保权已注销时的抵押价格","——"))</f>
        <v>——</v>
      </c>
      <c r="B7" s="3496"/>
      <c r="C7" s="3496"/>
      <c r="D7" s="3496"/>
      <c r="E7" s="3496"/>
      <c r="F7" s="3496"/>
      <c r="G7" s="3496"/>
      <c r="H7" s="3496"/>
      <c r="I7" s="3496"/>
      <c r="J7" s="3496"/>
      <c r="K7" s="3496"/>
      <c r="L7" s="3496"/>
      <c r="M7" s="3496"/>
      <c r="N7" s="3496"/>
      <c r="O7" s="3496"/>
      <c r="P7" s="3496"/>
      <c r="Q7" s="3497"/>
      <c r="R7" s="1680" t="str">
        <f>结果表!O40</f>
        <v>——</v>
      </c>
    </row>
    <row r="8" spans="1:18">
      <c r="A8" s="3495">
        <f>IF(项目基本情况!B9="市场价格","——",项目基本情况!E9)</f>
        <v>0</v>
      </c>
      <c r="B8" s="3496"/>
      <c r="C8" s="3496"/>
      <c r="D8" s="3496"/>
      <c r="E8" s="3496"/>
      <c r="F8" s="3496"/>
      <c r="G8" s="3496"/>
      <c r="H8" s="3496"/>
      <c r="I8" s="3496"/>
      <c r="J8" s="3496"/>
      <c r="K8" s="3496"/>
      <c r="L8" s="3496"/>
      <c r="M8" s="3496"/>
      <c r="N8" s="3496"/>
      <c r="O8" s="3496"/>
      <c r="P8" s="3496"/>
      <c r="Q8" s="3497"/>
      <c r="R8" s="1680" t="str">
        <f>结果表!O41</f>
        <v>——</v>
      </c>
    </row>
    <row r="9" spans="1:18">
      <c r="A9" s="1681" t="s">
        <v>1832</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1819</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504" t="s">
        <v>1856</v>
      </c>
      <c r="B1" s="3504"/>
      <c r="C1" s="3504"/>
      <c r="D1" s="3504"/>
    </row>
    <row r="2" spans="1:4" ht="47.25" customHeight="1">
      <c r="A2" s="3505" t="str">
        <f>"1.权利限制："&amp;项目基本情况!L24&amp;"未设定租赁等其他他项权利。"</f>
        <v>1.权利限制：根据估价对象《不动产权证书》原件、《国有土地使用权》复印件，截至估价期日，估价对象抵押权未见登记。未设定租赁等其他他项权利。</v>
      </c>
      <c r="B2" s="3505"/>
      <c r="C2" s="3505"/>
      <c r="D2" s="3505"/>
    </row>
    <row r="3" spans="1:4" ht="48" customHeight="1">
      <c r="A3" s="35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4"/>
      <c r="C3" s="3504"/>
      <c r="D3" s="3504"/>
    </row>
    <row r="4" spans="1:4" ht="36.75" customHeight="1">
      <c r="A4" s="3504" t="str">
        <f>"3.估价规划限制条件：详见"&amp;项目基本情况!E21&amp;"。"</f>
        <v>3.估价规划限制条件：详见《建设工程规划许可证》[]、《出让合同》[]。</v>
      </c>
      <c r="B4" s="3504"/>
      <c r="C4" s="3504"/>
      <c r="D4" s="3504"/>
    </row>
    <row r="5" spans="1:4">
      <c r="A5" s="3503" t="s">
        <v>1857</v>
      </c>
      <c r="B5" s="3503"/>
      <c r="C5" s="3503"/>
      <c r="D5" s="3503"/>
    </row>
    <row r="6" spans="1:4">
      <c r="A6" s="3504" t="s">
        <v>1835</v>
      </c>
      <c r="B6" s="3504"/>
      <c r="C6" s="3504"/>
      <c r="D6" s="3504"/>
    </row>
    <row r="7" spans="1:4" ht="33" customHeight="1">
      <c r="A7" s="3504" t="s">
        <v>2291</v>
      </c>
      <c r="B7" s="3504"/>
      <c r="C7" s="3504"/>
      <c r="D7" s="3504"/>
    </row>
    <row r="8" spans="1:4" ht="32.25" customHeight="1">
      <c r="A8" s="35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4"/>
      <c r="C8" s="3504"/>
      <c r="D8" s="3504"/>
    </row>
    <row r="9" spans="1:4" ht="33.75" customHeight="1">
      <c r="A9" s="35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4"/>
      <c r="C9" s="3504"/>
      <c r="D9" s="3504"/>
    </row>
    <row r="10" spans="1:4">
      <c r="A10" s="3504" t="str">
        <f>IF(项目基本情况!B8="抵押","4.估价师所知悉的法定优先受偿款情况为：","——")</f>
        <v>4.估价师所知悉的法定优先受偿款情况为：</v>
      </c>
      <c r="B10" s="3504"/>
      <c r="C10" s="3504"/>
      <c r="D10" s="3504"/>
    </row>
    <row r="11" spans="1:4" ht="37.5" customHeight="1">
      <c r="A11" s="35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06"/>
      <c r="C11" s="3506"/>
      <c r="D11" s="3506"/>
    </row>
    <row r="12" spans="1:4" ht="168" customHeight="1">
      <c r="A12" s="3503" t="s">
        <v>1859</v>
      </c>
      <c r="B12" s="3503"/>
      <c r="C12" s="3503"/>
      <c r="D12" s="3503"/>
    </row>
    <row r="13" spans="1:4">
      <c r="A13" s="3507" t="s">
        <v>2462</v>
      </c>
      <c r="B13" s="3507"/>
      <c r="C13" s="3507"/>
      <c r="D13" s="3507"/>
    </row>
    <row r="14" spans="1:4">
      <c r="A14" s="3506" t="str">
        <f>IF(项目基本情况!B8="抵押","综上，"&amp;结果表!K47,"——")</f>
        <v>综上，本次评估不存在估价师知悉的法定优先受偿款</v>
      </c>
      <c r="B14" s="3506"/>
      <c r="C14" s="3506"/>
      <c r="D14" s="3506"/>
    </row>
    <row r="15" spans="1:4" ht="58.5" customHeight="1">
      <c r="A15" s="35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4"/>
      <c r="C15" s="3504"/>
      <c r="D15" s="3504"/>
    </row>
    <row r="16" spans="1:4" ht="70.5" customHeight="1">
      <c r="A16" s="35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4"/>
      <c r="C16" s="3504"/>
      <c r="D16" s="3504"/>
    </row>
    <row r="17" spans="1:4">
      <c r="A17" s="3504" t="s">
        <v>2418</v>
      </c>
      <c r="B17" s="3504"/>
      <c r="C17" s="3504"/>
      <c r="D17" s="3504"/>
    </row>
    <row r="18" spans="1:4">
      <c r="A18" s="3504" t="s">
        <v>2410</v>
      </c>
      <c r="B18" s="3504"/>
      <c r="C18" s="3504"/>
      <c r="D18" s="3504"/>
    </row>
    <row r="19" spans="1:4">
      <c r="A19" s="2505" t="s">
        <v>2411</v>
      </c>
      <c r="B19" s="2505" t="s">
        <v>2412</v>
      </c>
      <c r="C19" s="2505" t="s">
        <v>2413</v>
      </c>
      <c r="D19" s="2505" t="s">
        <v>2414</v>
      </c>
    </row>
    <row r="20" spans="1:4">
      <c r="A20" s="2505" t="str">
        <f>项目基本情况!B4</f>
        <v>土地估价师</v>
      </c>
      <c r="B20" s="2505">
        <f>项目基本情况!C4</f>
        <v>0</v>
      </c>
      <c r="C20" s="2507"/>
      <c r="D20" s="1668" t="s">
        <v>2419</v>
      </c>
    </row>
    <row r="21" spans="1:4">
      <c r="A21" s="2505" t="str">
        <f>项目基本情况!D4</f>
        <v>土地估价师</v>
      </c>
      <c r="B21" s="2505">
        <f>项目基本情况!E4</f>
        <v>0</v>
      </c>
      <c r="C21" s="2507"/>
      <c r="D21" s="1668" t="s">
        <v>2420</v>
      </c>
    </row>
    <row r="23" spans="1:4">
      <c r="A23" s="3504" t="s">
        <v>2415</v>
      </c>
      <c r="B23" s="3504"/>
      <c r="C23" s="3504"/>
      <c r="D23" s="3504"/>
    </row>
    <row r="24" spans="1:4">
      <c r="A24" s="2505" t="s">
        <v>2411</v>
      </c>
      <c r="B24" s="2505" t="s">
        <v>2416</v>
      </c>
      <c r="C24" s="2505" t="s">
        <v>2413</v>
      </c>
      <c r="D24" s="2505" t="s">
        <v>2414</v>
      </c>
    </row>
    <row r="25" spans="1:4">
      <c r="A25" s="2508" t="s">
        <v>2417</v>
      </c>
      <c r="B25" s="2505" t="s">
        <v>930</v>
      </c>
      <c r="C25" s="2507"/>
      <c r="D25" s="1668" t="s">
        <v>2420</v>
      </c>
    </row>
    <row r="29" spans="1:4">
      <c r="D29" s="2506" t="s">
        <v>1830</v>
      </c>
    </row>
    <row r="30" spans="1:4">
      <c r="D30" s="250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850</v>
      </c>
    </row>
    <row r="13" spans="1:7">
      <c r="A13" s="1116" t="s">
        <v>52</v>
      </c>
    </row>
    <row r="15" spans="1:7" ht="14.25">
      <c r="A15" s="3515" t="s">
        <v>53</v>
      </c>
      <c r="B15" s="3516" t="s">
        <v>825</v>
      </c>
      <c r="C15" s="3512"/>
    </row>
    <row r="16" spans="1:7" ht="14.25">
      <c r="A16" s="3515"/>
      <c r="B16" s="3513" t="s">
        <v>54</v>
      </c>
      <c r="C16" s="1117" t="s">
        <v>53</v>
      </c>
    </row>
    <row r="17" spans="1:3" ht="14.25">
      <c r="A17" s="3515"/>
      <c r="B17" s="3513"/>
      <c r="C17" s="1117" t="s">
        <v>55</v>
      </c>
    </row>
    <row r="18" spans="1:3" ht="14.25">
      <c r="A18" s="3515"/>
      <c r="B18" s="3513"/>
      <c r="C18" s="1117" t="s">
        <v>56</v>
      </c>
    </row>
    <row r="19" spans="1:3" ht="14.25">
      <c r="A19" s="3515"/>
      <c r="B19" s="3511" t="s">
        <v>57</v>
      </c>
      <c r="C19" s="3512"/>
    </row>
    <row r="20" spans="1:3" ht="14.25">
      <c r="A20" s="1118" t="s">
        <v>58</v>
      </c>
      <c r="B20" s="1119"/>
      <c r="C20" s="1120"/>
    </row>
    <row r="21" spans="1:3" ht="14.25">
      <c r="A21" s="3514" t="s">
        <v>59</v>
      </c>
      <c r="B21" s="3511" t="s">
        <v>60</v>
      </c>
      <c r="C21" s="3512"/>
    </row>
    <row r="22" spans="1:3" ht="14.25">
      <c r="A22" s="3514"/>
      <c r="B22" s="3511" t="s">
        <v>61</v>
      </c>
      <c r="C22" s="3512"/>
    </row>
    <row r="23" spans="1:3" ht="14.25">
      <c r="A23" s="3514"/>
      <c r="B23" s="3511" t="s">
        <v>62</v>
      </c>
      <c r="C23" s="3512"/>
    </row>
    <row r="24" spans="1:3" ht="14.25">
      <c r="A24" s="3514"/>
      <c r="B24" s="3517" t="s">
        <v>63</v>
      </c>
      <c r="C24" s="1121" t="s">
        <v>816</v>
      </c>
    </row>
    <row r="25" spans="1:3" ht="14.25">
      <c r="A25" s="3514"/>
      <c r="B25" s="3518"/>
      <c r="C25" s="1121" t="s">
        <v>817</v>
      </c>
    </row>
    <row r="26" spans="1:3" ht="14.25">
      <c r="A26" s="3514"/>
      <c r="B26" s="3518"/>
      <c r="C26" s="1121" t="s">
        <v>818</v>
      </c>
    </row>
    <row r="27" spans="1:3" ht="14.25">
      <c r="A27" s="3514"/>
      <c r="B27" s="3518"/>
      <c r="C27" s="1121" t="s">
        <v>819</v>
      </c>
    </row>
    <row r="28" spans="1:3" ht="14.25">
      <c r="A28" s="3514"/>
      <c r="B28" s="3518"/>
      <c r="C28" s="1121" t="s">
        <v>820</v>
      </c>
    </row>
    <row r="29" spans="1:3" ht="14.25">
      <c r="A29" s="3514"/>
      <c r="B29" s="3518"/>
      <c r="C29" s="1121" t="s">
        <v>821</v>
      </c>
    </row>
    <row r="30" spans="1:3" ht="14.25">
      <c r="A30" s="3514"/>
      <c r="B30" s="3518"/>
      <c r="C30" s="1121" t="s">
        <v>822</v>
      </c>
    </row>
    <row r="31" spans="1:3" ht="14.25">
      <c r="A31" s="3514"/>
      <c r="B31" s="3518"/>
      <c r="C31" s="1121" t="s">
        <v>823</v>
      </c>
    </row>
    <row r="32" spans="1:3" ht="14.25">
      <c r="A32" s="3514"/>
      <c r="B32" s="3518"/>
      <c r="C32" s="1121" t="s">
        <v>1445</v>
      </c>
    </row>
    <row r="33" spans="1:3" ht="14.25">
      <c r="A33" s="3514"/>
      <c r="B33" s="3508" t="s">
        <v>1451</v>
      </c>
      <c r="C33" s="1121" t="s">
        <v>1446</v>
      </c>
    </row>
    <row r="34" spans="1:3" ht="14.25">
      <c r="A34" s="3514"/>
      <c r="B34" s="3509"/>
      <c r="C34" s="1126" t="s">
        <v>1447</v>
      </c>
    </row>
    <row r="35" spans="1:3" ht="14.25">
      <c r="A35" s="3514"/>
      <c r="B35" s="3509"/>
      <c r="C35" s="1127" t="s">
        <v>1448</v>
      </c>
    </row>
    <row r="36" spans="1:3" ht="14.25">
      <c r="A36" s="3514"/>
      <c r="B36" s="3509"/>
      <c r="C36" s="1127" t="s">
        <v>1449</v>
      </c>
    </row>
    <row r="37" spans="1:3" ht="14.25">
      <c r="A37" s="3514"/>
      <c r="B37" s="3510"/>
      <c r="C37" s="1128" t="s">
        <v>1450</v>
      </c>
    </row>
    <row r="38" spans="1:3">
      <c r="A38" s="1122" t="s">
        <v>824</v>
      </c>
    </row>
    <row r="41" spans="1:3">
      <c r="A41" s="1122" t="s">
        <v>68</v>
      </c>
    </row>
    <row r="42" spans="1:3" ht="14.25">
      <c r="A42" s="1123" t="s">
        <v>832</v>
      </c>
    </row>
    <row r="43" spans="1:3" ht="14.25">
      <c r="A43" s="1124" t="s">
        <v>69</v>
      </c>
    </row>
    <row r="44" spans="1:3" ht="14.25">
      <c r="A44" s="1123" t="s">
        <v>831</v>
      </c>
    </row>
    <row r="45" spans="1:3" ht="14.25">
      <c r="A45" s="1125" t="s">
        <v>833</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5" customWidth="1"/>
    <col min="2" max="2" width="22.75" style="2745" bestFit="1" customWidth="1"/>
    <col min="3" max="3" width="25.75" style="2745" bestFit="1" customWidth="1"/>
    <col min="4" max="4" width="22.625" style="2745"/>
    <col min="5" max="5" width="22.75" style="2745" bestFit="1" customWidth="1"/>
    <col min="6" max="6" width="25.625" style="2745" customWidth="1"/>
    <col min="7" max="16384" width="22.625" style="2745"/>
  </cols>
  <sheetData>
    <row r="1" spans="1:7" ht="20.25" customHeight="1">
      <c r="A1" s="2930"/>
      <c r="B1" s="2930"/>
      <c r="C1" s="2930"/>
      <c r="D1" s="2930"/>
      <c r="E1" s="2930"/>
      <c r="F1" s="2930"/>
      <c r="G1" s="2930"/>
    </row>
    <row r="2" spans="1:7" ht="20.25" customHeight="1">
      <c r="A2" s="2931" t="s">
        <v>1702</v>
      </c>
      <c r="B2" s="2932">
        <f ca="1">TODAY()</f>
        <v>44901</v>
      </c>
      <c r="C2" s="2933" t="s">
        <v>1703</v>
      </c>
      <c r="D2" s="2933"/>
      <c r="E2" s="2930"/>
      <c r="F2" s="2930"/>
      <c r="G2" s="2930"/>
    </row>
    <row r="3" spans="1:7" ht="20.25" customHeight="1">
      <c r="A3" s="2954" t="s">
        <v>1704</v>
      </c>
      <c r="B3" s="2935" t="s">
        <v>1705</v>
      </c>
      <c r="C3" s="2936" t="s">
        <v>1706</v>
      </c>
      <c r="D3" s="2955" t="s">
        <v>1707</v>
      </c>
      <c r="E3" s="2935" t="s">
        <v>1708</v>
      </c>
      <c r="F3" s="2935" t="s">
        <v>1706</v>
      </c>
      <c r="G3" s="2930"/>
    </row>
    <row r="4" spans="1:7" ht="20.25" customHeight="1">
      <c r="A4" s="2935" t="s">
        <v>1709</v>
      </c>
      <c r="B4" s="2935" t="str">
        <f ca="1">IF(C4&lt;B2,"已过期",1119970066)</f>
        <v>已过期</v>
      </c>
      <c r="C4" s="2938">
        <v>44876</v>
      </c>
      <c r="D4" s="2946" t="s">
        <v>1709</v>
      </c>
      <c r="E4" s="2935">
        <f ca="1">IF(F4&lt;B2,"已过期",96010014)</f>
        <v>96010014</v>
      </c>
      <c r="F4" s="2937">
        <v>47118</v>
      </c>
      <c r="G4" s="2930"/>
    </row>
    <row r="5" spans="1:7" ht="20.25" customHeight="1">
      <c r="A5" s="2935" t="s">
        <v>1710</v>
      </c>
      <c r="B5" s="2935" t="str">
        <f ca="1">IF(C5&lt;B2,"已过期",1119970111)</f>
        <v>已过期</v>
      </c>
      <c r="C5" s="2938">
        <v>44876</v>
      </c>
      <c r="D5" s="2946" t="s">
        <v>1710</v>
      </c>
      <c r="E5" s="2935">
        <f ca="1">IF(F5&lt;B2,"已过期",94010078)</f>
        <v>94010078</v>
      </c>
      <c r="F5" s="2937">
        <v>46387</v>
      </c>
      <c r="G5" s="2930"/>
    </row>
    <row r="6" spans="1:7" ht="20.25" customHeight="1">
      <c r="A6" s="2935" t="s">
        <v>1711</v>
      </c>
      <c r="B6" s="2935">
        <f ca="1">IF(C6&lt;B2,"已过期",1120050019)</f>
        <v>1120050019</v>
      </c>
      <c r="C6" s="2938">
        <v>45410</v>
      </c>
      <c r="D6" s="2946" t="s">
        <v>1711</v>
      </c>
      <c r="E6" s="2935">
        <f ca="1">IF(F6&lt;B2,"已过期",2002110030)</f>
        <v>2002110030</v>
      </c>
      <c r="F6" s="2937">
        <v>46387</v>
      </c>
      <c r="G6" s="2930"/>
    </row>
    <row r="7" spans="1:7" ht="20.25" customHeight="1">
      <c r="A7" s="2935" t="s">
        <v>1712</v>
      </c>
      <c r="B7" s="2935" t="str">
        <f ca="1">IF(C7&lt;B2,"已过期",1120000080)</f>
        <v>已过期</v>
      </c>
      <c r="C7" s="2938">
        <v>44876</v>
      </c>
      <c r="D7" s="2946" t="s">
        <v>1712</v>
      </c>
      <c r="E7" s="2935">
        <f ca="1">IF(F7&lt;B2,"已过期",2000110082)</f>
        <v>2000110082</v>
      </c>
      <c r="F7" s="2937">
        <v>46387</v>
      </c>
      <c r="G7" s="2930"/>
    </row>
    <row r="8" spans="1:7" ht="20.25" customHeight="1">
      <c r="A8" s="2935" t="s">
        <v>1713</v>
      </c>
      <c r="B8" s="2935" t="str">
        <f ca="1">IF(C8&lt;B2,"已过期",1419970001)</f>
        <v>已过期</v>
      </c>
      <c r="C8" s="2938">
        <v>44899</v>
      </c>
      <c r="D8" s="2946" t="s">
        <v>1713</v>
      </c>
      <c r="E8" s="2935">
        <f ca="1">IF(F8&lt;B2,"已过期",2002110125)</f>
        <v>2002110125</v>
      </c>
      <c r="F8" s="2937">
        <v>47118</v>
      </c>
      <c r="G8" s="2930"/>
    </row>
    <row r="9" spans="1:7" ht="20.25" customHeight="1">
      <c r="A9" s="2935" t="s">
        <v>1714</v>
      </c>
      <c r="B9" s="2935">
        <f ca="1">IF(C9&lt;B2,"已过期",1120060040)</f>
        <v>1120060040</v>
      </c>
      <c r="C9" s="2938">
        <v>45592</v>
      </c>
      <c r="D9" s="2946" t="s">
        <v>1714</v>
      </c>
      <c r="E9" s="2935">
        <f ca="1">IF(F9&lt;B2,"已过期",2004110096)</f>
        <v>2004110096</v>
      </c>
      <c r="F9" s="2937">
        <v>47118</v>
      </c>
      <c r="G9" s="2930"/>
    </row>
    <row r="10" spans="1:7" ht="20.25" customHeight="1">
      <c r="A10" s="2935" t="s">
        <v>1715</v>
      </c>
      <c r="B10" s="2935" t="str">
        <f ca="1">IF(C10&lt;B2,"已过期",1120100036)</f>
        <v>已过期</v>
      </c>
      <c r="C10" s="2938">
        <v>44675</v>
      </c>
      <c r="D10" s="2946" t="s">
        <v>1715</v>
      </c>
      <c r="E10" s="2935">
        <f ca="1">IF(F10&lt;B2,"已过期",2010110070)</f>
        <v>2010110070</v>
      </c>
      <c r="F10" s="2937">
        <v>47907</v>
      </c>
      <c r="G10" s="2930"/>
    </row>
    <row r="11" spans="1:7" ht="20.25" customHeight="1">
      <c r="A11" s="2935" t="s">
        <v>1716</v>
      </c>
      <c r="B11" s="2935" t="str">
        <f ca="1">IF(C11&lt;B2,"已过期",1120070131)</f>
        <v>已过期</v>
      </c>
      <c r="C11" s="2938">
        <v>44849</v>
      </c>
      <c r="D11" s="2946" t="s">
        <v>1716</v>
      </c>
      <c r="E11" s="2935">
        <f ca="1">IF(F11&lt;B2,"已过期",2014110011)</f>
        <v>2014110011</v>
      </c>
      <c r="F11" s="2937">
        <v>49302</v>
      </c>
      <c r="G11" s="2930"/>
    </row>
    <row r="12" spans="1:7" ht="20.25" customHeight="1">
      <c r="A12" s="2935" t="s">
        <v>2677</v>
      </c>
      <c r="B12" s="2935" t="str">
        <f ca="1">IF(C12&lt;B2,"已过期",1120040230)</f>
        <v>已过期</v>
      </c>
      <c r="C12" s="2938">
        <v>44864</v>
      </c>
      <c r="D12" s="2946" t="s">
        <v>2678</v>
      </c>
      <c r="E12" s="2935">
        <f ca="1">IF(F12&lt;B2,"已过期",98030020)</f>
        <v>98030020</v>
      </c>
      <c r="F12" s="2937">
        <v>47118</v>
      </c>
      <c r="G12" s="2930"/>
    </row>
    <row r="13" spans="1:7" ht="20.25" customHeight="1">
      <c r="A13" s="2935"/>
      <c r="B13" s="2935"/>
      <c r="C13" s="2938"/>
      <c r="D13" s="2946" t="s">
        <v>1717</v>
      </c>
      <c r="E13" s="2935">
        <f ca="1">IF(F13&lt;B2,"已过期",2011110090)</f>
        <v>2011110090</v>
      </c>
      <c r="F13" s="2937">
        <v>48302</v>
      </c>
      <c r="G13" s="2930"/>
    </row>
    <row r="14" spans="1:7" ht="20.25" customHeight="1">
      <c r="A14" s="2935" t="s">
        <v>1718</v>
      </c>
      <c r="B14" s="2935" t="str">
        <f ca="1">IF(C14&lt;B2,"已过期",1120020033)</f>
        <v>已过期</v>
      </c>
      <c r="C14" s="2938">
        <v>44339</v>
      </c>
      <c r="D14" s="2946" t="s">
        <v>1718</v>
      </c>
      <c r="E14" s="2935">
        <f ca="1">IF(F14&lt;B2,"已过期",2000110137)</f>
        <v>2000110137</v>
      </c>
      <c r="F14" s="2937">
        <v>46387</v>
      </c>
      <c r="G14" s="2930"/>
    </row>
    <row r="15" spans="1:7" ht="20.25" customHeight="1">
      <c r="A15" s="2935" t="s">
        <v>2690</v>
      </c>
      <c r="B15" s="2935">
        <f ca="1">IF(C15&lt;B2,"已过期",1119980106)</f>
        <v>1119980106</v>
      </c>
      <c r="C15" s="2938">
        <v>44969</v>
      </c>
      <c r="D15" s="2946"/>
      <c r="E15" s="2935"/>
      <c r="F15" s="2935"/>
      <c r="G15" s="2930"/>
    </row>
    <row r="16" spans="1:7" ht="20.25" customHeight="1">
      <c r="A16" s="2934" t="s">
        <v>2891</v>
      </c>
      <c r="B16" s="2934">
        <v>1120210056</v>
      </c>
      <c r="C16" s="2938">
        <v>45410</v>
      </c>
      <c r="D16" s="2946"/>
      <c r="E16" s="2935"/>
      <c r="F16" s="2935"/>
      <c r="G16" s="2930"/>
    </row>
    <row r="17" spans="1:7" s="2746" customFormat="1" ht="20.25" customHeight="1">
      <c r="A17" s="2934" t="s">
        <v>1844</v>
      </c>
      <c r="B17" s="2934" t="s">
        <v>1844</v>
      </c>
      <c r="C17" s="2938"/>
      <c r="D17" s="2947" t="s">
        <v>1844</v>
      </c>
      <c r="E17" s="2935" t="s">
        <v>1844</v>
      </c>
      <c r="F17" s="2937"/>
      <c r="G17" s="2939"/>
    </row>
    <row r="18" spans="1:7" ht="20.25" customHeight="1">
      <c r="A18" s="3522" t="s">
        <v>1719</v>
      </c>
      <c r="B18" s="3523"/>
      <c r="C18" s="3523"/>
      <c r="D18" s="3523"/>
      <c r="E18" s="3523"/>
      <c r="F18" s="3523"/>
      <c r="G18" s="2939"/>
    </row>
    <row r="19" spans="1:7" ht="20.25" customHeight="1">
      <c r="A19" s="3519" t="s">
        <v>1720</v>
      </c>
      <c r="B19" s="3519"/>
      <c r="C19" s="3520"/>
      <c r="D19" s="3521" t="s">
        <v>1721</v>
      </c>
      <c r="E19" s="3519"/>
      <c r="F19" s="3519"/>
      <c r="G19" s="2939"/>
    </row>
    <row r="20" spans="1:7" s="2744" customFormat="1" ht="20.25" customHeight="1">
      <c r="A20" s="2940" t="s">
        <v>1722</v>
      </c>
      <c r="B20" s="2941" t="s">
        <v>1723</v>
      </c>
      <c r="C20" s="2948" t="s">
        <v>1724</v>
      </c>
      <c r="D20" s="2946" t="s">
        <v>1722</v>
      </c>
      <c r="E20" s="2941" t="s">
        <v>1723</v>
      </c>
      <c r="F20" s="2941" t="s">
        <v>1724</v>
      </c>
      <c r="G20" s="2931"/>
    </row>
    <row r="21" spans="1:7" s="2744" customFormat="1" ht="20.25" customHeight="1">
      <c r="A21" s="2942" t="s">
        <v>1725</v>
      </c>
      <c r="B21" s="2942" t="s">
        <v>1726</v>
      </c>
      <c r="C21" s="2949">
        <v>44820</v>
      </c>
      <c r="D21" s="2951" t="s">
        <v>1727</v>
      </c>
      <c r="E21" s="2942" t="s">
        <v>2892</v>
      </c>
      <c r="F21" s="2943">
        <v>44926</v>
      </c>
      <c r="G21" s="2931"/>
    </row>
    <row r="22" spans="1:7" s="2744" customFormat="1" ht="20.25" customHeight="1">
      <c r="A22" s="2942"/>
      <c r="B22" s="2942"/>
      <c r="C22" s="2950"/>
      <c r="D22" s="2951"/>
      <c r="E22" s="2942"/>
      <c r="F22" s="2943"/>
      <c r="G22" s="2931"/>
    </row>
    <row r="23" spans="1:7" ht="20.25" customHeight="1">
      <c r="A23" s="2930"/>
      <c r="B23" s="2930"/>
      <c r="C23" s="2944"/>
      <c r="D23" s="2952"/>
      <c r="E23" s="2953"/>
      <c r="F23" s="2945"/>
      <c r="G23" s="2930"/>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835</v>
      </c>
      <c r="B1" s="5" t="s">
        <v>132</v>
      </c>
      <c r="C1" s="1442" t="s">
        <v>1507</v>
      </c>
      <c r="D1" s="6" t="s">
        <v>133</v>
      </c>
      <c r="E1" s="6" t="s">
        <v>134</v>
      </c>
      <c r="F1" s="6" t="s">
        <v>135</v>
      </c>
      <c r="G1" s="6" t="s">
        <v>136</v>
      </c>
      <c r="H1" s="6" t="s">
        <v>137</v>
      </c>
      <c r="I1" s="6" t="s">
        <v>138</v>
      </c>
      <c r="J1" s="6" t="s">
        <v>139</v>
      </c>
      <c r="K1" s="6" t="s">
        <v>140</v>
      </c>
      <c r="L1" s="6" t="s">
        <v>141</v>
      </c>
      <c r="M1" s="6" t="s">
        <v>142</v>
      </c>
      <c r="N1" s="6" t="s">
        <v>143</v>
      </c>
      <c r="O1" s="6" t="s">
        <v>144</v>
      </c>
      <c r="P1" s="6" t="s">
        <v>145</v>
      </c>
      <c r="Q1" s="2353" t="s">
        <v>2262</v>
      </c>
      <c r="R1" s="2352" t="s">
        <v>2256</v>
      </c>
      <c r="S1" s="6" t="s">
        <v>146</v>
      </c>
      <c r="T1" s="7" t="s">
        <v>147</v>
      </c>
      <c r="U1" s="6" t="s">
        <v>148</v>
      </c>
      <c r="V1" s="6" t="s">
        <v>149</v>
      </c>
      <c r="W1" s="973" t="s">
        <v>852</v>
      </c>
    </row>
    <row r="2" spans="1:23">
      <c r="A2" s="8" t="s">
        <v>73</v>
      </c>
      <c r="B2" s="8" t="s">
        <v>150</v>
      </c>
      <c r="C2" s="1443" t="s">
        <v>1508</v>
      </c>
      <c r="D2" s="9" t="s">
        <v>74</v>
      </c>
      <c r="E2" s="9" t="s">
        <v>127</v>
      </c>
      <c r="F2" s="9" t="s">
        <v>128</v>
      </c>
      <c r="G2" s="9">
        <v>40</v>
      </c>
      <c r="H2" s="9" t="s">
        <v>129</v>
      </c>
      <c r="I2" s="9" t="s">
        <v>130</v>
      </c>
      <c r="J2" s="9" t="s">
        <v>131</v>
      </c>
      <c r="K2" s="9" t="s">
        <v>75</v>
      </c>
      <c r="L2" s="9" t="s">
        <v>75</v>
      </c>
      <c r="M2" s="9" t="s">
        <v>75</v>
      </c>
      <c r="N2" s="9" t="s">
        <v>75</v>
      </c>
      <c r="O2" s="9" t="s">
        <v>75</v>
      </c>
      <c r="P2" s="974" t="s">
        <v>858</v>
      </c>
      <c r="Q2" s="9" t="s">
        <v>75</v>
      </c>
      <c r="R2" s="974" t="s">
        <v>2257</v>
      </c>
      <c r="S2" s="9" t="s">
        <v>75</v>
      </c>
      <c r="T2" s="9" t="s">
        <v>76</v>
      </c>
      <c r="U2" s="9" t="s">
        <v>75</v>
      </c>
      <c r="V2" s="9" t="s">
        <v>77</v>
      </c>
      <c r="W2" s="9" t="s">
        <v>853</v>
      </c>
    </row>
    <row r="3" spans="1:23">
      <c r="A3" s="8" t="s">
        <v>78</v>
      </c>
      <c r="B3" s="10" t="s">
        <v>151</v>
      </c>
      <c r="C3" s="1444" t="s">
        <v>1509</v>
      </c>
      <c r="D3" s="9" t="s">
        <v>79</v>
      </c>
      <c r="E3" s="9" t="s">
        <v>6</v>
      </c>
      <c r="F3" s="9" t="s">
        <v>80</v>
      </c>
      <c r="G3" s="9">
        <v>50</v>
      </c>
      <c r="H3" s="9" t="s">
        <v>81</v>
      </c>
      <c r="I3" s="9" t="s">
        <v>82</v>
      </c>
      <c r="J3" s="9" t="s">
        <v>83</v>
      </c>
      <c r="K3" s="9" t="s">
        <v>84</v>
      </c>
      <c r="L3" s="9" t="s">
        <v>84</v>
      </c>
      <c r="M3" s="9" t="s">
        <v>84</v>
      </c>
      <c r="N3" s="9" t="s">
        <v>84</v>
      </c>
      <c r="O3" s="9" t="s">
        <v>84</v>
      </c>
      <c r="P3" s="974" t="s">
        <v>582</v>
      </c>
      <c r="Q3" s="9" t="s">
        <v>84</v>
      </c>
      <c r="R3" s="974" t="s">
        <v>2258</v>
      </c>
      <c r="S3" s="9" t="s">
        <v>84</v>
      </c>
      <c r="T3" s="9" t="s">
        <v>85</v>
      </c>
      <c r="U3" s="9" t="s">
        <v>84</v>
      </c>
      <c r="V3" s="9" t="s">
        <v>86</v>
      </c>
      <c r="W3" s="9" t="s">
        <v>854</v>
      </c>
    </row>
    <row r="4" spans="1:23">
      <c r="A4" s="8" t="s">
        <v>87</v>
      </c>
      <c r="B4" s="8" t="s">
        <v>152</v>
      </c>
      <c r="C4" s="1443" t="s">
        <v>1510</v>
      </c>
      <c r="D4" s="9" t="s">
        <v>1785</v>
      </c>
      <c r="E4" s="9" t="s">
        <v>88</v>
      </c>
      <c r="F4" s="9" t="s">
        <v>89</v>
      </c>
      <c r="G4" s="9">
        <v>70</v>
      </c>
      <c r="H4" s="9" t="s">
        <v>90</v>
      </c>
      <c r="I4" s="9" t="s">
        <v>91</v>
      </c>
      <c r="K4" s="9" t="s">
        <v>92</v>
      </c>
      <c r="L4" s="9" t="s">
        <v>92</v>
      </c>
      <c r="M4" s="9" t="s">
        <v>92</v>
      </c>
      <c r="N4" s="9" t="s">
        <v>92</v>
      </c>
      <c r="O4" s="9" t="s">
        <v>92</v>
      </c>
      <c r="P4" s="974" t="s">
        <v>742</v>
      </c>
      <c r="Q4" s="9" t="s">
        <v>92</v>
      </c>
      <c r="R4" s="974" t="s">
        <v>2259</v>
      </c>
      <c r="S4" s="9" t="s">
        <v>92</v>
      </c>
      <c r="T4" s="9" t="s">
        <v>93</v>
      </c>
      <c r="U4" s="9" t="s">
        <v>92</v>
      </c>
      <c r="W4" s="9" t="s">
        <v>855</v>
      </c>
    </row>
    <row r="5" spans="1:23">
      <c r="A5" s="8" t="s">
        <v>94</v>
      </c>
      <c r="B5" s="8" t="s">
        <v>153</v>
      </c>
      <c r="C5" s="1443" t="s">
        <v>1511</v>
      </c>
      <c r="F5" s="9" t="s">
        <v>95</v>
      </c>
      <c r="H5" s="9" t="s">
        <v>70</v>
      </c>
      <c r="I5" s="9" t="s">
        <v>96</v>
      </c>
      <c r="K5" s="9" t="s">
        <v>97</v>
      </c>
      <c r="L5" s="9" t="s">
        <v>97</v>
      </c>
      <c r="M5" s="9" t="s">
        <v>97</v>
      </c>
      <c r="N5" s="9" t="s">
        <v>97</v>
      </c>
      <c r="O5" s="9" t="s">
        <v>97</v>
      </c>
      <c r="P5" s="974" t="s">
        <v>529</v>
      </c>
      <c r="Q5" s="9" t="s">
        <v>97</v>
      </c>
      <c r="R5" s="974" t="s">
        <v>2260</v>
      </c>
      <c r="S5" s="9" t="s">
        <v>97</v>
      </c>
      <c r="T5" s="9" t="s">
        <v>98</v>
      </c>
      <c r="U5" s="9" t="s">
        <v>97</v>
      </c>
      <c r="W5" s="9" t="s">
        <v>856</v>
      </c>
    </row>
    <row r="6" spans="1:23">
      <c r="A6" s="8" t="s">
        <v>99</v>
      </c>
      <c r="B6" s="1094" t="s">
        <v>1440</v>
      </c>
      <c r="C6" s="1445" t="s">
        <v>1512</v>
      </c>
      <c r="F6" s="9" t="s">
        <v>71</v>
      </c>
      <c r="H6" s="9" t="s">
        <v>72</v>
      </c>
      <c r="I6" s="9" t="s">
        <v>100</v>
      </c>
      <c r="K6" s="9" t="s">
        <v>101</v>
      </c>
      <c r="L6" s="9" t="s">
        <v>101</v>
      </c>
      <c r="M6" s="9" t="s">
        <v>101</v>
      </c>
      <c r="N6" s="9" t="s">
        <v>101</v>
      </c>
      <c r="O6" s="9" t="s">
        <v>101</v>
      </c>
      <c r="P6" s="974" t="s">
        <v>859</v>
      </c>
      <c r="Q6" s="9" t="s">
        <v>101</v>
      </c>
      <c r="R6" s="974" t="s">
        <v>2261</v>
      </c>
      <c r="S6" s="9" t="s">
        <v>101</v>
      </c>
      <c r="T6" s="9"/>
      <c r="U6" s="9" t="s">
        <v>101</v>
      </c>
      <c r="W6" s="9" t="s">
        <v>857</v>
      </c>
    </row>
    <row r="7" spans="1:23">
      <c r="A7" s="8" t="s">
        <v>102</v>
      </c>
      <c r="B7" s="8" t="s">
        <v>103</v>
      </c>
      <c r="C7" s="1443" t="s">
        <v>1513</v>
      </c>
      <c r="F7" s="9" t="s">
        <v>154</v>
      </c>
      <c r="H7" s="9" t="s">
        <v>104</v>
      </c>
      <c r="I7" s="9" t="s">
        <v>105</v>
      </c>
    </row>
    <row r="8" spans="1:23">
      <c r="A8" s="8" t="s">
        <v>106</v>
      </c>
      <c r="B8" s="8" t="s">
        <v>107</v>
      </c>
      <c r="C8" s="1443" t="s">
        <v>1514</v>
      </c>
      <c r="F8" s="9" t="s">
        <v>155</v>
      </c>
      <c r="H8" s="9"/>
      <c r="I8" s="9" t="s">
        <v>108</v>
      </c>
    </row>
    <row r="9" spans="1:23">
      <c r="A9" s="8" t="s">
        <v>109</v>
      </c>
      <c r="B9" s="8" t="s">
        <v>156</v>
      </c>
      <c r="C9" s="1443" t="s">
        <v>1515</v>
      </c>
      <c r="F9" s="9" t="s">
        <v>110</v>
      </c>
      <c r="H9" s="9"/>
    </row>
    <row r="10" spans="1:23">
      <c r="A10" s="8" t="s">
        <v>111</v>
      </c>
      <c r="B10" s="8" t="s">
        <v>157</v>
      </c>
      <c r="C10" s="1443" t="s">
        <v>1516</v>
      </c>
      <c r="F10" s="9" t="s">
        <v>6</v>
      </c>
    </row>
    <row r="11" spans="1:23">
      <c r="A11" s="8" t="s">
        <v>112</v>
      </c>
      <c r="B11" s="8" t="s">
        <v>158</v>
      </c>
      <c r="C11" s="1443" t="s">
        <v>1517</v>
      </c>
    </row>
    <row r="12" spans="1:23">
      <c r="A12" s="8" t="s">
        <v>113</v>
      </c>
      <c r="B12" s="8" t="s">
        <v>159</v>
      </c>
      <c r="C12" s="1443" t="s">
        <v>1518</v>
      </c>
    </row>
    <row r="13" spans="1:23">
      <c r="A13" s="8" t="s">
        <v>114</v>
      </c>
      <c r="B13" s="8" t="s">
        <v>160</v>
      </c>
      <c r="C13" s="1443" t="s">
        <v>1519</v>
      </c>
    </row>
    <row r="14" spans="1:23">
      <c r="A14" s="8" t="s">
        <v>115</v>
      </c>
      <c r="B14" s="8" t="s">
        <v>161</v>
      </c>
      <c r="C14" s="1446" t="s">
        <v>1691</v>
      </c>
    </row>
    <row r="15" spans="1:23">
      <c r="A15" s="8" t="s">
        <v>116</v>
      </c>
      <c r="B15" s="8" t="s">
        <v>1480</v>
      </c>
      <c r="C15" s="1446"/>
    </row>
    <row r="16" spans="1:23">
      <c r="A16" s="8" t="s">
        <v>117</v>
      </c>
      <c r="B16" s="8" t="s">
        <v>1481</v>
      </c>
      <c r="C16" s="1446"/>
    </row>
    <row r="17" spans="1:3">
      <c r="A17" s="8" t="s">
        <v>118</v>
      </c>
      <c r="B17" s="8" t="s">
        <v>1482</v>
      </c>
      <c r="C17" s="1446"/>
    </row>
    <row r="18" spans="1:3">
      <c r="A18" s="8" t="s">
        <v>119</v>
      </c>
      <c r="B18" s="2707" t="s">
        <v>2654</v>
      </c>
      <c r="C18" s="1446"/>
    </row>
    <row r="19" spans="1:3">
      <c r="A19" s="8" t="s">
        <v>120</v>
      </c>
      <c r="B19" s="2707" t="s">
        <v>2661</v>
      </c>
      <c r="C19" s="1446"/>
    </row>
    <row r="20" spans="1:3">
      <c r="A20" s="8" t="s">
        <v>121</v>
      </c>
      <c r="B20" s="2707" t="s">
        <v>2703</v>
      </c>
      <c r="C20" s="1446"/>
    </row>
    <row r="21" spans="1:3">
      <c r="A21" s="8" t="s">
        <v>122</v>
      </c>
      <c r="B21" s="8" t="s">
        <v>2883</v>
      </c>
      <c r="C21" s="1446"/>
    </row>
    <row r="22" spans="1:3">
      <c r="A22" s="8" t="s">
        <v>123</v>
      </c>
      <c r="B22" s="8" t="s">
        <v>1441</v>
      </c>
      <c r="C22" s="1446"/>
    </row>
    <row r="23" spans="1:3">
      <c r="A23" s="8" t="s">
        <v>124</v>
      </c>
      <c r="B23" s="8" t="s">
        <v>1441</v>
      </c>
      <c r="C23" s="1446"/>
    </row>
    <row r="24" spans="1:3">
      <c r="A24" s="8" t="s">
        <v>12</v>
      </c>
      <c r="B24" s="8" t="s">
        <v>1441</v>
      </c>
      <c r="C24" s="1446"/>
    </row>
    <row r="25" spans="1:3">
      <c r="A25" s="8" t="s">
        <v>125</v>
      </c>
      <c r="B25" s="8" t="s">
        <v>1441</v>
      </c>
      <c r="C25" s="1446"/>
    </row>
    <row r="26" spans="1:3">
      <c r="A26" s="8" t="s">
        <v>126</v>
      </c>
      <c r="B26" s="8" t="s">
        <v>1441</v>
      </c>
      <c r="C26" s="1446"/>
    </row>
    <row r="27" spans="1:3">
      <c r="A27" s="8" t="s">
        <v>1441</v>
      </c>
      <c r="B27" s="8" t="s">
        <v>1441</v>
      </c>
      <c r="C27" s="1446"/>
    </row>
    <row r="28" spans="1:3">
      <c r="A28" s="8" t="s">
        <v>1441</v>
      </c>
      <c r="B28" s="8" t="s">
        <v>1441</v>
      </c>
      <c r="C28" s="1446"/>
    </row>
    <row r="29" spans="1:3">
      <c r="A29" s="8" t="s">
        <v>1441</v>
      </c>
      <c r="B29" s="8" t="s">
        <v>1441</v>
      </c>
      <c r="C29" s="1446"/>
    </row>
    <row r="30" spans="1:3">
      <c r="A30" s="8" t="s">
        <v>1441</v>
      </c>
      <c r="B30" s="8" t="s">
        <v>1441</v>
      </c>
      <c r="C30" s="1446"/>
    </row>
    <row r="31" spans="1:3">
      <c r="A31" s="8" t="s">
        <v>1441</v>
      </c>
      <c r="B31" s="8" t="s">
        <v>1441</v>
      </c>
      <c r="C31" s="1446"/>
    </row>
    <row r="32" spans="1:3">
      <c r="A32" s="8" t="s">
        <v>1441</v>
      </c>
      <c r="B32" s="8" t="s">
        <v>1441</v>
      </c>
      <c r="C32" s="1446"/>
    </row>
    <row r="33" spans="1:3">
      <c r="A33" s="8" t="s">
        <v>1441</v>
      </c>
      <c r="B33" s="8" t="s">
        <v>1441</v>
      </c>
      <c r="C33" s="1446"/>
    </row>
    <row r="34" spans="1:3">
      <c r="A34" s="8" t="s">
        <v>1441</v>
      </c>
      <c r="B34" s="8" t="s">
        <v>1441</v>
      </c>
      <c r="C34" s="1446"/>
    </row>
    <row r="35" spans="1:3">
      <c r="A35" s="8" t="s">
        <v>1441</v>
      </c>
      <c r="B35" s="8" t="s">
        <v>1441</v>
      </c>
      <c r="C35" s="1446"/>
    </row>
    <row r="36" spans="1:3">
      <c r="A36" s="8" t="s">
        <v>1441</v>
      </c>
      <c r="B36" s="8" t="s">
        <v>1441</v>
      </c>
      <c r="C36" s="1446"/>
    </row>
    <row r="37" spans="1:3">
      <c r="A37" s="8" t="s">
        <v>1441</v>
      </c>
      <c r="B37" s="8" t="s">
        <v>1441</v>
      </c>
      <c r="C37" s="1446"/>
    </row>
    <row r="38" spans="1:3">
      <c r="A38" s="8" t="s">
        <v>1441</v>
      </c>
      <c r="B38" s="8" t="s">
        <v>1441</v>
      </c>
      <c r="C38" s="1446"/>
    </row>
    <row r="39" spans="1:3">
      <c r="A39" s="8" t="s">
        <v>1441</v>
      </c>
      <c r="B39" s="8" t="s">
        <v>1441</v>
      </c>
      <c r="C39" s="1446"/>
    </row>
    <row r="40" spans="1:3">
      <c r="A40" s="8" t="s">
        <v>1441</v>
      </c>
      <c r="B40" s="8" t="s">
        <v>1441</v>
      </c>
      <c r="C40" s="1446"/>
    </row>
    <row r="41" spans="1:3">
      <c r="A41" s="8" t="s">
        <v>1441</v>
      </c>
      <c r="B41" s="8" t="s">
        <v>1441</v>
      </c>
      <c r="C41" s="1446"/>
    </row>
    <row r="42" spans="1:3">
      <c r="A42" s="8" t="s">
        <v>1441</v>
      </c>
      <c r="B42" s="8" t="s">
        <v>1441</v>
      </c>
      <c r="C42" s="1446"/>
    </row>
    <row r="43" spans="1:3">
      <c r="A43" s="8" t="s">
        <v>1441</v>
      </c>
      <c r="B43" s="8" t="s">
        <v>1441</v>
      </c>
      <c r="C43" s="1446"/>
    </row>
    <row r="44" spans="1:3">
      <c r="A44" s="8" t="s">
        <v>1441</v>
      </c>
      <c r="B44" s="8" t="s">
        <v>1441</v>
      </c>
      <c r="C44" s="1446"/>
    </row>
    <row r="45" spans="1:3">
      <c r="A45" s="8" t="s">
        <v>1441</v>
      </c>
      <c r="B45" s="8" t="s">
        <v>1441</v>
      </c>
      <c r="C45" s="1446"/>
    </row>
    <row r="46" spans="1:3">
      <c r="A46" s="8" t="s">
        <v>1441</v>
      </c>
      <c r="B46" s="8" t="s">
        <v>1441</v>
      </c>
      <c r="C46" s="1446"/>
    </row>
    <row r="47" spans="1:3">
      <c r="A47" s="8" t="s">
        <v>1441</v>
      </c>
      <c r="B47" s="8" t="s">
        <v>1441</v>
      </c>
      <c r="C47" s="1446"/>
    </row>
    <row r="48" spans="1:3">
      <c r="A48" s="8" t="s">
        <v>1441</v>
      </c>
      <c r="B48" s="8" t="s">
        <v>1441</v>
      </c>
      <c r="C48" s="1446"/>
    </row>
    <row r="49" spans="1:5">
      <c r="A49" s="8" t="s">
        <v>1441</v>
      </c>
      <c r="B49" s="8" t="s">
        <v>1441</v>
      </c>
      <c r="C49" s="1446"/>
    </row>
    <row r="50" spans="1:5">
      <c r="A50" s="8" t="s">
        <v>1441</v>
      </c>
      <c r="B50" s="8" t="s">
        <v>1441</v>
      </c>
      <c r="C50" s="1446"/>
    </row>
    <row r="51" spans="1:5">
      <c r="A51" s="1636" t="s">
        <v>1733</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8"/>
    </row>
    <row r="52" spans="1:5">
      <c r="A52" s="1636" t="s">
        <v>1777</v>
      </c>
      <c r="B52" s="1639" t="s">
        <v>1778</v>
      </c>
      <c r="C52" s="1637" t="s">
        <v>1779</v>
      </c>
      <c r="D52" s="1637" t="s">
        <v>1780</v>
      </c>
      <c r="E52" s="1638"/>
    </row>
    <row r="53" spans="1:5">
      <c r="A53" s="3524" t="s">
        <v>1781</v>
      </c>
      <c r="B53" s="1637" t="s">
        <v>1787</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c r="D53" s="1638"/>
      <c r="E53" s="1638"/>
    </row>
    <row r="54" spans="1:5">
      <c r="A54" s="3524"/>
      <c r="B54" s="1637" t="s">
        <v>1788</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8"/>
      <c r="E54" s="1638"/>
    </row>
    <row r="55" spans="1:5">
      <c r="A55" s="3524"/>
      <c r="B55" s="1637" t="s">
        <v>1782</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8"/>
      <c r="E55" s="1638"/>
    </row>
    <row r="56" spans="1:5">
      <c r="A56" s="3524"/>
      <c r="B56" s="1637" t="s">
        <v>1783</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8"/>
      <c r="E56" s="1638"/>
    </row>
    <row r="57" spans="1:5">
      <c r="A57" s="3524"/>
      <c r="B57" s="1637" t="s">
        <v>1784</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1840</v>
      </c>
      <c r="B58" s="1637" t="s">
        <v>1841</v>
      </c>
      <c r="C58" s="11" t="s">
        <v>1842</v>
      </c>
      <c r="D58" s="1235" t="s">
        <v>1843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76号规划指标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典型户型修正</vt:lpstr>
      <vt:lpstr>不动产比较法-公寓</vt:lpstr>
      <vt:lpstr>不动产比较法-车位</vt:lpstr>
      <vt:lpstr>不动产比较法-仓储</vt:lpstr>
      <vt:lpstr>存贷款利率</vt:lpstr>
      <vt:lpstr>不动产收益法</vt:lpstr>
      <vt:lpstr>土地案例</vt:lpstr>
      <vt:lpstr>住宅案例</vt:lpstr>
      <vt:lpstr>商业案例</vt:lpstr>
      <vt:lpstr>Sheet4</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2017-03-09T08:11:21Z</cp:lastPrinted>
  <dcterms:created xsi:type="dcterms:W3CDTF">2015-07-13T07:17:23Z</dcterms:created>
  <dcterms:modified xsi:type="dcterms:W3CDTF">2022-12-06T06:25:22Z</dcterms:modified>
</cp:coreProperties>
</file>