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7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7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典型户型修正" sheetId="31" state="hidden" r:id="rId37"/>
    <sheet name="不动产比较法-公寓" sheetId="73" state="hidden" r:id="rId38"/>
    <sheet name="不动产比较法-车位" sheetId="35" state="hidden" r:id="rId39"/>
    <sheet name="不动产比较法-仓储" sheetId="36" state="hidden" r:id="rId40"/>
    <sheet name="存贷款利率" sheetId="65" state="hidden" r:id="rId41"/>
    <sheet name="不动产收益法" sheetId="15" state="hidden" r:id="rId42"/>
    <sheet name="土地案例" sheetId="70" r:id="rId43"/>
    <sheet name="住宅案例" sheetId="71" state="hidden" r:id="rId44"/>
    <sheet name="商业案例" sheetId="72" state="hidden" r:id="rId45"/>
    <sheet name="Sheet4" sheetId="74" state="hidden" r:id="rId46"/>
    <sheet name="Sheet1" sheetId="75" state="hidden"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R31" i="70" l="1"/>
  <c r="R9" i="70"/>
  <c r="R18" i="70"/>
  <c r="I40" i="39" l="1"/>
  <c r="E40" i="39"/>
  <c r="I9" i="39"/>
  <c r="E9" i="39"/>
  <c r="I7" i="39"/>
  <c r="E7" i="39"/>
  <c r="D10" i="12" l="1"/>
  <c r="E10" i="12"/>
  <c r="C10" i="12"/>
  <c r="E8" i="12"/>
  <c r="D8" i="12"/>
  <c r="C8" i="12"/>
  <c r="F8" i="12" l="1"/>
  <c r="F10" i="12" s="1"/>
  <c r="AL13" i="3" l="1"/>
  <c r="AH13" i="3"/>
  <c r="AD13" i="3"/>
  <c r="O13" i="3"/>
  <c r="M13" i="3"/>
  <c r="K13" i="3"/>
  <c r="I13" i="3"/>
  <c r="A3" i="3"/>
  <c r="I47" i="73" l="1"/>
  <c r="G47" i="73"/>
  <c r="E47" i="73"/>
  <c r="R47" i="73" s="1"/>
  <c r="I33" i="73"/>
  <c r="G33" i="73"/>
  <c r="E33" i="73"/>
  <c r="I5" i="73"/>
  <c r="G5" i="73"/>
  <c r="E5" i="73"/>
  <c r="C145" i="73"/>
  <c r="K143" i="73"/>
  <c r="J142" i="73"/>
  <c r="J140" i="73"/>
  <c r="K145" i="73" s="1"/>
  <c r="K139" i="73"/>
  <c r="K141" i="73" s="1"/>
  <c r="B130" i="73"/>
  <c r="B128" i="73"/>
  <c r="B126" i="73"/>
  <c r="D125" i="73"/>
  <c r="E125" i="73" s="1"/>
  <c r="F125" i="73" s="1"/>
  <c r="G125" i="73" s="1"/>
  <c r="E123" i="73"/>
  <c r="F123" i="73" s="1"/>
  <c r="D123" i="73"/>
  <c r="K119" i="73"/>
  <c r="L119" i="73" s="1"/>
  <c r="M119" i="73" s="1"/>
  <c r="G119" i="73"/>
  <c r="H119" i="73" s="1"/>
  <c r="I119" i="73" s="1"/>
  <c r="J119" i="73" s="1"/>
  <c r="D119" i="73"/>
  <c r="E119" i="73" s="1"/>
  <c r="F119" i="73" s="1"/>
  <c r="D117" i="73"/>
  <c r="E117" i="73" s="1"/>
  <c r="F117" i="73" s="1"/>
  <c r="G117" i="73" s="1"/>
  <c r="E115" i="73"/>
  <c r="F115" i="73" s="1"/>
  <c r="G115" i="73" s="1"/>
  <c r="H115" i="73" s="1"/>
  <c r="I115" i="73" s="1"/>
  <c r="J115" i="73" s="1"/>
  <c r="K115" i="73" s="1"/>
  <c r="L115" i="73" s="1"/>
  <c r="M115" i="73" s="1"/>
  <c r="D115" i="73"/>
  <c r="F113" i="73"/>
  <c r="G113" i="73" s="1"/>
  <c r="E113" i="73"/>
  <c r="D113" i="73"/>
  <c r="H111" i="73"/>
  <c r="G111" i="73"/>
  <c r="F111" i="73"/>
  <c r="E111" i="73"/>
  <c r="D111" i="73"/>
  <c r="C111" i="73"/>
  <c r="F110" i="73"/>
  <c r="G110" i="73" s="1"/>
  <c r="H110" i="73" s="1"/>
  <c r="I110" i="73" s="1"/>
  <c r="J110" i="73" s="1"/>
  <c r="K110" i="73" s="1"/>
  <c r="L110" i="73" s="1"/>
  <c r="M110" i="73" s="1"/>
  <c r="E110" i="73"/>
  <c r="D110" i="73"/>
  <c r="D108" i="73"/>
  <c r="E108" i="73" s="1"/>
  <c r="F108" i="73" s="1"/>
  <c r="G108" i="73" s="1"/>
  <c r="H108" i="73" s="1"/>
  <c r="I108" i="73" s="1"/>
  <c r="J108" i="73" s="1"/>
  <c r="K108" i="73" s="1"/>
  <c r="L108" i="73" s="1"/>
  <c r="M108" i="73" s="1"/>
  <c r="J106" i="73"/>
  <c r="K106" i="73" s="1"/>
  <c r="L106" i="73" s="1"/>
  <c r="M106" i="73" s="1"/>
  <c r="F106" i="73"/>
  <c r="G106" i="73" s="1"/>
  <c r="H106" i="73" s="1"/>
  <c r="I106" i="73" s="1"/>
  <c r="E106" i="73"/>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J89" i="73"/>
  <c r="K89" i="73" s="1"/>
  <c r="L89" i="73" s="1"/>
  <c r="M89" i="73" s="1"/>
  <c r="F89" i="73"/>
  <c r="G89" i="73" s="1"/>
  <c r="H89" i="73" s="1"/>
  <c r="I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F66" i="73"/>
  <c r="G66" i="73" s="1"/>
  <c r="H66" i="73" s="1"/>
  <c r="I66" i="73" s="1"/>
  <c r="E66" i="73"/>
  <c r="D66" i="73"/>
  <c r="C63" i="73"/>
  <c r="P49" i="73"/>
  <c r="P48" i="73"/>
  <c r="K48" i="73"/>
  <c r="P47" i="73"/>
  <c r="T47" i="73"/>
  <c r="Q46" i="73"/>
  <c r="Z46" i="73" s="1"/>
  <c r="J46" i="73"/>
  <c r="AC46" i="73" s="1"/>
  <c r="H46" i="73"/>
  <c r="AB46" i="73" s="1"/>
  <c r="F46" i="73"/>
  <c r="AA46" i="73" s="1"/>
  <c r="Z45" i="73"/>
  <c r="Q45" i="73"/>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F42" i="73"/>
  <c r="AA42" i="73" s="1"/>
  <c r="Z41" i="73"/>
  <c r="Q41" i="73"/>
  <c r="J41" i="73"/>
  <c r="AC41" i="73" s="1"/>
  <c r="H41" i="73"/>
  <c r="AB41" i="73" s="1"/>
  <c r="F41" i="73"/>
  <c r="AA41" i="73" s="1"/>
  <c r="W40" i="73"/>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Z37" i="73"/>
  <c r="Q37" i="73"/>
  <c r="W36" i="73"/>
  <c r="Q36" i="73"/>
  <c r="Z36" i="73" s="1"/>
  <c r="J36" i="73"/>
  <c r="AC36" i="73" s="1"/>
  <c r="H36" i="73"/>
  <c r="AB36" i="73" s="1"/>
  <c r="F36" i="73"/>
  <c r="AA36" i="73" s="1"/>
  <c r="AB35" i="73"/>
  <c r="Q35" i="73"/>
  <c r="Z35" i="73" s="1"/>
  <c r="J35" i="73"/>
  <c r="AC35" i="73" s="1"/>
  <c r="H35" i="73"/>
  <c r="U35" i="73" s="1"/>
  <c r="F35" i="73"/>
  <c r="AA35" i="73" s="1"/>
  <c r="Q34" i="73"/>
  <c r="Z34" i="73" s="1"/>
  <c r="J34" i="73"/>
  <c r="AC34" i="73" s="1"/>
  <c r="H34" i="73"/>
  <c r="U34" i="73" s="1"/>
  <c r="F34" i="73"/>
  <c r="AA34" i="73" s="1"/>
  <c r="Z33" i="73"/>
  <c r="Q33" i="73"/>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AA29" i="73"/>
  <c r="Q29" i="73"/>
  <c r="Z29" i="73" s="1"/>
  <c r="J29" i="73"/>
  <c r="W29" i="73" s="1"/>
  <c r="H29" i="73"/>
  <c r="AB29" i="73" s="1"/>
  <c r="F29" i="73"/>
  <c r="S29" i="73" s="1"/>
  <c r="AC28" i="73"/>
  <c r="AB28" i="73"/>
  <c r="U28" i="73"/>
  <c r="Q28" i="73"/>
  <c r="Z28" i="73" s="1"/>
  <c r="J28" i="73"/>
  <c r="W28" i="73" s="1"/>
  <c r="H28" i="73"/>
  <c r="F28" i="73"/>
  <c r="AA28" i="73" s="1"/>
  <c r="Q27" i="73"/>
  <c r="Z27" i="73" s="1"/>
  <c r="J27" i="73"/>
  <c r="W27" i="73" s="1"/>
  <c r="H27" i="73"/>
  <c r="AB27" i="73" s="1"/>
  <c r="F27" i="73"/>
  <c r="S27" i="73" s="1"/>
  <c r="AA26" i="73"/>
  <c r="Q26" i="73"/>
  <c r="Z26" i="73" s="1"/>
  <c r="J26" i="73"/>
  <c r="AC26" i="73" s="1"/>
  <c r="H26" i="73"/>
  <c r="U26" i="73" s="1"/>
  <c r="F26" i="73"/>
  <c r="S26" i="73" s="1"/>
  <c r="AC25" i="73"/>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AB8" i="73"/>
  <c r="AA8" i="73"/>
  <c r="S8" i="73"/>
  <c r="J8" i="73"/>
  <c r="W8" i="73" s="1"/>
  <c r="H8" i="73"/>
  <c r="U8" i="73" s="1"/>
  <c r="F8" i="73"/>
  <c r="C7" i="73"/>
  <c r="C58" i="73" s="1"/>
  <c r="I33" i="33"/>
  <c r="G33" i="33"/>
  <c r="E33" i="33"/>
  <c r="I5" i="33"/>
  <c r="G5" i="33"/>
  <c r="E5" i="33"/>
  <c r="I47" i="21"/>
  <c r="G47" i="21"/>
  <c r="E47" i="21"/>
  <c r="I33" i="21"/>
  <c r="G33" i="21"/>
  <c r="E33" i="21"/>
  <c r="I11" i="21"/>
  <c r="G11" i="21"/>
  <c r="E11" i="21"/>
  <c r="I54" i="73" l="1"/>
  <c r="J54" i="73" s="1"/>
  <c r="AB32" i="73"/>
  <c r="D58" i="73"/>
  <c r="E58" i="73" s="1"/>
  <c r="F58" i="73" s="1"/>
  <c r="G58" i="73" s="1"/>
  <c r="H58" i="73" s="1"/>
  <c r="I58" i="73" s="1"/>
  <c r="J58" i="73" s="1"/>
  <c r="K58" i="73" s="1"/>
  <c r="L58" i="73" s="1"/>
  <c r="M58" i="73" s="1"/>
  <c r="N58" i="73" s="1"/>
  <c r="O58" i="73" s="1"/>
  <c r="J7" i="73"/>
  <c r="F7" i="73"/>
  <c r="H7"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U7" i="73"/>
  <c r="AB7" i="73"/>
  <c r="AC42" i="73"/>
  <c r="W42" i="73"/>
  <c r="AB19" i="73"/>
  <c r="U19" i="73"/>
  <c r="AC37" i="73"/>
  <c r="W37" i="73"/>
  <c r="AA7" i="73"/>
  <c r="S7" i="73"/>
  <c r="AA37" i="73"/>
  <c r="S37" i="73"/>
  <c r="AC7" i="73"/>
  <c r="W7" i="73"/>
  <c r="AB37" i="73"/>
  <c r="U37" i="73"/>
  <c r="G22" i="6"/>
  <c r="F20" i="6"/>
  <c r="B24" i="31" s="1"/>
  <c r="B25" i="31" s="1"/>
  <c r="F21" i="6"/>
  <c r="F19" i="6"/>
  <c r="C40" i="39"/>
  <c r="E28" i="69"/>
  <c r="E2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AB24" i="59" s="1"/>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B32" i="59"/>
  <c r="S2" i="31"/>
  <c r="M2" i="31"/>
  <c r="N2" i="31"/>
  <c r="O2" i="31"/>
  <c r="P2" i="31"/>
  <c r="Q2" i="31"/>
  <c r="R2" i="31"/>
  <c r="C25" i="59"/>
  <c r="C24" i="59"/>
  <c r="C3" i="65"/>
  <c r="C1" i="65"/>
  <c r="N1" i="65" s="1"/>
  <c r="T25" i="59"/>
  <c r="D25" i="59"/>
  <c r="B76" i="63"/>
  <c r="M5" i="54"/>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B41" i="63"/>
  <c r="G5" i="54"/>
  <c r="B34" i="63" s="1"/>
  <c r="E5" i="54"/>
  <c r="B32" i="63"/>
  <c r="R2" i="54"/>
  <c r="B24" i="63" s="1"/>
  <c r="B49" i="50"/>
  <c r="B5" i="63"/>
  <c r="B40" i="50"/>
  <c r="B3" i="63" s="1"/>
  <c r="B67" i="63"/>
  <c r="I19" i="46"/>
  <c r="Q29" i="59"/>
  <c r="F29" i="59" s="1"/>
  <c r="P29" i="59"/>
  <c r="E29" i="59" s="1"/>
  <c r="O29" i="59"/>
  <c r="N29" i="59"/>
  <c r="D90" i="59"/>
  <c r="F89" i="59"/>
  <c r="F88" i="59" s="1"/>
  <c r="E89" i="59"/>
  <c r="E88" i="59"/>
  <c r="E87" i="59" s="1"/>
  <c r="C89" i="59"/>
  <c r="D89" i="59"/>
  <c r="B89" i="59"/>
  <c r="B88" i="59" s="1"/>
  <c r="B87" i="59" s="1"/>
  <c r="F87" i="59"/>
  <c r="D86" i="59"/>
  <c r="F85" i="59"/>
  <c r="F84" i="59" s="1"/>
  <c r="F83" i="59" s="1"/>
  <c r="E85" i="59"/>
  <c r="E84" i="59"/>
  <c r="E83" i="59" s="1"/>
  <c r="C85" i="59"/>
  <c r="D85" i="59"/>
  <c r="B85" i="59"/>
  <c r="B84" i="59" s="1"/>
  <c r="B83" i="59"/>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c r="Q72" i="59"/>
  <c r="P72" i="59"/>
  <c r="O72" i="59"/>
  <c r="N72" i="59"/>
  <c r="F72" i="59"/>
  <c r="F71" i="59" s="1"/>
  <c r="B72" i="59"/>
  <c r="B71" i="59" s="1"/>
  <c r="Q71" i="59"/>
  <c r="P71" i="59"/>
  <c r="O71" i="59"/>
  <c r="N71" i="59"/>
  <c r="Q70" i="59"/>
  <c r="P70" i="59"/>
  <c r="O70" i="59"/>
  <c r="N70" i="59"/>
  <c r="D70" i="59"/>
  <c r="F69" i="59"/>
  <c r="V69" i="59"/>
  <c r="E69" i="59"/>
  <c r="E68" i="59"/>
  <c r="P68" i="59" s="1"/>
  <c r="C69" i="59"/>
  <c r="B69" i="59"/>
  <c r="F68" i="59"/>
  <c r="F67" i="59"/>
  <c r="Q66" i="59" s="1"/>
  <c r="Q67" i="59"/>
  <c r="D66" i="59"/>
  <c r="Q65" i="59"/>
  <c r="P65" i="59"/>
  <c r="O65" i="59"/>
  <c r="N65" i="59"/>
  <c r="Q64" i="59"/>
  <c r="P64" i="59"/>
  <c r="O64" i="59"/>
  <c r="N64" i="59"/>
  <c r="Q63" i="59"/>
  <c r="P63" i="59"/>
  <c r="O63" i="59"/>
  <c r="N63" i="59"/>
  <c r="Q62" i="59"/>
  <c r="F63" i="59"/>
  <c r="F64" i="59" s="1"/>
  <c r="F65" i="59" s="1"/>
  <c r="P62" i="59"/>
  <c r="E63" i="59"/>
  <c r="O62" i="59"/>
  <c r="C63" i="59"/>
  <c r="D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c r="F53" i="59" s="1"/>
  <c r="V53" i="59"/>
  <c r="P50" i="59"/>
  <c r="E51" i="59"/>
  <c r="E52" i="59" s="1"/>
  <c r="O50" i="59"/>
  <c r="C51" i="59"/>
  <c r="N50" i="59"/>
  <c r="B51" i="59"/>
  <c r="D50" i="59"/>
  <c r="T49" i="59"/>
  <c r="Q49" i="59"/>
  <c r="P49" i="59"/>
  <c r="O49" i="59"/>
  <c r="N49" i="59"/>
  <c r="D49" i="59"/>
  <c r="Q48" i="59"/>
  <c r="P48" i="59"/>
  <c r="O48" i="59"/>
  <c r="N48" i="59"/>
  <c r="Q47" i="59"/>
  <c r="P47" i="59"/>
  <c r="O47" i="59"/>
  <c r="C48" i="59" s="1"/>
  <c r="D48" i="59" s="1"/>
  <c r="N47" i="59"/>
  <c r="Q46" i="59"/>
  <c r="F47" i="59" s="1"/>
  <c r="F48" i="59" s="1"/>
  <c r="F49" i="59" s="1"/>
  <c r="V49" i="59" s="1"/>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O42" i="59"/>
  <c r="C43" i="59" s="1"/>
  <c r="N42" i="59"/>
  <c r="B43" i="59" s="1"/>
  <c r="B44" i="59"/>
  <c r="B45" i="59" s="1"/>
  <c r="S45" i="59" s="1"/>
  <c r="D42" i="59"/>
  <c r="Q41" i="59"/>
  <c r="P41" i="59"/>
  <c r="O41" i="59"/>
  <c r="N41" i="59"/>
  <c r="Q40" i="59"/>
  <c r="P40" i="59"/>
  <c r="O40" i="59"/>
  <c r="Y40" i="59"/>
  <c r="Z40" i="59" s="1"/>
  <c r="N40" i="59"/>
  <c r="X40" i="59"/>
  <c r="Q39" i="59"/>
  <c r="P39" i="59"/>
  <c r="O39" i="59"/>
  <c r="Y39" i="59" s="1"/>
  <c r="N39" i="59"/>
  <c r="Q38" i="59"/>
  <c r="P38" i="59"/>
  <c r="E39" i="59" s="1"/>
  <c r="E40" i="59"/>
  <c r="E41" i="59" s="1"/>
  <c r="U41" i="59" s="1"/>
  <c r="O38" i="59"/>
  <c r="Y38" i="59" s="1"/>
  <c r="Z38" i="59" s="1"/>
  <c r="N38" i="59"/>
  <c r="X38" i="59" s="1"/>
  <c r="B39" i="59"/>
  <c r="D38" i="59"/>
  <c r="Q37" i="59"/>
  <c r="AB37" i="59" s="1"/>
  <c r="P37" i="59"/>
  <c r="AA37" i="59" s="1"/>
  <c r="O37" i="59"/>
  <c r="N37" i="59"/>
  <c r="X37" i="59" s="1"/>
  <c r="Q36" i="59"/>
  <c r="AB36" i="59" s="1"/>
  <c r="P36" i="59"/>
  <c r="O36" i="59"/>
  <c r="N36" i="59"/>
  <c r="X36" i="59" s="1"/>
  <c r="Q35" i="59"/>
  <c r="AB35" i="59" s="1"/>
  <c r="P35" i="59"/>
  <c r="O35" i="59"/>
  <c r="N35" i="59"/>
  <c r="X35" i="59" s="1"/>
  <c r="Q34" i="59"/>
  <c r="AB34" i="59" s="1"/>
  <c r="F35" i="59"/>
  <c r="P34" i="59"/>
  <c r="E35" i="59"/>
  <c r="E36" i="59" s="1"/>
  <c r="E37" i="59" s="1"/>
  <c r="U37" i="59" s="1"/>
  <c r="O34" i="59"/>
  <c r="C35" i="59"/>
  <c r="N34" i="59"/>
  <c r="D34" i="59"/>
  <c r="Q33" i="59"/>
  <c r="AB33" i="59" s="1"/>
  <c r="P33" i="59"/>
  <c r="O33" i="59"/>
  <c r="Y33" i="59" s="1"/>
  <c r="Z33" i="59" s="1"/>
  <c r="N33" i="59"/>
  <c r="Q32" i="59"/>
  <c r="P32" i="59"/>
  <c r="O32" i="59"/>
  <c r="Y32" i="59" s="1"/>
  <c r="Z32" i="59" s="1"/>
  <c r="N32" i="59"/>
  <c r="Q31" i="59"/>
  <c r="AB31" i="59" s="1"/>
  <c r="P31" i="59"/>
  <c r="O31" i="59"/>
  <c r="N31" i="59"/>
  <c r="Q30" i="59"/>
  <c r="F31" i="59" s="1"/>
  <c r="F32" i="59" s="1"/>
  <c r="F33" i="59" s="1"/>
  <c r="V33" i="59" s="1"/>
  <c r="P30" i="59"/>
  <c r="O30" i="59"/>
  <c r="C31" i="59"/>
  <c r="N30" i="59"/>
  <c r="B31" i="59"/>
  <c r="B32" i="59" s="1"/>
  <c r="B33" i="59" s="1"/>
  <c r="S33" i="59" s="1"/>
  <c r="D30" i="59"/>
  <c r="AA26" i="59"/>
  <c r="Y28" i="59"/>
  <c r="Z28" i="59" s="1"/>
  <c r="AB29" i="59"/>
  <c r="AB26" i="59"/>
  <c r="AB28" i="59"/>
  <c r="E31" i="59"/>
  <c r="E32" i="59" s="1"/>
  <c r="E33" i="59" s="1"/>
  <c r="U33" i="59" s="1"/>
  <c r="B52" i="59"/>
  <c r="B53" i="59" s="1"/>
  <c r="S53" i="59" s="1"/>
  <c r="E53" i="59"/>
  <c r="U53" i="59" s="1"/>
  <c r="Z39" i="59"/>
  <c r="AA40" i="59"/>
  <c r="F36" i="59"/>
  <c r="F37" i="59" s="1"/>
  <c r="V37" i="59" s="1"/>
  <c r="F56" i="59"/>
  <c r="F57" i="59" s="1"/>
  <c r="V57" i="59" s="1"/>
  <c r="F61" i="59"/>
  <c r="V61" i="59" s="1"/>
  <c r="V65" i="59"/>
  <c r="D31" i="59"/>
  <c r="C44" i="59"/>
  <c r="D43" i="59"/>
  <c r="D47" i="59"/>
  <c r="C56" i="59"/>
  <c r="C57" i="59" s="1"/>
  <c r="D57" i="59" s="1"/>
  <c r="D55" i="59"/>
  <c r="C60" i="59"/>
  <c r="D60" i="59" s="1"/>
  <c r="D59" i="59"/>
  <c r="C64" i="59"/>
  <c r="C65" i="59" s="1"/>
  <c r="E67" i="59"/>
  <c r="P66" i="59" s="1"/>
  <c r="Q68" i="59"/>
  <c r="T69" i="59"/>
  <c r="O69" i="59"/>
  <c r="D69" i="59"/>
  <c r="C68" i="59"/>
  <c r="P69" i="59"/>
  <c r="U69" i="59"/>
  <c r="Q69" i="59"/>
  <c r="E72" i="59"/>
  <c r="E71" i="59" s="1"/>
  <c r="E76" i="59"/>
  <c r="E75" i="59" s="1"/>
  <c r="C80" i="59"/>
  <c r="C79" i="59" s="1"/>
  <c r="D79" i="59" s="1"/>
  <c r="E80" i="59"/>
  <c r="E79" i="59" s="1"/>
  <c r="D81" i="59"/>
  <c r="C84" i="59"/>
  <c r="D84" i="59" s="1"/>
  <c r="C88" i="59"/>
  <c r="U16" i="4"/>
  <c r="S16" i="4"/>
  <c r="Q16" i="4"/>
  <c r="O16" i="4"/>
  <c r="M16" i="4"/>
  <c r="K16" i="4"/>
  <c r="P67" i="59"/>
  <c r="D80" i="59"/>
  <c r="C67" i="59"/>
  <c r="D67" i="59" s="1"/>
  <c r="O68" i="59"/>
  <c r="D68" i="59"/>
  <c r="C83" i="59"/>
  <c r="D83" i="59" s="1"/>
  <c r="D64" i="59"/>
  <c r="C61" i="59"/>
  <c r="D61" i="59" s="1"/>
  <c r="C45" i="59"/>
  <c r="D45" i="59" s="1"/>
  <c r="D44" i="59"/>
  <c r="T61" i="59"/>
  <c r="T45" i="59"/>
  <c r="T57"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E66" i="36"/>
  <c r="H18" i="35"/>
  <c r="J18" i="35"/>
  <c r="H21" i="37"/>
  <c r="J21" i="37"/>
  <c r="E84" i="34"/>
  <c r="F84" i="34"/>
  <c r="G84" i="34" s="1"/>
  <c r="J21" i="34"/>
  <c r="H21" i="34"/>
  <c r="F21" i="33"/>
  <c r="S21" i="33" s="1"/>
  <c r="H21" i="33"/>
  <c r="J21" i="33"/>
  <c r="F83" i="21"/>
  <c r="G83" i="21" s="1"/>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c r="K66" i="46"/>
  <c r="M65" i="46"/>
  <c r="N65" i="46"/>
  <c r="K65" i="46"/>
  <c r="J65" i="46" s="1"/>
  <c r="D65" i="46"/>
  <c r="M64" i="46"/>
  <c r="N64" i="46"/>
  <c r="K64" i="46"/>
  <c r="J64" i="46" s="1"/>
  <c r="D64" i="46"/>
  <c r="M63" i="46"/>
  <c r="N63" i="46" s="1"/>
  <c r="K63" i="46"/>
  <c r="J63" i="46"/>
  <c r="D63" i="46"/>
  <c r="M62" i="46"/>
  <c r="N62" i="46" s="1"/>
  <c r="K62" i="46"/>
  <c r="J62" i="46"/>
  <c r="D62" i="46"/>
  <c r="M61" i="46"/>
  <c r="N61" i="46"/>
  <c r="K61" i="46"/>
  <c r="J61" i="46" s="1"/>
  <c r="D61" i="46"/>
  <c r="M60" i="46"/>
  <c r="N60" i="46"/>
  <c r="K60" i="46"/>
  <c r="J60" i="46" s="1"/>
  <c r="D60" i="46"/>
  <c r="M59" i="46"/>
  <c r="N59" i="46" s="1"/>
  <c r="K59" i="46"/>
  <c r="J59" i="46"/>
  <c r="D59" i="46"/>
  <c r="M58" i="46"/>
  <c r="N58" i="46" s="1"/>
  <c r="M55" i="46"/>
  <c r="N55" i="46"/>
  <c r="K55" i="46"/>
  <c r="J55" i="46" s="1"/>
  <c r="M54" i="46"/>
  <c r="N54" i="46"/>
  <c r="K54" i="46"/>
  <c r="M53" i="46"/>
  <c r="N53" i="46"/>
  <c r="K53" i="46"/>
  <c r="J53" i="46" s="1"/>
  <c r="D53" i="46"/>
  <c r="M52" i="46"/>
  <c r="N52" i="46"/>
  <c r="K52" i="46"/>
  <c r="J52" i="46" s="1"/>
  <c r="D52" i="46"/>
  <c r="M51" i="46"/>
  <c r="N51" i="46" s="1"/>
  <c r="K51" i="46"/>
  <c r="J51" i="46"/>
  <c r="M50" i="46"/>
  <c r="N50" i="46" s="1"/>
  <c r="M49" i="46"/>
  <c r="N49" i="46"/>
  <c r="K49" i="46"/>
  <c r="J49" i="46" s="1"/>
  <c r="D49" i="46"/>
  <c r="M48" i="46"/>
  <c r="N48" i="46"/>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AZ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AZ427" i="3" s="1"/>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D3" i="33" s="1"/>
  <c r="E21" i="6"/>
  <c r="D3" i="73" s="1"/>
  <c r="E22" i="6"/>
  <c r="F9" i="12" s="1"/>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B5" i="3" s="1"/>
  <c r="E5" i="6" s="1"/>
  <c r="D12" i="11" s="1"/>
  <c r="C12" i="11" s="1"/>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22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c r="AC24" i="35" s="1"/>
  <c r="B73" i="35"/>
  <c r="J23" i="35" s="1"/>
  <c r="B57" i="35"/>
  <c r="B61" i="35"/>
  <c r="B59" i="35"/>
  <c r="F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D70" i="35"/>
  <c r="E70" i="35"/>
  <c r="F70" i="35"/>
  <c r="G70" i="35" s="1"/>
  <c r="D66" i="35"/>
  <c r="E66" i="35"/>
  <c r="F66" i="35"/>
  <c r="G66" i="35" s="1"/>
  <c r="D64" i="35"/>
  <c r="E64" i="35"/>
  <c r="F64" i="35"/>
  <c r="G64" i="35" s="1"/>
  <c r="F56" i="35"/>
  <c r="G56" i="35"/>
  <c r="H56" i="35"/>
  <c r="I56" i="35" s="1"/>
  <c r="C53" i="35"/>
  <c r="H9" i="35"/>
  <c r="AB9" i="35"/>
  <c r="P39" i="35"/>
  <c r="P38" i="35"/>
  <c r="V37" i="35"/>
  <c r="T37" i="35"/>
  <c r="R37" i="35"/>
  <c r="P37" i="35"/>
  <c r="Q36" i="35"/>
  <c r="Z36" i="35"/>
  <c r="Q35" i="35"/>
  <c r="Z35" i="35"/>
  <c r="Q34" i="35"/>
  <c r="Z34" i="35" s="1"/>
  <c r="J34" i="35"/>
  <c r="AC34" i="35" s="1"/>
  <c r="H34" i="35"/>
  <c r="AB34" i="35" s="1"/>
  <c r="F34" i="35"/>
  <c r="Q33" i="35"/>
  <c r="Z33" i="35" s="1"/>
  <c r="Q32" i="35"/>
  <c r="Z32" i="35"/>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c r="I124" i="34" s="1"/>
  <c r="J124" i="34" s="1"/>
  <c r="K124" i="34" s="1"/>
  <c r="L124" i="34" s="1"/>
  <c r="M124" i="34" s="1"/>
  <c r="J43" i="34"/>
  <c r="AC43" i="34" s="1"/>
  <c r="D118" i="34"/>
  <c r="E118" i="34" s="1"/>
  <c r="F118" i="34" s="1"/>
  <c r="G118" i="34" s="1"/>
  <c r="H40" i="34"/>
  <c r="U40" i="34" s="1"/>
  <c r="D116" i="34"/>
  <c r="E116" i="34"/>
  <c r="F116" i="34"/>
  <c r="G116" i="34" s="1"/>
  <c r="H116" i="34" s="1"/>
  <c r="I116" i="34" s="1"/>
  <c r="J116" i="34" s="1"/>
  <c r="K116" i="34"/>
  <c r="L116" i="34" s="1"/>
  <c r="M116" i="34" s="1"/>
  <c r="F110" i="34"/>
  <c r="E110" i="34"/>
  <c r="D110" i="34"/>
  <c r="C110" i="34"/>
  <c r="D109" i="34"/>
  <c r="E109" i="34"/>
  <c r="F109" i="34" s="1"/>
  <c r="G109" i="34"/>
  <c r="H109" i="34" s="1"/>
  <c r="I109" i="34" s="1"/>
  <c r="J109" i="34" s="1"/>
  <c r="K109" i="34" s="1"/>
  <c r="L109" i="34"/>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s="1"/>
  <c r="Q37" i="34"/>
  <c r="Z37" i="34" s="1"/>
  <c r="Q36" i="34"/>
  <c r="Z36" i="34"/>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s="1"/>
  <c r="F10" i="34"/>
  <c r="AA10" i="34"/>
  <c r="Q9" i="34"/>
  <c r="Z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c r="M101" i="33" s="1"/>
  <c r="B92" i="33"/>
  <c r="B90" i="33"/>
  <c r="H27" i="33"/>
  <c r="U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c r="Q43" i="33"/>
  <c r="Z43" i="33" s="1"/>
  <c r="Q42" i="33"/>
  <c r="Z42" i="33"/>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H12" i="33"/>
  <c r="U12" i="33"/>
  <c r="F12" i="33"/>
  <c r="S12" i="33" s="1"/>
  <c r="Q11" i="33"/>
  <c r="Z11" i="33"/>
  <c r="Q10" i="33"/>
  <c r="Z10" i="33" s="1"/>
  <c r="Q9" i="33"/>
  <c r="Z9" i="33"/>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D81" i="21"/>
  <c r="E81" i="21" s="1"/>
  <c r="F81" i="21" s="1"/>
  <c r="G81" i="21" s="1"/>
  <c r="D77" i="21"/>
  <c r="E77" i="21" s="1"/>
  <c r="B130" i="21"/>
  <c r="B128" i="21"/>
  <c r="B126" i="21"/>
  <c r="B98" i="21"/>
  <c r="B96" i="21"/>
  <c r="B94" i="21"/>
  <c r="B92" i="21"/>
  <c r="F28" i="21" s="1"/>
  <c r="B90" i="21"/>
  <c r="B74" i="21"/>
  <c r="B72" i="21"/>
  <c r="B70" i="21"/>
  <c r="F10" i="21"/>
  <c r="AA10" i="21"/>
  <c r="C7" i="21"/>
  <c r="C58" i="21" s="1"/>
  <c r="D58" i="21" s="1"/>
  <c r="E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BB12" i="3"/>
  <c r="E9" i="12"/>
  <c r="G9" i="12"/>
  <c r="K5" i="3"/>
  <c r="J5" i="3"/>
  <c r="BE10" i="3"/>
  <c r="BD13" i="3"/>
  <c r="BD5" i="3" s="1"/>
  <c r="BE13" i="3"/>
  <c r="BF13" i="3"/>
  <c r="BG13" i="3"/>
  <c r="BG5" i="3" s="1"/>
  <c r="BH13" i="3"/>
  <c r="BI13" i="3"/>
  <c r="BJ13" i="3"/>
  <c r="BJ5" i="3" s="1"/>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c r="F32" i="21"/>
  <c r="F38" i="21"/>
  <c r="S38" i="21"/>
  <c r="F36" i="21"/>
  <c r="S36" i="21" s="1"/>
  <c r="F39" i="21"/>
  <c r="AA39" i="21"/>
  <c r="J40" i="21"/>
  <c r="H35" i="21"/>
  <c r="AB35" i="21"/>
  <c r="J8" i="21"/>
  <c r="J9" i="21"/>
  <c r="AC9" i="21"/>
  <c r="H8" i="21"/>
  <c r="H9" i="21"/>
  <c r="AB9" i="21" s="1"/>
  <c r="H10" i="21"/>
  <c r="U10" i="21"/>
  <c r="H39" i="21"/>
  <c r="AB39" i="21" s="1"/>
  <c r="J34" i="21"/>
  <c r="AC34" i="21" s="1"/>
  <c r="W34" i="21"/>
  <c r="H36" i="21"/>
  <c r="U36" i="21" s="1"/>
  <c r="F35" i="21"/>
  <c r="AA35" i="21"/>
  <c r="J10" i="21"/>
  <c r="AC10" i="21"/>
  <c r="H26" i="21"/>
  <c r="F19" i="21"/>
  <c r="AA19" i="21" s="1"/>
  <c r="H19" i="21"/>
  <c r="U19" i="21" s="1"/>
  <c r="J19" i="21"/>
  <c r="W19" i="21" s="1"/>
  <c r="H12" i="21"/>
  <c r="U12" i="21" s="1"/>
  <c r="J26" i="21"/>
  <c r="W26" i="21"/>
  <c r="F26" i="21"/>
  <c r="AA26" i="21" s="1"/>
  <c r="AB41" i="21"/>
  <c r="S41" i="21"/>
  <c r="AA41" i="21"/>
  <c r="S10" i="39"/>
  <c r="U30" i="37"/>
  <c r="E103" i="37"/>
  <c r="F103" i="37" s="1"/>
  <c r="F39" i="37"/>
  <c r="S39" i="37"/>
  <c r="W39" i="37"/>
  <c r="F29" i="36"/>
  <c r="AA29" i="36" s="1"/>
  <c r="F16" i="36"/>
  <c r="AA16" i="36"/>
  <c r="U22" i="36"/>
  <c r="W23" i="36"/>
  <c r="W22" i="36"/>
  <c r="U26" i="36"/>
  <c r="J33" i="36"/>
  <c r="W33" i="36"/>
  <c r="AC27" i="35"/>
  <c r="U31" i="35"/>
  <c r="W24" i="35"/>
  <c r="S31" i="35"/>
  <c r="W31" i="35"/>
  <c r="U34" i="35"/>
  <c r="F36" i="34"/>
  <c r="S36" i="34" s="1"/>
  <c r="S34" i="34"/>
  <c r="W39" i="34"/>
  <c r="H39" i="33"/>
  <c r="AB39" i="33" s="1"/>
  <c r="F26" i="33"/>
  <c r="AA26" i="33"/>
  <c r="W38" i="33"/>
  <c r="S40" i="33"/>
  <c r="U38" i="33"/>
  <c r="S8" i="21"/>
  <c r="H39" i="37"/>
  <c r="AB39" i="37"/>
  <c r="AB27" i="35"/>
  <c r="W10" i="40"/>
  <c r="U11" i="40"/>
  <c r="U36" i="40"/>
  <c r="AA38" i="21"/>
  <c r="AB36" i="21"/>
  <c r="C29" i="39"/>
  <c r="C23" i="39"/>
  <c r="H32" i="33"/>
  <c r="AB32" i="33"/>
  <c r="F85" i="40"/>
  <c r="G85" i="40" s="1"/>
  <c r="AA12" i="33"/>
  <c r="J27" i="36"/>
  <c r="W27" i="36"/>
  <c r="J34" i="36"/>
  <c r="W34" i="36" s="1"/>
  <c r="J30" i="35"/>
  <c r="W30" i="35"/>
  <c r="F22" i="35"/>
  <c r="AA22" i="35" s="1"/>
  <c r="H10" i="35"/>
  <c r="U10" i="35"/>
  <c r="AC24" i="36"/>
  <c r="U29" i="36"/>
  <c r="U24" i="36"/>
  <c r="E85" i="36"/>
  <c r="F85" i="36" s="1"/>
  <c r="G85" i="36" s="1"/>
  <c r="H85" i="36" s="1"/>
  <c r="I85" i="36" s="1"/>
  <c r="J85" i="36" s="1"/>
  <c r="K85" i="36" s="1"/>
  <c r="L85" i="36" s="1"/>
  <c r="M85" i="36" s="1"/>
  <c r="J29" i="36"/>
  <c r="AC29" i="36" s="1"/>
  <c r="F12" i="36"/>
  <c r="S12" i="36"/>
  <c r="F24" i="36"/>
  <c r="AA24" i="36" s="1"/>
  <c r="F34" i="36"/>
  <c r="S34" i="36"/>
  <c r="S10" i="36"/>
  <c r="AB8"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H36" i="34"/>
  <c r="U36" i="34" s="1"/>
  <c r="F37" i="34"/>
  <c r="AA37" i="34"/>
  <c r="F33" i="34"/>
  <c r="S33" i="34" s="1"/>
  <c r="AA28" i="34"/>
  <c r="F19" i="34"/>
  <c r="AA19" i="34" s="1"/>
  <c r="J10" i="34"/>
  <c r="AC10" i="34"/>
  <c r="J28" i="34"/>
  <c r="W28" i="34"/>
  <c r="S38" i="33"/>
  <c r="E113" i="33"/>
  <c r="F36" i="33"/>
  <c r="S36" i="33"/>
  <c r="F19" i="33"/>
  <c r="S19" i="33" s="1"/>
  <c r="J19" i="33"/>
  <c r="S10" i="21"/>
  <c r="W40" i="33"/>
  <c r="AB30" i="36"/>
  <c r="AC34" i="36"/>
  <c r="S22" i="35"/>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J14" i="21"/>
  <c r="W14" i="21" s="1"/>
  <c r="F14" i="21"/>
  <c r="AA14" i="21" s="1"/>
  <c r="H14" i="21"/>
  <c r="U14" i="21"/>
  <c r="H28" i="21"/>
  <c r="AB28" i="21" s="1"/>
  <c r="J28" i="21"/>
  <c r="AC28" i="21" s="1"/>
  <c r="H30" i="21"/>
  <c r="U30" i="21" s="1"/>
  <c r="F30" i="21"/>
  <c r="S30" i="21" s="1"/>
  <c r="J30" i="21"/>
  <c r="H44" i="21"/>
  <c r="U44" i="21" s="1"/>
  <c r="H46" i="21"/>
  <c r="AB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S45" i="21" s="1"/>
  <c r="AA45" i="21"/>
  <c r="H45" i="21"/>
  <c r="U45" i="21"/>
  <c r="J27" i="33"/>
  <c r="AC27" i="33"/>
  <c r="F27" i="33"/>
  <c r="S27" i="33"/>
  <c r="F13" i="33"/>
  <c r="S13"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c r="F105" i="37"/>
  <c r="AB36" i="37"/>
  <c r="F107" i="37"/>
  <c r="J37" i="37"/>
  <c r="AC37" i="37" s="1"/>
  <c r="H37" i="37"/>
  <c r="U37" i="37"/>
  <c r="H40" i="37"/>
  <c r="U40" i="37" s="1"/>
  <c r="J40" i="37"/>
  <c r="F40" i="37"/>
  <c r="AA40" i="37"/>
  <c r="H14" i="33"/>
  <c r="U14" i="33" s="1"/>
  <c r="F14" i="33"/>
  <c r="AA14" i="33"/>
  <c r="J14" i="33"/>
  <c r="AC14" i="33" s="1"/>
  <c r="H30" i="33"/>
  <c r="AB30" i="33" s="1"/>
  <c r="F30" i="33"/>
  <c r="S30" i="33" s="1"/>
  <c r="J30" i="33"/>
  <c r="H44" i="33"/>
  <c r="U44" i="33" s="1"/>
  <c r="AC44" i="33"/>
  <c r="F44" i="33"/>
  <c r="S44" i="33" s="1"/>
  <c r="J46" i="33"/>
  <c r="AC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AA45" i="34"/>
  <c r="H47" i="34"/>
  <c r="U47" i="34" s="1"/>
  <c r="F47" i="34"/>
  <c r="AA47" i="34"/>
  <c r="J47" i="34"/>
  <c r="AC47" i="34" s="1"/>
  <c r="J13" i="35"/>
  <c r="AC13" i="35"/>
  <c r="J25" i="35"/>
  <c r="AC25" i="35"/>
  <c r="F25" i="35"/>
  <c r="AA25" i="35"/>
  <c r="H25" i="35"/>
  <c r="AB25" i="35"/>
  <c r="F35" i="35"/>
  <c r="S35" i="35" s="1"/>
  <c r="J25" i="36"/>
  <c r="W25" i="36" s="1"/>
  <c r="F25" i="36"/>
  <c r="AA25" i="36"/>
  <c r="H25" i="36"/>
  <c r="AB25" i="36" s="1"/>
  <c r="H13" i="37"/>
  <c r="AB13" i="37"/>
  <c r="F13" i="37"/>
  <c r="S13" i="37" s="1"/>
  <c r="J13" i="37"/>
  <c r="AC13" i="37"/>
  <c r="F28" i="37"/>
  <c r="AA28" i="37" s="1"/>
  <c r="J28" i="37"/>
  <c r="AC28" i="37"/>
  <c r="H28" i="37"/>
  <c r="U28" i="37" s="1"/>
  <c r="H38" i="37"/>
  <c r="AB38" i="37"/>
  <c r="J38" i="37"/>
  <c r="AC38" i="37" s="1"/>
  <c r="F38" i="37"/>
  <c r="S38" i="37"/>
  <c r="F14" i="37"/>
  <c r="AA14" i="37" s="1"/>
  <c r="F27" i="37"/>
  <c r="AA27" i="37"/>
  <c r="J14" i="37"/>
  <c r="W14" i="37" s="1"/>
  <c r="J27" i="37"/>
  <c r="W27" i="37"/>
  <c r="AA38" i="37"/>
  <c r="W46" i="33"/>
  <c r="U30" i="33"/>
  <c r="AB40" i="37"/>
  <c r="J36" i="37"/>
  <c r="AC36" i="37"/>
  <c r="G105" i="37"/>
  <c r="AB28" i="36"/>
  <c r="AB31" i="21"/>
  <c r="AB13"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BA566" i="3"/>
  <c r="BA562" i="3"/>
  <c r="BA560" i="3"/>
  <c r="BA558" i="3"/>
  <c r="BA556" i="3"/>
  <c r="AZ556" i="3" s="1"/>
  <c r="BA554" i="3"/>
  <c r="BA550" i="3"/>
  <c r="BA546" i="3"/>
  <c r="BA544" i="3"/>
  <c r="AZ544" i="3" s="1"/>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c r="BA542" i="3"/>
  <c r="AZ542" i="3" s="1"/>
  <c r="AC542" i="3"/>
  <c r="G542" i="3" s="1"/>
  <c r="BQ542" i="3"/>
  <c r="BL542" i="3"/>
  <c r="BQ568" i="3"/>
  <c r="BQ566" i="3"/>
  <c r="BQ564" i="3"/>
  <c r="BL564" i="3" s="1"/>
  <c r="AZ564" i="3" s="1"/>
  <c r="BQ562" i="3"/>
  <c r="BL562" i="3"/>
  <c r="AZ562" i="3"/>
  <c r="BQ560" i="3"/>
  <c r="BL560" i="3" s="1"/>
  <c r="AZ560" i="3" s="1"/>
  <c r="BQ558" i="3"/>
  <c r="BL558" i="3"/>
  <c r="BQ556" i="3"/>
  <c r="BL556" i="3" s="1"/>
  <c r="BQ554" i="3"/>
  <c r="BQ552" i="3"/>
  <c r="BL552" i="3" s="1"/>
  <c r="AZ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AC25" i="21"/>
  <c r="E125" i="33"/>
  <c r="F125" i="33" s="1"/>
  <c r="G125" i="33" s="1"/>
  <c r="H43" i="33"/>
  <c r="U43" i="33" s="1"/>
  <c r="H17" i="37"/>
  <c r="U17" i="37"/>
  <c r="F23" i="37"/>
  <c r="S23" i="37" s="1"/>
  <c r="F79" i="37"/>
  <c r="AB27" i="37"/>
  <c r="F39" i="33"/>
  <c r="AA39" i="33" s="1"/>
  <c r="E123" i="33"/>
  <c r="F42" i="33"/>
  <c r="AA42" i="33"/>
  <c r="H28" i="34"/>
  <c r="AB28" i="34"/>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c r="F17" i="37"/>
  <c r="AA17" i="37" s="1"/>
  <c r="AC33" i="36"/>
  <c r="AC12" i="35"/>
  <c r="W23" i="35"/>
  <c r="AC23" i="37"/>
  <c r="S27" i="37"/>
  <c r="U39" i="37"/>
  <c r="AC8" i="37"/>
  <c r="AC36" i="34"/>
  <c r="AB8" i="34"/>
  <c r="AC37" i="33"/>
  <c r="AA13" i="33"/>
  <c r="AC45" i="33"/>
  <c r="AA36" i="21"/>
  <c r="S39" i="33"/>
  <c r="F43" i="33"/>
  <c r="AA43" i="33" s="1"/>
  <c r="S10" i="35"/>
  <c r="AB44" i="33"/>
  <c r="G107" i="37"/>
  <c r="H107" i="37"/>
  <c r="I107" i="37"/>
  <c r="J107" i="37" s="1"/>
  <c r="K107" i="37" s="1"/>
  <c r="L107" i="37" s="1"/>
  <c r="M107" i="37" s="1"/>
  <c r="AA9" i="21"/>
  <c r="F37" i="21"/>
  <c r="S37" i="21" s="1"/>
  <c r="J37" i="21"/>
  <c r="W37" i="21" s="1"/>
  <c r="H19" i="34"/>
  <c r="AB19" i="34"/>
  <c r="J10" i="37"/>
  <c r="W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89" i="40"/>
  <c r="F89" i="40" s="1"/>
  <c r="G89" i="40" s="1"/>
  <c r="F21" i="40"/>
  <c r="S21" i="40" s="1"/>
  <c r="J21" i="40"/>
  <c r="AC21" i="40" s="1"/>
  <c r="AZ558"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AZ300" i="3" s="1"/>
  <c r="BA302" i="3"/>
  <c r="AZ302" i="3" s="1"/>
  <c r="BA303" i="3"/>
  <c r="BL303" i="3"/>
  <c r="AZ303" i="3" s="1"/>
  <c r="G304" i="3"/>
  <c r="BA305" i="3"/>
  <c r="G321" i="3"/>
  <c r="BL322" i="3"/>
  <c r="G323" i="3"/>
  <c r="BL324" i="3"/>
  <c r="BA326" i="3"/>
  <c r="AZ326" i="3" s="1"/>
  <c r="BA327" i="3"/>
  <c r="BL327" i="3"/>
  <c r="AZ327" i="3"/>
  <c r="G328" i="3"/>
  <c r="BA329" i="3"/>
  <c r="G337" i="3"/>
  <c r="BL338" i="3"/>
  <c r="AZ338" i="3" s="1"/>
  <c r="G339" i="3"/>
  <c r="BL340" i="3"/>
  <c r="BA342" i="3"/>
  <c r="AZ342" i="3" s="1"/>
  <c r="BA343" i="3"/>
  <c r="BL343" i="3"/>
  <c r="AZ343" i="3"/>
  <c r="G344" i="3"/>
  <c r="BA345" i="3"/>
  <c r="G353" i="3"/>
  <c r="BL354" i="3"/>
  <c r="G355" i="3"/>
  <c r="BL356" i="3"/>
  <c r="G357" i="3"/>
  <c r="BL358" i="3"/>
  <c r="G359" i="3"/>
  <c r="BA360" i="3"/>
  <c r="AZ360" i="3" s="1"/>
  <c r="BA361" i="3"/>
  <c r="BL361" i="3"/>
  <c r="G362" i="3"/>
  <c r="BA363" i="3"/>
  <c r="AZ363" i="3" s="1"/>
  <c r="G371" i="3"/>
  <c r="BL372" i="3"/>
  <c r="G373" i="3"/>
  <c r="BL374" i="3"/>
  <c r="AZ374" i="3" s="1"/>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5"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8" i="3"/>
  <c r="AZ82" i="3"/>
  <c r="AZ84" i="3"/>
  <c r="AZ86"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BA339" i="3"/>
  <c r="BL339" i="3"/>
  <c r="G340" i="3"/>
  <c r="G343" i="3"/>
  <c r="BL344" i="3"/>
  <c r="BA346" i="3"/>
  <c r="AZ346" i="3" s="1"/>
  <c r="BA347" i="3"/>
  <c r="BL347" i="3"/>
  <c r="AZ347" i="3" s="1"/>
  <c r="G348" i="3"/>
  <c r="G351" i="3"/>
  <c r="BL352" i="3"/>
  <c r="BA354" i="3"/>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5" i="3"/>
  <c r="AZ333" i="3"/>
  <c r="AZ349" i="3"/>
  <c r="AZ353" i="3"/>
  <c r="AZ367" i="3"/>
  <c r="G368" i="3"/>
  <c r="BA370" i="3"/>
  <c r="AZ370" i="3" s="1"/>
  <c r="BL371" i="3"/>
  <c r="AZ371" i="3"/>
  <c r="G372" i="3"/>
  <c r="BA374" i="3"/>
  <c r="BL375" i="3"/>
  <c r="G376" i="3"/>
  <c r="BA378" i="3"/>
  <c r="AZ378" i="3"/>
  <c r="BL379" i="3"/>
  <c r="G380" i="3"/>
  <c r="BA382" i="3"/>
  <c r="AZ382" i="3"/>
  <c r="BL383" i="3"/>
  <c r="G384" i="3"/>
  <c r="AZ249" i="3"/>
  <c r="AZ253" i="3"/>
  <c r="AZ261" i="3"/>
  <c r="AZ265" i="3"/>
  <c r="AZ375" i="3"/>
  <c r="AZ383" i="3"/>
  <c r="AZ270" i="3"/>
  <c r="AZ274" i="3"/>
  <c r="AZ278" i="3"/>
  <c r="AZ282" i="3"/>
  <c r="AZ286" i="3"/>
  <c r="AZ290" i="3"/>
  <c r="AZ295" i="3"/>
  <c r="AZ315" i="3"/>
  <c r="AZ319" i="3"/>
  <c r="AZ335" i="3"/>
  <c r="AZ339" i="3"/>
  <c r="AZ351" i="3"/>
  <c r="AZ361" i="3"/>
  <c r="AZ369" i="3"/>
  <c r="AZ385" i="3"/>
  <c r="AZ390" i="3"/>
  <c r="AZ394" i="3"/>
  <c r="AZ410" i="3"/>
  <c r="AZ414" i="3"/>
  <c r="AZ418"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54" i="3"/>
  <c r="AA36" i="35"/>
  <c r="H11" i="37"/>
  <c r="AB11" i="37"/>
  <c r="W37" i="37"/>
  <c r="AA30" i="33"/>
  <c r="AA36" i="37"/>
  <c r="S42" i="33"/>
  <c r="U32" i="33"/>
  <c r="AB17" i="37"/>
  <c r="AZ488" i="3"/>
  <c r="AZ508" i="3"/>
  <c r="AZ524" i="3"/>
  <c r="AZ546"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F17" i="21"/>
  <c r="S17" i="21" s="1"/>
  <c r="H17" i="21"/>
  <c r="U17" i="21" s="1"/>
  <c r="J17" i="21"/>
  <c r="W17" i="21" s="1"/>
  <c r="H37" i="21"/>
  <c r="U3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AZ571" i="3" s="1"/>
  <c r="BA571" i="3"/>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AZ489" i="3" s="1"/>
  <c r="BA489" i="3"/>
  <c r="BL487" i="3"/>
  <c r="AZ487" i="3"/>
  <c r="BL486" i="3"/>
  <c r="BA486" i="3"/>
  <c r="BA485" i="3"/>
  <c r="AZ485" i="3"/>
  <c r="BA483" i="3"/>
  <c r="AZ483" i="3"/>
  <c r="BA482" i="3"/>
  <c r="BL481" i="3"/>
  <c r="BA481" i="3"/>
  <c r="AZ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7" i="3"/>
  <c r="AZ415" i="3"/>
  <c r="AZ423" i="3"/>
  <c r="AZ439" i="3"/>
  <c r="AZ454" i="3"/>
  <c r="J42" i="40"/>
  <c r="AC42" i="40"/>
  <c r="J40" i="40"/>
  <c r="AC40" i="40"/>
  <c r="J34" i="40"/>
  <c r="AC34" i="40"/>
  <c r="H16" i="40"/>
  <c r="AB16" i="40"/>
  <c r="H14" i="40"/>
  <c r="U14" i="40"/>
  <c r="F32" i="40"/>
  <c r="AA32" i="40"/>
  <c r="AZ401" i="3"/>
  <c r="AZ428" i="3"/>
  <c r="AZ433"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8" i="3"/>
  <c r="AZ63" i="3"/>
  <c r="AZ79" i="3"/>
  <c r="AZ91" i="3"/>
  <c r="AZ99" i="3"/>
  <c r="AZ107" i="3"/>
  <c r="AZ112" i="3"/>
  <c r="J13" i="40"/>
  <c r="W13" i="40"/>
  <c r="AB14" i="40"/>
  <c r="W40" i="40"/>
  <c r="AC14" i="40"/>
  <c r="S33" i="40"/>
  <c r="S47" i="39"/>
  <c r="AB25" i="39"/>
  <c r="AC41" i="40"/>
  <c r="W41" i="40"/>
  <c r="U41" i="40"/>
  <c r="J23" i="40"/>
  <c r="AC23" i="40"/>
  <c r="F23" i="40"/>
  <c r="S23" i="40" s="1"/>
  <c r="AC15" i="40"/>
  <c r="W15" i="40"/>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W34" i="40"/>
  <c r="AB34" i="40"/>
  <c r="U42" i="40"/>
  <c r="W32" i="40"/>
  <c r="H25" i="40"/>
  <c r="AB25" i="40"/>
  <c r="F93" i="40"/>
  <c r="G93" i="40"/>
  <c r="W15" i="39"/>
  <c r="J37" i="34"/>
  <c r="AC37" i="34"/>
  <c r="J36" i="33"/>
  <c r="AC36" i="33" s="1"/>
  <c r="S41" i="40"/>
  <c r="AB23" i="40"/>
  <c r="U27" i="39"/>
  <c r="H23" i="39"/>
  <c r="AB23" i="39" s="1"/>
  <c r="J23" i="39"/>
  <c r="AC23" i="39" s="1"/>
  <c r="F96" i="39"/>
  <c r="G96" i="39" s="1"/>
  <c r="S16" i="39"/>
  <c r="AA15" i="34"/>
  <c r="AA34" i="33"/>
  <c r="F106" i="33"/>
  <c r="G106" i="33"/>
  <c r="H106" i="33" s="1"/>
  <c r="I106" i="33" s="1"/>
  <c r="J106" i="33" s="1"/>
  <c r="K106" i="33" s="1"/>
  <c r="L106" i="33" s="1"/>
  <c r="M106" i="33" s="1"/>
  <c r="J34" i="33"/>
  <c r="W34" i="33" s="1"/>
  <c r="AC34" i="33"/>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c r="AC15" i="34"/>
  <c r="AB20" i="35"/>
  <c r="W23" i="40"/>
  <c r="AP11" i="1"/>
  <c r="B11" i="1"/>
  <c r="E11" i="1"/>
  <c r="K11" i="1"/>
  <c r="M11" i="1" s="1"/>
  <c r="B9" i="1"/>
  <c r="E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AA37" i="21"/>
  <c r="W28" i="21"/>
  <c r="AC46" i="21"/>
  <c r="AC26" i="21"/>
  <c r="F85" i="21"/>
  <c r="G85" i="2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c r="C53" i="10"/>
  <c r="A25" i="64" s="1"/>
  <c r="A18" i="51"/>
  <c r="B14" i="63" s="1"/>
  <c r="BA16" i="3"/>
  <c r="AZ16" i="3" s="1"/>
  <c r="BA17" i="3"/>
  <c r="AZ17" i="3"/>
  <c r="G1" i="44"/>
  <c r="G3" i="46"/>
  <c r="G22" i="46" s="1"/>
  <c r="AZ15" i="3"/>
  <c r="BK5" i="3"/>
  <c r="BP5" i="3"/>
  <c r="BN5" i="3"/>
  <c r="BL18" i="3"/>
  <c r="AZ18" i="3"/>
  <c r="BC5" i="3"/>
  <c r="BR5" i="3"/>
  <c r="BS5" i="3"/>
  <c r="BL16" i="3"/>
  <c r="G28" i="12"/>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C51" i="10"/>
  <c r="A9" i="64" s="1"/>
  <c r="I100" i="46"/>
  <c r="C24" i="46"/>
  <c r="N100" i="46"/>
  <c r="H100" i="46"/>
  <c r="F108" i="46"/>
  <c r="H80" i="46"/>
  <c r="B45"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C37"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C27" i="40"/>
  <c r="AT6" i="3"/>
  <c r="E4" i="4"/>
  <c r="C4" i="4"/>
  <c r="B20" i="55" s="1"/>
  <c r="B70" i="63" s="1"/>
  <c r="G66" i="36"/>
  <c r="J18" i="36"/>
  <c r="AC18" i="36" s="1"/>
  <c r="AE7" i="1"/>
  <c r="AE6" i="1"/>
  <c r="AG6" i="1"/>
  <c r="L20" i="6"/>
  <c r="B21" i="55"/>
  <c r="B72" i="63" s="1"/>
  <c r="C45" i="9"/>
  <c r="O40" i="9" s="1"/>
  <c r="R7" i="54" s="1"/>
  <c r="B52" i="63" s="1"/>
  <c r="N76" i="9"/>
  <c r="C46" i="9"/>
  <c r="O41" i="9" s="1"/>
  <c r="R8" i="54" s="1"/>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M8" i="44"/>
  <c r="F8" i="67"/>
  <c r="F10" i="44"/>
  <c r="E8" i="67"/>
  <c r="M31" i="44"/>
  <c r="M11" i="44"/>
  <c r="L48" i="44"/>
  <c r="I5" i="65"/>
  <c r="F9" i="67"/>
  <c r="N5" i="65"/>
  <c r="E12" i="67"/>
  <c r="L49" i="44"/>
  <c r="N7" i="65"/>
  <c r="M10" i="44"/>
  <c r="M26" i="44"/>
  <c r="E11" i="67"/>
  <c r="M29" i="44"/>
  <c r="J17" i="44"/>
  <c r="B14" i="67"/>
  <c r="I7" i="65"/>
  <c r="F28" i="44"/>
  <c r="M28" i="44"/>
  <c r="N3" i="65"/>
  <c r="F38" i="44"/>
  <c r="E10" i="67"/>
  <c r="I6" i="65"/>
  <c r="F11" i="44"/>
  <c r="F12" i="67"/>
  <c r="I3" i="65"/>
  <c r="B9" i="67"/>
  <c r="F46" i="44"/>
  <c r="I4" i="65"/>
  <c r="F14" i="67"/>
  <c r="F13" i="67"/>
  <c r="F11" i="67"/>
  <c r="J4" i="65"/>
  <c r="M24" i="44"/>
  <c r="M25" i="44"/>
  <c r="E13" i="67"/>
  <c r="F10" i="67"/>
  <c r="F15" i="44"/>
  <c r="N6" i="65"/>
  <c r="B10" i="67"/>
  <c r="J5" i="65"/>
  <c r="F9" i="44"/>
  <c r="F43" i="44"/>
  <c r="M30" i="44"/>
  <c r="B13" i="67"/>
  <c r="F8" i="44"/>
  <c r="B8" i="67"/>
  <c r="E14" i="67"/>
  <c r="N4" i="65"/>
  <c r="F18" i="44"/>
  <c r="F39" i="44"/>
  <c r="B12" i="67"/>
  <c r="B11" i="67"/>
  <c r="J7" i="65"/>
  <c r="F40" i="44"/>
  <c r="F45" i="44"/>
  <c r="E9" i="67"/>
  <c r="D26" i="44" l="1"/>
  <c r="H14" i="66"/>
  <c r="B7" i="66" s="1"/>
  <c r="D9" i="12"/>
  <c r="BA13" i="3"/>
  <c r="BL13" i="3"/>
  <c r="AZ13" i="3" s="1"/>
  <c r="K9" i="1"/>
  <c r="M9" i="1" s="1"/>
  <c r="O9" i="1" s="1"/>
  <c r="P9" i="1" s="1"/>
  <c r="C9" i="12"/>
  <c r="I4" i="6"/>
  <c r="F29" i="6"/>
  <c r="D3" i="2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G29" i="6"/>
  <c r="E29" i="6" s="1"/>
  <c r="L19" i="6" s="1"/>
  <c r="L27"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F20" i="59"/>
  <c r="F19" i="59" s="1"/>
  <c r="F18" i="59" s="1"/>
  <c r="F17" i="59" s="1"/>
  <c r="V21" i="59"/>
  <c r="B20" i="59"/>
  <c r="B19" i="59" s="1"/>
  <c r="B18" i="59" s="1"/>
  <c r="S21" i="59"/>
  <c r="K34" i="9"/>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E15" i="6" s="1"/>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AZ421" i="3"/>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G422" i="3"/>
  <c r="BL426" i="3"/>
  <c r="AZ426" i="3" s="1"/>
  <c r="G427" i="3"/>
  <c r="BA431" i="3"/>
  <c r="AZ431" i="3" s="1"/>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45" i="3"/>
  <c r="AZ57" i="3"/>
  <c r="BA247" i="3"/>
  <c r="AZ247" i="3" s="1"/>
  <c r="BA250" i="3"/>
  <c r="AZ250" i="3" s="1"/>
  <c r="G256" i="3"/>
  <c r="AZ293" i="3"/>
  <c r="AZ117" i="3"/>
  <c r="AZ136" i="3"/>
  <c r="AZ171" i="3"/>
  <c r="AZ175" i="3"/>
  <c r="AZ21" i="3"/>
  <c r="AZ25" i="3"/>
  <c r="AZ28" i="3"/>
  <c r="AZ30" i="3"/>
  <c r="AZ38" i="3"/>
  <c r="AZ49" i="3"/>
  <c r="AZ54" i="3"/>
  <c r="BL74" i="3"/>
  <c r="AZ74" i="3" s="1"/>
  <c r="BL45" i="3"/>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BL54" i="3"/>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T65" i="59"/>
  <c r="D65"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O11" i="1"/>
  <c r="P11" i="1" s="1"/>
  <c r="D21" i="12"/>
  <c r="C21" i="12" s="1"/>
  <c r="O6" i="1"/>
  <c r="P6" i="1" s="1"/>
  <c r="C15" i="12" s="1"/>
  <c r="O12" i="1"/>
  <c r="P12" i="1" s="1"/>
  <c r="O10" i="1"/>
  <c r="P10"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M27" i="15"/>
  <c r="M26" i="15"/>
  <c r="F42" i="15"/>
  <c r="F26" i="15"/>
  <c r="J36" i="15"/>
  <c r="L48" i="15"/>
  <c r="M6" i="15"/>
  <c r="F38" i="15"/>
  <c r="M23" i="15"/>
  <c r="J15" i="15"/>
  <c r="J3" i="65"/>
  <c r="M22" i="15"/>
  <c r="E2" i="65"/>
  <c r="F37" i="15"/>
  <c r="F16" i="15"/>
  <c r="F9" i="15"/>
  <c r="F43" i="15"/>
  <c r="M28" i="15"/>
  <c r="C18" i="44"/>
  <c r="F6" i="15"/>
  <c r="F13" i="15"/>
  <c r="M9" i="15"/>
  <c r="F40" i="15"/>
  <c r="M29" i="15"/>
  <c r="L47" i="15"/>
  <c r="F36" i="15"/>
  <c r="F7" i="15"/>
  <c r="M8" i="15"/>
  <c r="F8" i="15"/>
  <c r="J6" i="65"/>
  <c r="M24" i="15"/>
  <c r="F30" i="6" l="1"/>
  <c r="K15" i="1"/>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AZ5" i="3"/>
  <c r="E3" i="6" s="1"/>
  <c r="B67" i="59"/>
  <c r="N68" i="59"/>
  <c r="AC36" i="35"/>
  <c r="W36" i="35"/>
  <c r="AA23" i="36"/>
  <c r="S23" i="36"/>
  <c r="AC9" i="34"/>
  <c r="W9" i="34"/>
  <c r="AC44" i="21"/>
  <c r="W44" i="21"/>
  <c r="AC25" i="37"/>
  <c r="W25" i="37"/>
  <c r="BL5" i="3"/>
  <c r="E16" i="59"/>
  <c r="E15" i="59" s="1"/>
  <c r="E14" i="59" s="1"/>
  <c r="E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F7" i="34"/>
  <c r="AA7" i="34" s="1"/>
  <c r="R49" i="34" s="1"/>
  <c r="J7" i="34"/>
  <c r="W7" i="34" s="1"/>
  <c r="G16" i="1"/>
  <c r="J12" i="40" s="1"/>
  <c r="F7" i="21"/>
  <c r="AA7" i="21" s="1"/>
  <c r="H7" i="21"/>
  <c r="AB7" i="21" s="1"/>
  <c r="B12" i="59"/>
  <c r="S13" i="59"/>
  <c r="E12" i="59"/>
  <c r="U13" i="59"/>
  <c r="H7" i="35"/>
  <c r="U7" i="35" s="1"/>
  <c r="B40" i="1"/>
  <c r="E64" i="40"/>
  <c r="D66" i="40"/>
  <c r="S7" i="34"/>
  <c r="AC7" i="34"/>
  <c r="V49" i="34" s="1"/>
  <c r="I49" i="34" s="1"/>
  <c r="J7" i="37"/>
  <c r="W7" i="21"/>
  <c r="AC7" i="21"/>
  <c r="D71" i="39"/>
  <c r="E69"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E3" i="65"/>
  <c r="AE9" i="1"/>
  <c r="C16" i="15"/>
  <c r="F33" i="12" l="1"/>
  <c r="C34" i="12" s="1"/>
  <c r="D33" i="12" s="1"/>
  <c r="E30" i="6"/>
  <c r="C33" i="33"/>
  <c r="C33" i="21"/>
  <c r="C33" i="73"/>
  <c r="W7" i="33"/>
  <c r="S4" i="46"/>
  <c r="T4" i="46" s="1"/>
  <c r="V4" i="46" s="1"/>
  <c r="S6" i="46"/>
  <c r="S2" i="46"/>
  <c r="S7" i="46"/>
  <c r="T7" i="46" s="1"/>
  <c r="V7" i="46" s="1"/>
  <c r="S3" i="46"/>
  <c r="T3" i="46" s="1"/>
  <c r="V3" i="46" s="1"/>
  <c r="S5" i="46"/>
  <c r="T5" i="46" s="1"/>
  <c r="V5" i="46" s="1"/>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G42" i="35"/>
  <c r="H42" i="35" s="1"/>
  <c r="G43" i="35"/>
  <c r="H43" i="35" s="1"/>
  <c r="AA7" i="33"/>
  <c r="S7" i="33"/>
  <c r="F69" i="39"/>
  <c r="E71" i="39"/>
  <c r="I53" i="34"/>
  <c r="J53" i="34" s="1"/>
  <c r="R50" i="34"/>
  <c r="E49" i="34"/>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73" l="1"/>
  <c r="J33" i="73"/>
  <c r="F33" i="73"/>
  <c r="J33" i="21"/>
  <c r="H33" i="21"/>
  <c r="F33" i="21"/>
  <c r="J33" i="33"/>
  <c r="H33" i="33"/>
  <c r="F33" i="3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F7" i="67"/>
  <c r="C19" i="44"/>
  <c r="C17" i="15"/>
  <c r="S33" i="21" l="1"/>
  <c r="AA33" i="21"/>
  <c r="AA33" i="33"/>
  <c r="S33" i="33"/>
  <c r="AC33" i="73"/>
  <c r="W33" i="73"/>
  <c r="AB33" i="33"/>
  <c r="U33" i="33"/>
  <c r="W33" i="21"/>
  <c r="AC33" i="21"/>
  <c r="U33" i="73"/>
  <c r="AB33" i="73"/>
  <c r="S33" i="73"/>
  <c r="AA33" i="73"/>
  <c r="U33" i="21"/>
  <c r="AB33" i="21"/>
  <c r="AC33" i="33"/>
  <c r="W33" i="33"/>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R22" i="6" l="1"/>
  <c r="R9" i="1" s="1"/>
  <c r="D30" i="6"/>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F37" i="44"/>
  <c r="M21" i="15"/>
  <c r="C14" i="15"/>
  <c r="F35" i="15"/>
  <c r="C16" i="44"/>
  <c r="M23" i="44"/>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J11" i="73" l="1"/>
  <c r="H11" i="73"/>
  <c r="F11" i="73"/>
  <c r="H11" i="21"/>
  <c r="F11" i="21"/>
  <c r="J11" i="21"/>
  <c r="H11" i="33"/>
  <c r="J11" i="33"/>
  <c r="F11" i="33"/>
  <c r="H13" i="39"/>
  <c r="F13" i="39"/>
  <c r="J13" i="39"/>
  <c r="D15" i="59"/>
  <c r="C14" i="59"/>
  <c r="E5" i="59"/>
  <c r="U5" i="59" s="1"/>
  <c r="B5" i="59"/>
  <c r="C21" i="43"/>
  <c r="R37" i="36"/>
  <c r="E36" i="36"/>
  <c r="I41" i="36" s="1"/>
  <c r="J41" i="36" s="1"/>
  <c r="K66" i="40"/>
  <c r="L64" i="40"/>
  <c r="G41" i="36"/>
  <c r="H41" i="36" s="1"/>
  <c r="G40" i="36"/>
  <c r="H40" i="36" s="1"/>
  <c r="I40" i="36"/>
  <c r="J40" i="36" s="1"/>
  <c r="L69" i="39"/>
  <c r="K71" i="39"/>
  <c r="AC13" i="39" l="1"/>
  <c r="W13" i="39"/>
  <c r="AC11" i="33"/>
  <c r="V48" i="33" s="1"/>
  <c r="I48" i="33" s="1"/>
  <c r="W11" i="33"/>
  <c r="U11" i="21"/>
  <c r="AB11" i="21"/>
  <c r="T48" i="21" s="1"/>
  <c r="G48" i="21" s="1"/>
  <c r="S13" i="39"/>
  <c r="AA13" i="39"/>
  <c r="U11" i="33"/>
  <c r="AB11" i="33"/>
  <c r="T48" i="33" s="1"/>
  <c r="G48" i="33" s="1"/>
  <c r="AA11" i="73"/>
  <c r="R48" i="73" s="1"/>
  <c r="S11" i="73"/>
  <c r="AB13" i="39"/>
  <c r="U13" i="39"/>
  <c r="W11" i="21"/>
  <c r="AC11" i="21"/>
  <c r="V48" i="21" s="1"/>
  <c r="I48" i="21" s="1"/>
  <c r="AB11" i="73"/>
  <c r="T48" i="73" s="1"/>
  <c r="G48" i="73" s="1"/>
  <c r="U11" i="73"/>
  <c r="S11" i="33"/>
  <c r="AA11" i="33"/>
  <c r="R48" i="33" s="1"/>
  <c r="S11" i="21"/>
  <c r="AA11" i="21"/>
  <c r="R48" i="21" s="1"/>
  <c r="AC11" i="73"/>
  <c r="V48" i="73" s="1"/>
  <c r="I48" i="73" s="1"/>
  <c r="W11" i="73"/>
  <c r="D14" i="59"/>
  <c r="C13" i="59"/>
  <c r="S5" i="59"/>
  <c r="L71" i="39"/>
  <c r="M69" i="39"/>
  <c r="M64" i="40"/>
  <c r="L66" i="40"/>
  <c r="E40" i="36"/>
  <c r="F40" i="36" s="1"/>
  <c r="E41" i="36"/>
  <c r="F41" i="36" s="1"/>
  <c r="C37" i="36"/>
  <c r="B3" i="36" s="1"/>
  <c r="B2" i="36" s="1"/>
  <c r="C36" i="36"/>
  <c r="G52" i="21" l="1"/>
  <c r="H52" i="21" s="1"/>
  <c r="G53" i="21"/>
  <c r="H53" i="21" s="1"/>
  <c r="R49" i="33"/>
  <c r="E48" i="33"/>
  <c r="I53" i="33" s="1"/>
  <c r="J53" i="33" s="1"/>
  <c r="I52" i="21"/>
  <c r="J52" i="21" s="1"/>
  <c r="I52" i="73"/>
  <c r="J52" i="73" s="1"/>
  <c r="E48" i="73"/>
  <c r="I53" i="73" s="1"/>
  <c r="J53" i="73" s="1"/>
  <c r="R49" i="73"/>
  <c r="I52" i="33"/>
  <c r="J52" i="33" s="1"/>
  <c r="E48" i="21"/>
  <c r="I53" i="21" s="1"/>
  <c r="J53" i="21" s="1"/>
  <c r="R49" i="21"/>
  <c r="G53" i="33"/>
  <c r="H53" i="33" s="1"/>
  <c r="G52" i="33"/>
  <c r="H52" i="33" s="1"/>
  <c r="G53" i="73"/>
  <c r="H53" i="73" s="1"/>
  <c r="G52" i="73"/>
  <c r="H52" i="73" s="1"/>
  <c r="C12" i="59"/>
  <c r="T13" i="59"/>
  <c r="D13" i="59"/>
  <c r="N64" i="40"/>
  <c r="N66" i="40" s="1"/>
  <c r="M66" i="40"/>
  <c r="N69" i="39"/>
  <c r="N71" i="39" s="1"/>
  <c r="M71" i="39"/>
  <c r="E52" i="33" l="1"/>
  <c r="F52" i="33" s="1"/>
  <c r="E53" i="33"/>
  <c r="F53" i="33" s="1"/>
  <c r="C49" i="33"/>
  <c r="B3" i="33" s="1"/>
  <c r="C48" i="33"/>
  <c r="C49" i="21"/>
  <c r="B3" i="21" s="1"/>
  <c r="C48" i="21"/>
  <c r="C49" i="73"/>
  <c r="B3" i="73" s="1"/>
  <c r="C48" i="73"/>
  <c r="E53" i="21"/>
  <c r="F53" i="21" s="1"/>
  <c r="E52" i="21"/>
  <c r="F52" i="21" s="1"/>
  <c r="E53" i="73"/>
  <c r="F53" i="73" s="1"/>
  <c r="E52" i="73"/>
  <c r="F52" i="73" s="1"/>
  <c r="C11" i="59"/>
  <c r="D12" i="59"/>
  <c r="J9" i="40"/>
  <c r="H9" i="40"/>
  <c r="F9" i="40"/>
  <c r="J9" i="39"/>
  <c r="H9" i="39"/>
  <c r="F9" i="39"/>
  <c r="B2" i="73" l="1"/>
  <c r="B2" i="33"/>
  <c r="R24" i="31"/>
  <c r="B2" i="21"/>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R22" i="31" l="1"/>
  <c r="B20"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21" i="31"/>
  <c r="D7" i="59"/>
  <c r="C6" i="59"/>
  <c r="B5" i="40"/>
  <c r="B4" i="40"/>
  <c r="B3" i="40"/>
  <c r="C19" i="9"/>
  <c r="B4" i="39" l="1"/>
  <c r="B3"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C6" i="12"/>
  <c r="Q76" i="15"/>
  <c r="Q69" i="44"/>
  <c r="Q59" i="44"/>
  <c r="Q64" i="44" s="1"/>
  <c r="Q68" i="44"/>
  <c r="Q77" i="44" s="1"/>
  <c r="C24" i="12" l="1"/>
  <c r="C29" i="12"/>
  <c r="C35" i="12" l="1"/>
  <c r="C33" i="12" s="1"/>
  <c r="C28" i="12"/>
  <c r="C26" i="12" s="1"/>
  <c r="C31" i="12" s="1"/>
  <c r="C30" i="12" s="1"/>
  <c r="C36" i="12" l="1"/>
  <c r="B2" i="12" s="1"/>
  <c r="D19" i="9"/>
  <c r="L44" i="9" l="1"/>
  <c r="G19" i="9"/>
  <c r="N26" i="1" s="1"/>
  <c r="D22" i="9"/>
  <c r="B3" i="12"/>
  <c r="B5" i="12"/>
  <c r="B4" i="12"/>
  <c r="D20" i="9"/>
  <c r="D21"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B5" i="66"/>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C5" i="66"/>
  <c r="D5" i="66"/>
  <c r="N89" i="9" l="1"/>
  <c r="O8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<sst xmlns="http://schemas.openxmlformats.org/spreadsheetml/2006/main" count="8190" uniqueCount="3485">
  <si>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</si>
  <si>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</si>
  <si>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</si>
  <si>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</si>
  <si>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</si>
  <si>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</si>
  <si>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</si>
  <si>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</si>
  <si>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</si>
  <si>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</si>
  <si>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</si>
  <si>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</si>
  <si>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</si>
  <si>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</si>
  <si>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</si>
  <si>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</si>
  <si>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</si>
  <si>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</si>
  <si>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</si>
  <si>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</si>
  <si>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</si>
  <si>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</si>
  <si>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</si>
  <si>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</si>
  <si>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</si>
  <si>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</si>
  <si>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</si>
  <si>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</si>
  <si>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</si>
  <si>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</si>
  <si>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</si>
  <si>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</si>
  <si>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</si>
  <si>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</si>
  <si>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</si>
  <si>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</si>
  <si>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</si>
  <si>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</si>
  <si>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</si>
  <si>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</si>
  <si>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</si>
  <si>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</si>
  <si>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</si>
  <si>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</si>
  <si>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</si>
  <si>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</si>
  <si>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</si>
  <si>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</si>
  <si>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</si>
  <si>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</si>
  <si>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</si>
  <si>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</si>
  <si>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</si>
  <si>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</si>
  <si>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</si>
  <si>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</si>
  <si>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</si>
  <si>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</si>
  <si>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</si>
  <si>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</si>
  <si>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</si>
  <si>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</si>
  <si>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</si>
  <si>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</si>
  <si>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</si>
  <si>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</si>
  <si>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</si>
  <si>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</si>
  <si>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</si>
  <si>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</si>
  <si>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</si>
  <si>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</si>
  <si>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</si>
  <si>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</si>
  <si>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</si>
  <si>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</si>
  <si>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</si>
  <si>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</si>
  <si>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</si>
  <si>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</si>
  <si>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</si>
  <si>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</si>
  <si>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</si>
  <si>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</si>
  <si>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</si>
  <si>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</si>
  <si>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</si>
  <si>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</si>
  <si>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</si>
  <si>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</si>
  <si>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</si>
  <si>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</si>
  <si>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</si>
  <si>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</si>
  <si>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</si>
  <si>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</si>
  <si>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</si>
  <si>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</si>
  <si>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</si>
  <si>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</si>
  <si>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</si>
  <si>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</si>
  <si>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</si>
  <si>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</si>
  <si>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</si>
  <si>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</si>
  <si>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</si>
  <si>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</si>
  <si>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</si>
  <si>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</si>
  <si>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</si>
  <si>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</si>
  <si>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</si>
  <si>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</si>
  <si>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</si>
  <si>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</si>
  <si>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</si>
  <si>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</si>
  <si>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</si>
  <si>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</si>
  <si>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</si>
  <si>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</si>
  <si>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</si>
  <si>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</si>
  <si>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</si>
  <si>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</si>
  <si>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</si>
  <si>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</si>
  <si>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</si>
  <si>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</si>
  <si>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</si>
  <si>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</si>
  <si>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</si>
  <si>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</si>
  <si>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</si>
  <si>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</si>
  <si>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</si>
  <si>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</si>
  <si>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</si>
  <si>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</si>
  <si>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</si>
  <si>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</si>
  <si>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</si>
  <si>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</si>
  <si>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</si>
  <si>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</si>
  <si>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</si>
  <si>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</si>
  <si>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</si>
  <si>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</si>
  <si>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</si>
  <si>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</si>
  <si>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</si>
  <si>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</si>
  <si>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</si>
  <si>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</si>
  <si>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</si>
  <si>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</si>
  <si>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</si>
  <si>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</si>
  <si>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</si>
  <si>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</si>
  <si>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</si>
  <si>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</si>
  <si>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</si>
  <si>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</si>
  <si>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</si>
  <si>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</si>
  <si>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</si>
  <si>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</si>
  <si>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</si>
  <si>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</si>
  <si>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</si>
  <si>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</si>
  <si>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</si>
  <si>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</si>
  <si>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</si>
  <si>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</si>
  <si>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</si>
  <si>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</si>
  <si>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</si>
  <si>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</si>
  <si>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</si>
  <si>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</si>
  <si>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</si>
  <si>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</si>
  <si>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</si>
  <si>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</si>
  <si>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</si>
  <si>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</si>
  <si>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</si>
  <si>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</si>
  <si>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</si>
  <si>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</si>
  <si>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</si>
  <si>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</si>
  <si>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</si>
  <si>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</si>
  <si>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</si>
  <si>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</si>
  <si>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</si>
  <si>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</si>
  <si>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</si>
  <si>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</si>
  <si>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</si>
  <si>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</si>
  <si>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</si>
  <si>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</si>
  <si>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</si>
  <si>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</si>
  <si>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</si>
  <si>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</si>
  <si>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</si>
  <si>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</si>
  <si>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</si>
  <si>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</si>
  <si>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</si>
  <si>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</si>
  <si>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</si>
  <si>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</si>
  <si>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</si>
  <si>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</si>
  <si>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</si>
  <si>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</si>
  <si>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</si>
  <si>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</si>
  <si>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</si>
  <si>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</si>
  <si>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</si>
  <si>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</si>
  <si>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</si>
  <si>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</si>
  <si>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</si>
  <si>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</si>
  <si>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</si>
  <si>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</si>
  <si>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</si>
  <si>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</si>
  <si>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</si>
  <si>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</si>
  <si>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</si>
  <si>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</si>
  <si>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</si>
  <si>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</si>
  <si>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</si>
  <si>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</si>
  <si>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</si>
  <si>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</si>
  <si>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</si>
  <si>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</si>
  <si>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</si>
  <si>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</si>
  <si>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</si>
  <si>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</si>
  <si>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</si>
  <si>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</si>
  <si>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</si>
  <si>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</si>
  <si>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</si>
  <si>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</si>
  <si>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</si>
  <si>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</si>
  <si>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</si>
  <si>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</si>
  <si>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</si>
  <si>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</si>
  <si>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</si>
  <si>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</si>
  <si>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</si>
  <si>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</si>
  <si>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</si>
  <si>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</si>
  <si>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</si>
  <si>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</si>
  <si>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</si>
  <si>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</si>
  <si>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</si>
  <si>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</si>
  <si>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</si>
  <si>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</si>
  <si>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</si>
  <si>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</si>
  <si>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</si>
  <si>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</si>
  <si>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</si>
  <si>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</si>
  <si>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</si>
  <si>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</si>
  <si>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</si>
  <si>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</si>
  <si>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</si>
  <si>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</si>
  <si>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</si>
  <si>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</si>
  <si>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</si>
  <si>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</si>
  <si>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</si>
  <si>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</si>
  <si>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</si>
  <si>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</si>
  <si>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</si>
  <si>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</si>
  <si>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</si>
  <si>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</si>
  <si>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</si>
  <si>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</si>
  <si>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</si>
  <si>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</si>
  <si>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</si>
  <si>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</si>
  <si>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</si>
  <si>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</si>
  <si>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</si>
  <si>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</si>
  <si>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</si>
  <si>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</si>
  <si>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</si>
  <si>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</si>
  <si>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</si>
  <si>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</si>
  <si>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</si>
  <si>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</si>
  <si>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</si>
  <si>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</si>
  <si>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</si>
  <si>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</si>
  <si>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</si>
  <si>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</si>
  <si>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</si>
  <si>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</si>
  <si>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</si>
  <si>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</si>
  <si>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</si>
  <si>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</si>
  <si>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</si>
  <si>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</si>
  <si>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</si>
  <si>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</si>
  <si>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</si>
  <si>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</si>
  <si>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</si>
  <si>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</si>
  <si>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</si>
  <si>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</si>
  <si>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</si>
  <si>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</si>
  <si>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</si>
  <si>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</si>
  <si>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</si>
  <si>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</si>
  <si>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</si>
  <si>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</si>
  <si>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</si>
  <si>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</si>
  <si>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</si>
  <si>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</si>
  <si>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</si>
  <si>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</si>
  <si>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</si>
  <si>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</si>
  <si>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</si>
  <si>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</si>
  <si>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</si>
  <si>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</si>
  <si>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</si>
  <si>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</si>
  <si>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</si>
  <si>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</si>
  <si>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</si>
  <si>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</si>
  <si>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</si>
  <si>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</si>
  <si>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</si>
  <si>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</si>
  <si>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</si>
  <si>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</si>
  <si>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</si>
  <si>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</si>
  <si>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</si>
  <si>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</si>
  <si>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</si>
  <si>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</si>
  <si>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</si>
  <si>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</si>
  <si>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</si>
  <si>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</si>
  <si>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</si>
  <si>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</si>
  <si>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</si>
  <si>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</si>
  <si>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</si>
  <si>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</si>
  <si>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</si>
  <si>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</si>
  <si>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</si>
  <si>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</si>
  <si>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</si>
  <si>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</si>
  <si>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</si>
  <si>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</si>
  <si>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</si>
  <si>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</si>
  <si>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</si>
  <si>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</si>
  <si>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</si>
  <si>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</si>
  <si>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</si>
  <si>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</si>
  <si>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</si>
  <si>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</si>
  <si>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</si>
  <si>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</si>
  <si>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</si>
  <si>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</si>
  <si>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</si>
  <si>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</si>
  <si>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</si>
  <si>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</si>
  <si>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</si>
  <si>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</si>
  <si>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</si>
  <si>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</si>
  <si>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</si>
  <si>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</si>
  <si>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</si>
  <si>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</si>
  <si>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</si>
  <si>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</si>
  <si>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</si>
  <si>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</si>
  <si>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</si>
  <si>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</si>
  <si>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</si>
  <si>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</si>
  <si>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</si>
  <si>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</si>
  <si>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</si>
  <si>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</si>
  <si>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</si>
  <si>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</si>
  <si>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</si>
  <si>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</si>
  <si>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</si>
  <si>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</si>
  <si>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</si>
  <si>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</si>
  <si>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</si>
  <si>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</si>
  <si>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</si>
  <si>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</si>
  <si>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</si>
  <si>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</si>
  <si>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</si>
  <si>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</si>
  <si>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</si>
  <si>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</si>
  <si>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</si>
  <si>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</si>
  <si>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</si>
  <si>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</si>
  <si>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</si>
  <si>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</si>
  <si>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</si>
  <si>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</si>
  <si>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</si>
  <si>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</si>
  <si>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</si>
  <si>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</si>
  <si>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</si>
  <si>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</si>
  <si>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</si>
  <si>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</si>
  <si>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</si>
  <si>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</si>
  <si>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</si>
  <si>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</si>
  <si>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</si>
  <si>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</si>
  <si>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</si>
  <si>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</si>
  <si>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</si>
  <si>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</si>
  <si>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</si>
  <si>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</si>
  <si>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</si>
  <si>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</si>
  <si>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</si>
  <si>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</si>
  <si>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</si>
  <si>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</si>
  <si>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</si>
  <si>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</si>
  <si>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</si>
  <si>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</si>
  <si>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</si>
  <si>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</si>
  <si>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</si>
  <si>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</si>
  <si>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</si>
  <si>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</si>
  <si>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</si>
  <si>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</si>
  <si>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</si>
  <si>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</si>
  <si>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</si>
  <si>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</si>
  <si>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</si>
  <si>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</si>
  <si>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</si>
  <si>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</si>
  <si>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</si>
  <si>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</si>
  <si>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</si>
  <si>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</si>
  <si>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</si>
  <si>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</si>
  <si>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</si>
  <si>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</si>
  <si>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</si>
  <si>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</si>
  <si>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</si>
  <si>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</si>
  <si>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</si>
  <si>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</si>
  <si>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</si>
  <si>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</si>
  <si>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</si>
  <si>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</si>
  <si>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</si>
  <si>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</si>
  <si>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</si>
  <si>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</si>
  <si>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</si>
  <si>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</si>
  <si>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</si>
  <si>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</si>
  <si>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</si>
  <si>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</si>
  <si>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</si>
  <si>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</si>
  <si>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</si>
  <si>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</si>
  <si>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</si>
  <si>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</si>
  <si>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</si>
  <si>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</si>
  <si>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</si>
  <si>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</si>
  <si>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</si>
  <si>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</si>
  <si>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</si>
  <si>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</si>
  <si>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</si>
  <si>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</si>
  <si>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</si>
  <si>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</si>
  <si>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</si>
  <si>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</si>
  <si>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</si>
  <si>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</si>
  <si>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</si>
  <si>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</si>
  <si>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</si>
  <si>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</si>
  <si>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</si>
  <si>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</si>
  <si>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</si>
  <si>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</si>
  <si>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</si>
  <si>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</si>
  <si>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</si>
  <si>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</si>
  <si>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</si>
  <si>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</si>
  <si>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</si>
  <si>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</si>
  <si>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</si>
  <si>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</si>
  <si>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</si>
  <si>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</si>
  <si>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</si>
  <si>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</si>
  <si>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</si>
  <si>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</si>
  <si>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</si>
  <si>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</si>
  <si>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</si>
  <si>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</si>
  <si>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</si>
  <si>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</si>
  <si>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</si>
  <si>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</si>
  <si>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</si>
  <si>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</si>
  <si>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</si>
  <si>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</si>
  <si>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</si>
  <si>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</si>
  <si>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</si>
  <si>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</si>
  <si>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</si>
  <si>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</si>
  <si>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</si>
  <si>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</si>
  <si>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</si>
  <si>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</si>
  <si>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</si>
  <si>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</si>
  <si>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</si>
  <si>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</si>
  <si>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</si>
  <si>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</si>
  <si>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</si>
  <si>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</si>
  <si>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</si>
  <si>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</si>
  <si>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</si>
  <si>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</si>
  <si>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</si>
  <si>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</si>
  <si>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</si>
  <si>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</si>
  <si>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</si>
  <si>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</si>
  <si>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</si>
  <si>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</si>
  <si>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</si>
  <si>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</si>
  <si>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</si>
  <si>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</si>
  <si>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</si>
  <si>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</si>
  <si>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</si>
  <si>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</si>
  <si>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</si>
  <si>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</si>
  <si>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</si>
  <si>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</si>
  <si>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</si>
  <si>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</si>
  <si>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</si>
  <si>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</si>
  <si>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</si>
  <si>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</si>
  <si>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</si>
  <si>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</si>
  <si>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</si>
  <si>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</si>
  <si>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</si>
  <si>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</si>
  <si>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</si>
  <si>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</si>
  <si>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</si>
  <si>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</si>
  <si>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</si>
  <si>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</si>
  <si>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</si>
  <si>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</si>
  <si>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</si>
  <si>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</si>
  <si>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</si>
  <si>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</si>
  <si>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</si>
  <si>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</si>
  <si>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</si>
  <si>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</si>
  <si>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</si>
  <si>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</si>
  <si>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</si>
  <si>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</si>
  <si>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</si>
  <si>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</si>
  <si>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</si>
  <si>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</si>
  <si>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</si>
  <si>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</si>
  <si>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</si>
  <si>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</si>
  <si>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</si>
  <si>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</si>
  <si>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</si>
  <si>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</si>
  <si>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</si>
  <si>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</si>
  <si>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</si>
  <si>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</si>
  <si>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</si>
  <si>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</si>
  <si>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</si>
  <si>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</si>
  <si>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</si>
  <si>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</si>
  <si>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</si>
  <si>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</si>
  <si>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</si>
  <si>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</si>
  <si>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</si>
  <si>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</si>
  <si>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</si>
  <si>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</si>
  <si>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</si>
  <si>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</si>
  <si>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</si>
  <si>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</si>
  <si>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</si>
  <si>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</si>
  <si>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</si>
  <si>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</si>
  <si>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</si>
  <si>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</si>
  <si>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</si>
  <si>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</si>
  <si>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</si>
  <si>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</si>
  <si>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</si>
  <si>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</si>
  <si>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</si>
  <si>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</si>
  <si>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</si>
  <si>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</si>
  <si>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</si>
  <si>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</si>
  <si>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</si>
  <si>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</si>
  <si>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</si>
  <si>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</si>
  <si>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</si>
  <si>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</si>
  <si>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</si>
  <si>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</si>
  <si>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</si>
  <si>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</si>
  <si>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</si>
  <si>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</si>
  <si>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</si>
  <si>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</si>
  <si>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</si>
  <si>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</si>
  <si>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</si>
  <si>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</si>
  <si>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</si>
  <si>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</si>
  <si>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</si>
  <si>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</si>
  <si>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</si>
  <si>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</si>
  <si>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</si>
  <si>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</si>
  <si>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</si>
  <si>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</si>
  <si>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</si>
  <si>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</si>
  <si>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</si>
  <si>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</si>
  <si>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</si>
  <si>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</si>
  <si>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</si>
  <si>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</si>
  <si>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</si>
  <si>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</si>
  <si>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</si>
  <si>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</si>
  <si>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</si>
  <si>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</si>
  <si>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</si>
  <si>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</si>
  <si>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</si>
  <si>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</si>
  <si>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</si>
  <si>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</si>
  <si>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</si>
  <si>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</si>
  <si>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</si>
  <si>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</si>
  <si>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</si>
  <si>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</si>
  <si>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</si>
  <si>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</si>
  <si>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</si>
  <si>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</si>
  <si>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</si>
  <si>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</si>
  <si>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</si>
  <si>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</si>
  <si>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</si>
  <si>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</si>
  <si>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</si>
  <si>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</si>
  <si>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</si>
  <si>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</si>
  <si>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</si>
  <si>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</si>
  <si>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</si>
  <si>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</si>
  <si>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</si>
  <si>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</si>
  <si>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</si>
  <si>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</si>
  <si>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</si>
  <si>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</si>
  <si>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</si>
  <si>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</si>
  <si>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</si>
  <si>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</si>
  <si>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</si>
  <si>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</si>
  <si>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</si>
  <si>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</si>
  <si>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</si>
  <si>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</si>
  <si>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</si>
  <si>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</si>
  <si>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</si>
  <si>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</si>
  <si>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</si>
  <si>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</si>
  <si>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</si>
  <si>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</si>
  <si>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</si>
  <si>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</si>
  <si>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</si>
  <si>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</si>
  <si>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</si>
  <si>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</si>
  <si>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</si>
  <si>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</si>
  <si>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</si>
  <si>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</si>
  <si>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</si>
  <si>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</si>
  <si>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</si>
  <si>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</si>
  <si>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</si>
  <si>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</si>
  <si>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</si>
  <si>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</si>
  <si>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</si>
  <si>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</si>
  <si>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</si>
  <si>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</si>
  <si>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</si>
  <si>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</si>
  <si>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</si>
  <si>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</si>
  <si>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</si>
  <si>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</si>
  <si>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</si>
  <si>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</si>
  <si>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</si>
  <si>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</si>
  <si>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</si>
  <si>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</si>
  <si>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</si>
  <si>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</si>
  <si>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</si>
  <si>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</si>
  <si>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</si>
  <si>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</si>
  <si>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</si>
  <si>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</si>
  <si>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</si>
  <si>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</si>
  <si>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</si>
  <si>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</si>
  <si>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</si>
  <si>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</si>
  <si>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</si>
  <si>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</si>
  <si>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</si>
  <si>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</si>
  <si>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</si>
  <si>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</si>
  <si>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</si>
  <si>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</si>
  <si>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</si>
  <si>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</si>
  <si>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</si>
  <si>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</si>
  <si>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</si>
  <si>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</si>
  <si>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</si>
  <si>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</si>
  <si>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</si>
  <si>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</si>
  <si>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</si>
  <si>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</si>
  <si>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</si>
  <si>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</si>
  <si>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</si>
  <si>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</si>
  <si>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</si>
  <si>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</si>
  <si>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</si>
  <si>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</si>
  <si>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</si>
  <si>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</si>
  <si>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</si>
  <si>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</si>
  <si>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</si>
  <si>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</si>
  <si>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</si>
  <si>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</si>
  <si>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</si>
  <si>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</si>
  <si>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</si>
  <si>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</si>
  <si>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</si>
  <si>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</si>
  <si>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</si>
  <si>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</si>
  <si>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</si>
  <si>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</si>
  <si>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</si>
  <si>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</si>
  <si>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</si>
  <si>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</si>
  <si>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</si>
  <si>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</si>
  <si>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</si>
  <si>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</si>
  <si>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</si>
  <si>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</si>
  <si>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</si>
  <si>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</si>
  <si>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</si>
  <si>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</si>
  <si>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</si>
  <si>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</si>
  <si>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</si>
  <si>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</si>
  <si>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</si>
  <si>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</si>
  <si>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</si>
  <si>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</si>
  <si>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</si>
  <si>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</si>
  <si>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</si>
  <si>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</si>
  <si>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</si>
  <si>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</si>
  <si>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</si>
  <si>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</si>
  <si>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</si>
  <si>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</si>
  <si>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</si>
  <si>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</si>
  <si>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</si>
  <si>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</si>
  <si>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</si>
  <si>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</si>
  <si>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</si>
  <si>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</si>
  <si>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</si>
  <si>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</si>
  <si>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</si>
  <si>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</si>
  <si>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</si>
  <si>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</si>
  <si>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</si>
  <si>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</si>
  <si>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</si>
  <si>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</si>
  <si>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</si>
  <si>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</si>
  <si>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</si>
  <si>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</si>
  <si>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</si>
  <si>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</si>
  <si>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</si>
  <si>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</si>
  <si>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</si>
  <si>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</si>
  <si>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</si>
  <si>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</si>
  <si>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</si>
  <si>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</si>
  <si>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</si>
  <si>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</si>
  <si>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</si>
  <si>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</si>
  <si>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</si>
  <si>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</si>
  <si>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</si>
  <si>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</si>
  <si>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</si>
  <si>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</si>
  <si>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</si>
  <si>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</si>
  <si>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</si>
  <si>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</si>
  <si>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</si>
  <si>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</si>
  <si>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</si>
  <si>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</si>
  <si>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</si>
  <si>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</si>
  <si>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</si>
  <si>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</si>
  <si>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</si>
  <si>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</si>
  <si>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</si>
  <si>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</si>
  <si>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</si>
  <si>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</si>
  <si>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</si>
  <si>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</si>
  <si>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</si>
  <si>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</si>
  <si>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</si>
  <si>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</si>
  <si>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</si>
  <si>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</si>
  <si>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</si>
  <si>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</si>
  <si>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</si>
  <si>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</si>
  <si>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</si>
  <si>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</si>
  <si>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</si>
  <si>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</si>
  <si>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</si>
  <si>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</si>
  <si>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</si>
  <si>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</si>
  <si>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</si>
  <si>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</si>
  <si>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</si>
  <si>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</si>
  <si>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</si>
  <si>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</si>
  <si>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</si>
  <si>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</si>
  <si>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</si>
  <si>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</si>
  <si>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</si>
  <si>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</si>
  <si>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</si>
  <si>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</si>
  <si>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</si>
  <si>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</si>
  <si>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</si>
  <si>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</si>
  <si>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</si>
  <si>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</si>
  <si>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</si>
  <si>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</si>
  <si>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</si>
  <si>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</si>
  <si>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</si>
  <si>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</si>
  <si>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</si>
  <si>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</si>
  <si>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</si>
  <si>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</si>
  <si>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</si>
  <si>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</si>
  <si>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</si>
  <si>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</si>
  <si>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</si>
  <si>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</si>
  <si>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</si>
  <si>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</si>
  <si>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</si>
  <si>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</si>
  <si>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</si>
  <si>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</si>
  <si>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</si>
  <si>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</si>
  <si>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</si>
  <si>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</si>
  <si>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</si>
  <si>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</si>
  <si>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</si>
  <si>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</si>
  <si>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</si>
  <si>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</si>
  <si>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</si>
  <si>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</si>
  <si>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</si>
  <si>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</si>
  <si>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</si>
  <si>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</si>
  <si>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</si>
  <si>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</si>
  <si>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</si>
  <si>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</si>
  <si>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</si>
  <si>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</si>
  <si>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</si>
  <si>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</si>
  <si>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</si>
  <si>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</si>
  <si>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</si>
  <si>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</si>
  <si>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</si>
  <si>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</si>
  <si>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</si>
  <si>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</si>
  <si>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</si>
  <si>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</si>
  <si>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</si>
  <si>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</si>
  <si>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</si>
  <si>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</si>
  <si>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</si>
  <si>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</si>
  <si>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</si>
  <si>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</si>
  <si>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</si>
  <si>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</si>
  <si>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</si>
  <si>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</si>
  <si>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</si>
  <si>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</si>
  <si>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</si>
  <si>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</si>
  <si>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</si>
  <si>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</si>
  <si>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</si>
  <si>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</si>
  <si>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</si>
  <si>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</si>
  <si>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</si>
  <si>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</si>
  <si>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</si>
  <si>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</si>
  <si>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</si>
  <si>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</si>
  <si>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</si>
  <si>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</si>
  <si>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</si>
  <si>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</si>
  <si>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</si>
  <si>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</si>
  <si>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</si>
  <si>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</si>
  <si>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</si>
  <si>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</si>
  <si>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</si>
  <si>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</si>
  <si>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</si>
  <si>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</si>
  <si>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</si>
  <si>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</si>
  <si>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</si>
  <si>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</si>
  <si>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</si>
  <si>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</si>
  <si>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</si>
  <si>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</si>
  <si>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</si>
  <si>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</si>
  <si>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</si>
  <si>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</si>
  <si>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</si>
  <si>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</si>
  <si>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</si>
  <si>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</si>
  <si>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</si>
  <si>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</si>
  <si>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</si>
  <si>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</si>
  <si>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</si>
  <si>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</si>
  <si>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</si>
  <si>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</si>
  <si>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</si>
  <si>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</si>
  <si>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</si>
  <si>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</si>
  <si>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</si>
  <si>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</si>
  <si>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</si>
  <si>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</si>
  <si>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</si>
  <si>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</si>
  <si>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</si>
  <si>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</si>
  <si>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</si>
  <si>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</si>
  <si>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</si>
  <si>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</si>
  <si>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</si>
  <si>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</si>
  <si>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</si>
  <si>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</si>
  <si>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</si>
  <si>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</si>
  <si>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</si>
  <si>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</si>
  <si>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</si>
  <si>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</si>
  <si>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</si>
  <si>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</si>
  <si>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</si>
  <si>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</si>
  <si>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</si>
  <si>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</si>
  <si>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</si>
  <si>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</si>
  <si>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</si>
  <si>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</si>
  <si>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</si>
  <si>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</si>
  <si>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</si>
  <si>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</si>
  <si>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</si>
  <si>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</si>
  <si>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</si>
  <si>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</si>
  <si>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</si>
  <si>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</si>
  <si>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</si>
  <si>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</si>
  <si>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</si>
  <si>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</si>
  <si>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</si>
  <si>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</si>
  <si>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</si>
  <si>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</si>
  <si>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</si>
  <si>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</si>
  <si>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</si>
  <si>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</si>
  <si>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</si>
  <si>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</si>
  <si>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</si>
  <si>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</si>
  <si>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</si>
  <si>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</si>
  <si>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</si>
  <si>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</si>
  <si>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</si>
  <si>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</si>
  <si>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</si>
  <si>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</si>
  <si>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</si>
  <si>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</si>
  <si>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</si>
  <si>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</si>
  <si>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</si>
  <si>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</si>
  <si>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</si>
  <si>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</si>
  <si>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</si>
  <si>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</si>
  <si>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</si>
  <si>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</si>
  <si>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</si>
  <si>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</si>
  <si>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</si>
  <si>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</si>
  <si>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</si>
  <si>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</si>
  <si>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</si>
  <si>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</si>
  <si>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</si>
  <si>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</si>
  <si>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</si>
  <si>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</si>
  <si>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</si>
  <si>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</si>
  <si>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</si>
  <si>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</si>
  <si>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</si>
  <si>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</si>
  <si>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</si>
  <si>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</si>
  <si>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</si>
  <si>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</si>
  <si>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</si>
  <si>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</si>
  <si>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</si>
  <si>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</si>
  <si>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</si>
  <si>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</si>
  <si>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</si>
  <si>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</si>
  <si>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</si>
  <si>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</si>
  <si>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</si>
  <si>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</si>
  <si>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</si>
  <si>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</si>
  <si>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</si>
  <si>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</si>
  <si>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</si>
  <si>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</si>
  <si>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</si>
  <si>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</si>
  <si>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</si>
  <si>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</si>
  <si>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</si>
  <si>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</si>
  <si>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</si>
  <si>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</si>
  <si>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</si>
  <si>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</si>
  <si>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</si>
  <si>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</si>
  <si>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</si>
  <si>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</si>
  <si>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</si>
  <si>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</si>
  <si>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</si>
  <si>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</si>
  <si>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</si>
  <si>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</si>
  <si>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</si>
  <si>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</si>
  <si>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</si>
  <si>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</si>
  <si>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</si>
  <si>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</si>
  <si>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</si>
  <si>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</si>
  <si>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</si>
  <si>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</si>
  <si>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</si>
  <si>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</si>
  <si>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</si>
  <si>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</si>
  <si>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</si>
  <si>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</si>
  <si>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</si>
  <si>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</si>
  <si>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</si>
  <si>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</si>
  <si>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</si>
  <si>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</si>
  <si>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</si>
  <si>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</si>
  <si>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</si>
  <si>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</si>
  <si>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</si>
  <si>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</si>
  <si>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</si>
  <si>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</si>
  <si>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</si>
  <si>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</si>
  <si>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</si>
  <si>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</si>
  <si>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</si>
  <si>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</si>
  <si>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</si>
  <si>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</si>
  <si>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</si>
  <si>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</si>
  <si>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</si>
  <si>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</si>
  <si>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</si>
  <si>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</si>
  <si>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</si>
  <si>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</si>
  <si>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</si>
  <si>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</si>
  <si>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</si>
  <si>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</si>
  <si>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</si>
  <si>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</si>
  <si>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</si>
  <si>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</si>
  <si>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</si>
  <si>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</si>
  <si>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</si>
  <si>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</si>
  <si>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</si>
  <si>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</si>
  <si>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</si>
  <si>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</si>
  <si>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</si>
  <si>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</si>
  <si>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</si>
  <si>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</si>
  <si>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</si>
  <si>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</si>
  <si>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</si>
  <si>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</si>
  <si>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</si>
  <si>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</si>
  <si>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</si>
  <si>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</si>
  <si>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</si>
  <si>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</si>
  <si>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</si>
  <si>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</si>
  <si>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</si>
  <si>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</si>
  <si>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</si>
  <si>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</si>
  <si>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</si>
  <si>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</si>
  <si>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</si>
  <si>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</si>
  <si>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</si>
  <si>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</si>
  <si>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</si>
  <si>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</si>
  <si>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</si>
  <si>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</si>
  <si>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</si>
  <si>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</si>
  <si>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</si>
  <si>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</si>
  <si>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</si>
  <si>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</si>
  <si>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</si>
  <si>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</si>
  <si>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</si>
  <si>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</si>
  <si>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</si>
  <si>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</si>
  <si>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</si>
  <si>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</si>
  <si>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</si>
  <si>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</si>
  <si>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</si>
  <si>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</si>
  <si>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</si>
  <si>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</si>
  <si>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</si>
  <si>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</si>
  <si>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</si>
  <si>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</si>
  <si>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</si>
  <si>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</si>
  <si>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</si>
  <si>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</si>
  <si>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</si>
  <si>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</si>
  <si>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</si>
  <si>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</si>
  <si>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</si>
  <si>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</si>
  <si>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</si>
  <si>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</si>
  <si>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</si>
  <si>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</si>
  <si>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</si>
  <si>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</si>
  <si>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</si>
  <si>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</si>
  <si>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</si>
  <si>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</si>
  <si>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</si>
  <si>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</si>
  <si>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</si>
  <si>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</si>
  <si>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</si>
  <si>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</si>
  <si>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</si>
  <si>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</si>
  <si>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</si>
  <si>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</si>
  <si>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</si>
  <si>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</si>
  <si>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</si>
  <si>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</si>
  <si>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</si>
  <si>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</si>
  <si>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</si>
  <si>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</si>
  <si>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</si>
  <si>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</si>
  <si>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</si>
  <si>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</si>
  <si>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</si>
  <si>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</si>
  <si>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</si>
  <si>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</si>
  <si>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</si>
  <si>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</si>
  <si>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</si>
  <si>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</si>
  <si>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</si>
  <si>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</si>
  <si>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</si>
  <si>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</si>
  <si>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</si>
  <si>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</si>
  <si>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</si>
  <si>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</si>
  <si>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</si>
  <si>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</si>
  <si>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</si>
  <si>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</si>
  <si>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</si>
  <si>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</si>
  <si>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</si>
  <si>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</si>
  <si>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</si>
  <si>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</si>
  <si>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</si>
  <si>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</si>
  <si>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</si>
  <si>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</si>
  <si>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</si>
  <si>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</si>
  <si>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</si>
  <si>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</si>
  <si>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</si>
  <si>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</si>
  <si>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</si>
  <si>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</si>
  <si>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</si>
  <si>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</si>
  <si>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</si>
  <si>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</si>
  <si>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</si>
  <si>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</si>
  <si>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</si>
  <si>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</si>
  <si>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</si>
  <si>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</si>
  <si>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</si>
  <si>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</si>
  <si>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</si>
  <si>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</si>
  <si>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</si>
  <si>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</si>
  <si>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</si>
  <si>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</si>
  <si>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</si>
  <si>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</si>
  <si>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</si>
  <si>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</si>
  <si>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</si>
  <si>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</si>
  <si>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</si>
  <si>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</si>
  <si>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</si>
  <si>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</si>
  <si>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</si>
  <si>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</si>
  <si>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</si>
  <si>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</si>
  <si>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</si>
  <si>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</si>
  <si>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</si>
  <si>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</si>
  <si>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</si>
  <si>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</si>
  <si>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</si>
  <si>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</si>
  <si>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</si>
  <si>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</si>
  <si>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</si>
  <si>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</si>
  <si>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</si>
  <si>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</si>
  <si>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</si>
  <si>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</si>
  <si>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</si>
  <si>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</si>
  <si>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</si>
  <si>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</si>
  <si>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</si>
  <si>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</si>
  <si>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</si>
  <si>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</si>
  <si>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</si>
  <si>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</si>
  <si>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</si>
  <si>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</si>
  <si>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</si>
  <si>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</si>
  <si>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</si>
  <si>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</si>
  <si>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</si>
  <si>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</si>
  <si>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</si>
  <si>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</si>
  <si>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</si>
  <si>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</si>
  <si>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</si>
  <si>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</si>
  <si>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</si>
  <si>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</si>
  <si>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</si>
  <si>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</si>
  <si>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</si>
  <si>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</si>
  <si>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</si>
  <si>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</si>
  <si>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</si>
  <si>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</si>
  <si>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</si>
  <si>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</si>
  <si>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</si>
  <si>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</si>
  <si>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</si>
  <si>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</si>
  <si>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</si>
  <si>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</si>
  <si>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</si>
  <si>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</si>
  <si>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</si>
  <si>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</si>
  <si>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</si>
  <si>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</si>
  <si>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</si>
  <si>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</si>
  <si>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</si>
  <si>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</si>
  <si>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</si>
  <si>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</si>
  <si>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</si>
  <si>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</si>
  <si>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</si>
  <si>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</si>
  <si>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</si>
  <si>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</si>
  <si>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</si>
  <si>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</si>
  <si>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</si>
  <si>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</si>
  <si>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</si>
  <si>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</si>
  <si>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</si>
  <si>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</si>
  <si>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</si>
  <si>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</si>
  <si>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</si>
  <si>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</si>
  <si>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</si>
  <si>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</si>
  <si>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</si>
  <si>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</si>
  <si>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</si>
  <si>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</si>
  <si>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</si>
  <si>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</si>
  <si>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</si>
  <si>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</si>
  <si>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</si>
  <si>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</si>
  <si>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</si>
  <si>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</si>
  <si>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</si>
  <si>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</si>
  <si>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</si>
  <si>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</si>
  <si>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</si>
  <si>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</si>
  <si>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</si>
  <si>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</si>
  <si>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</si>
  <si>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</si>
  <si>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</si>
  <si>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</si>
  <si>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</si>
  <si>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</si>
  <si>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</si>
  <si>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</si>
  <si>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</si>
  <si>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</si>
  <si>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</si>
  <si>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</si>
  <si>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</si>
  <si>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</si>
  <si>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</si>
  <si>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</si>
  <si>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</si>
  <si>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</si>
  <si>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</si>
  <si>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</si>
  <si>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</si>
  <si>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</si>
  <si>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</si>
  <si>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</si>
  <si>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</si>
  <si>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</si>
  <si>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</si>
  <si>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</si>
  <si>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</si>
  <si>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</si>
  <si>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</si>
  <si>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</si>
  <si>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</si>
  <si>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</si>
  <si>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</si>
  <si>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</si>
  <si>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</si>
  <si>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</si>
  <si>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</si>
  <si>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</si>
  <si>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</si>
  <si>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</si>
  <si>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</si>
  <si>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</si>
  <si>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</si>
  <si>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</si>
  <si>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</si>
  <si>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</si>
  <si>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</si>
  <si>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</si>
  <si>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</si>
  <si>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</si>
  <si>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</si>
  <si>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</si>
  <si>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</si>
  <si>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</si>
  <si>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</si>
  <si>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</si>
  <si>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</si>
  <si>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</si>
  <si>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</si>
  <si>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</si>
  <si>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</si>
  <si>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</si>
  <si>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</si>
  <si>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</si>
  <si>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</si>
  <si>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</si>
  <si>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</si>
  <si>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</si>
  <si>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</si>
  <si>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</si>
  <si>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</si>
  <si>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</si>
  <si>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</si>
  <si>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</si>
  <si>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</si>
  <si>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</si>
  <si>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</si>
  <si>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</si>
  <si>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</si>
  <si>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</si>
  <si>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</si>
  <si>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</si>
  <si>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</si>
  <si>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</si>
  <si>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</si>
  <si>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</si>
  <si>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</si>
  <si>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</si>
  <si>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</si>
  <si>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</si>
  <si>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</si>
  <si>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</si>
  <si>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</si>
  <si>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</si>
  <si>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</si>
  <si>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</si>
  <si>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</si>
  <si>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</si>
  <si>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</si>
  <si>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</si>
  <si>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</si>
  <si>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</si>
  <si>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</si>
  <si>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</si>
  <si>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</si>
  <si>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</si>
  <si>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</si>
  <si>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</si>
  <si>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</si>
  <si>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</si>
  <si>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</si>
  <si>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</si>
  <si>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</si>
  <si>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</si>
  <si>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</si>
  <si>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</si>
  <si>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</si>
  <si>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</si>
  <si>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</si>
  <si>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</si>
  <si>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</si>
  <si>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</si>
  <si>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</si>
  <si>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</si>
  <si>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</si>
  <si>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</si>
  <si>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</si>
  <si>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</si>
  <si>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</si>
  <si>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</si>
  <si>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</si>
  <si>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</si>
  <si>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</si>
  <si>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</si>
  <si>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</si>
  <si>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</si>
  <si>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</si>
  <si>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</si>
  <si>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</si>
  <si>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</si>
  <si>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</si>
  <si>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</si>
  <si>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</si>
  <si>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</si>
  <si>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</si>
  <si>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</si>
  <si>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</si>
  <si>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</si>
  <si>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</si>
  <si>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</si>
  <si>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</si>
  <si>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</si>
  <si>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</si>
  <si>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</si>
  <si>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</si>
  <si>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</si>
  <si>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</si>
  <si>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</si>
  <si>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</si>
  <si>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</si>
  <si>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</si>
  <si>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</si>
  <si>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</si>
  <si>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</si>
  <si>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</si>
  <si>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</si>
  <si>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</si>
  <si>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</si>
  <si>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</si>
  <si>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</si>
  <si>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</si>
  <si>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</si>
  <si>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</si>
  <si>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</si>
  <si>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</si>
  <si>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</si>
  <si>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</si>
  <si>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</si>
  <si>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</si>
  <si>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</si>
  <si>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</si>
  <si>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</si>
  <si>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</si>
  <si>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</si>
  <si>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</si>
  <si>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</si>
  <si>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</si>
  <si>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</si>
  <si>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</si>
  <si>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</si>
  <si>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</si>
  <si>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</si>
  <si>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</si>
  <si>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</si>
  <si>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</si>
  <si>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</si>
  <si>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</si>
  <si>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</si>
  <si>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</si>
  <si>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</si>
  <si>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</si>
  <si>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</si>
  <si>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</si>
  <si>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</si>
  <si>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</si>
  <si>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</si>
  <si>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</si>
  <si>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</si>
  <si>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</si>
  <si>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</si>
  <si>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</si>
  <si>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</si>
  <si>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</si>
  <si>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</si>
  <si>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</si>
  <si>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</si>
  <si>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</si>
  <si>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</si>
  <si>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</si>
  <si>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</si>
  <si>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</si>
  <si>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</si>
  <si>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</si>
  <si>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</si>
  <si>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</si>
  <si>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</si>
  <si>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</si>
  <si>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</si>
  <si>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</si>
  <si>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</si>
  <si>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</si>
  <si>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</si>
  <si>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</si>
  <si>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</si>
  <si>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</si>
  <si>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</si>
  <si>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</si>
  <si>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</si>
  <si>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</si>
  <si>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</si>
  <si>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</si>
  <si>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</si>
  <si>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</si>
  <si>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</si>
  <si>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</si>
  <si>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</si>
  <si>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</si>
  <si>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</si>
  <si>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</si>
  <si>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</si>
  <si>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</si>
  <si>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</si>
  <si>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</si>
  <si>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</si>
  <si>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</si>
  <si>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</si>
  <si>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</si>
  <si>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</si>
  <si>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</si>
  <si>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</si>
  <si>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</si>
  <si>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</si>
  <si>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</si>
  <si>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</si>
  <si>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</si>
  <si>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</si>
  <si>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</si>
  <si>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</si>
  <si>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</si>
  <si>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</si>
  <si>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</si>
  <si>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</si>
  <si>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</si>
  <si>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</si>
  <si>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</si>
  <si>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</si>
  <si>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</si>
  <si>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</si>
  <si>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</si>
  <si>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</si>
  <si>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</si>
  <si>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</si>
  <si>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</si>
  <si>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</si>
  <si>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</si>
  <si>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</si>
  <si>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</si>
  <si>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</si>
  <si>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</si>
  <si>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</si>
  <si>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</si>
  <si>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</si>
  <si>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</si>
  <si>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</si>
  <si>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</si>
  <si>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</si>
  <si>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</si>
  <si>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</si>
  <si>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</si>
  <si>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</si>
  <si>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</si>
  <si>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</si>
  <si>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</si>
  <si>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</si>
  <si>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</si>
  <si>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</si>
  <si>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</si>
  <si>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</si>
  <si>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</si>
  <si>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</si>
  <si>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</si>
  <si>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</si>
  <si>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</si>
  <si>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</si>
  <si>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</si>
  <si>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</si>
  <si>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</si>
  <si>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</si>
  <si>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</si>
  <si>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</si>
  <si>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</si>
  <si>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</si>
  <si>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</si>
  <si>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</si>
  <si>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</si>
  <si>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</si>
  <si>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</si>
  <si>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</si>
  <si>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</si>
  <si>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</si>
  <si>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</si>
  <si>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</si>
  <si>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</si>
  <si>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</si>
  <si>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</si>
  <si>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</si>
  <si>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</si>
  <si>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</si>
  <si>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</si>
  <si>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</si>
  <si>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</si>
  <si>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</si>
  <si>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</si>
  <si>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</si>
  <si>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</si>
  <si>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</si>
  <si>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</si>
  <si>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</si>
  <si>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</si>
  <si>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</si>
  <si>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</si>
  <si>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</si>
  <si>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</si>
  <si>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</si>
  <si>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</si>
  <si>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</si>
  <si>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</si>
  <si>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</si>
  <si>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</si>
  <si>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</si>
  <si>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</si>
  <si>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</si>
  <si>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</si>
  <si>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</si>
  <si>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</si>
  <si>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</si>
  <si>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</si>
  <si>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</si>
  <si>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</si>
  <si>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</si>
  <si>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</si>
  <si>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</si>
  <si>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</si>
  <si>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</si>
  <si>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</si>
  <si>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</si>
  <si>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</si>
  <si>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</si>
  <si>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</si>
  <si>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</si>
  <si>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</si>
  <si>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</si>
  <si>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</si>
  <si>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</si>
  <si>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</si>
  <si>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</si>
  <si>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</si>
  <si>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</si>
  <si>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</si>
  <si>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</si>
  <si>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</si>
  <si>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</si>
  <si>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</si>
  <si>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</si>
  <si>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</si>
  <si>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</si>
  <si>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</si>
  <si>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</si>
  <si>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</si>
  <si>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</si>
  <si>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</si>
  <si>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</si>
  <si>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</si>
  <si>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</si>
  <si>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</si>
  <si>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</si>
  <si>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</si>
  <si>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</si>
  <si>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</si>
  <si>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</si>
  <si>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</si>
  <si>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</si>
  <si>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</si>
  <si>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</si>
  <si>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</si>
  <si>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</si>
  <si>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</si>
  <si>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</si>
  <si>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</si>
  <si>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</si>
  <si>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</si>
  <si>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</si>
  <si>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</si>
  <si>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</si>
  <si>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</si>
  <si>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</si>
  <si>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</si>
  <si>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</si>
  <si>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</si>
  <si>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</si>
  <si>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</si>
  <si>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</si>
  <si>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</si>
  <si>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</si>
  <si>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</si>
  <si>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</si>
  <si>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</si>
  <si>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</si>
  <si>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</si>
  <si>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</si>
  <si>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</si>
  <si>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</si>
  <si>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</si>
  <si>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</si>
  <si>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</si>
  <si>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</si>
  <si>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</si>
  <si>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</si>
  <si>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</si>
  <si>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</si>
  <si>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</si>
  <si>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</si>
  <si>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</si>
  <si>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</si>
  <si>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</si>
  <si>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</si>
  <si>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</si>
  <si>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</si>
  <si>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</si>
  <si>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</si>
  <si>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</si>
  <si>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</si>
  <si>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</si>
  <si>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</si>
  <si>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</si>
  <si>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</si>
  <si>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</si>
  <si>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</si>
  <si>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</si>
  <si>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</si>
  <si>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</si>
  <si>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</si>
  <si>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</si>
  <si>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</si>
  <si>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</si>
  <si>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</si>
  <si>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</si>
  <si>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</si>
  <si>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</si>
  <si>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</si>
  <si>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</si>
  <si>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</si>
  <si>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</si>
  <si>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</si>
  <si>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</si>
  <si>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</si>
  <si>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</si>
  <si>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</si>
  <si>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</si>
  <si>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</si>
  <si>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</si>
  <si>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</si>
  <si>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</si>
  <si>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</si>
  <si>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</si>
  <si>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</si>
  <si>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</si>
  <si>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</si>
  <si>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</si>
  <si>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</si>
  <si>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</si>
  <si>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</si>
  <si>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</si>
  <si>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</si>
  <si>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</si>
  <si>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</si>
  <si>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</si>
  <si>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</si>
  <si>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</si>
  <si>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</si>
  <si>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</si>
  <si>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</si>
  <si>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</si>
  <si>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</si>
  <si>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</si>
  <si>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</si>
  <si>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</si>
  <si>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</si>
  <si>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</si>
  <si>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</si>
  <si>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</si>
  <si>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</si>
  <si>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</si>
  <si>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</si>
  <si>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</si>
  <si>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</si>
  <si>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</si>
  <si>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</si>
  <si>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</si>
  <si>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</si>
  <si>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</si>
  <si>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</si>
  <si>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</si>
  <si>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</si>
  <si>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</si>
  <si>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</si>
  <si>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</si>
  <si>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</si>
  <si>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</si>
  <si>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</si>
  <si>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</si>
  <si>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</si>
  <si>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</si>
  <si>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</si>
  <si>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</si>
  <si>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</si>
  <si>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</si>
  <si>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</si>
  <si>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</si>
  <si>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</si>
  <si>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</si>
  <si>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</si>
  <si>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</si>
  <si>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</si>
  <si>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</si>
  <si>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</si>
  <si>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</si>
  <si>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</si>
  <si>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</si>
  <si>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</si>
  <si>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</si>
  <si>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</si>
  <si>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</si>
  <si>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</si>
  <si>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</si>
  <si>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</si>
  <si>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</si>
  <si>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</si>
  <si>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</si>
  <si>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</si>
  <si>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</si>
  <si>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</si>
  <si>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</si>
  <si>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</si>
  <si>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</si>
  <si>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</si>
  <si>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</si>
  <si>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</si>
  <si>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</si>
  <si>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</si>
  <si>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</si>
  <si>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</si>
  <si>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</si>
  <si>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</si>
  <si>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</si>
  <si>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</si>
  <si>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</si>
  <si>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</si>
  <si>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</si>
  <si>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</si>
  <si>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</si>
  <si>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</si>
  <si>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</si>
  <si>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</si>
  <si>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</si>
  <si>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</si>
  <si>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</si>
  <si>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</si>
  <si>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</si>
  <si>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</si>
  <si>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</si>
  <si>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</si>
  <si>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</si>
  <si>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</si>
  <si>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</si>
  <si>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</si>
  <si>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</si>
  <si>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</si>
  <si>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</si>
  <si>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</si>
  <si>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</si>
  <si>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</si>
  <si>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</si>
  <si>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</si>
  <si>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</si>
  <si>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</si>
  <si>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</si>
  <si>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</si>
  <si>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</si>
  <si>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</si>
  <si>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</si>
  <si>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</si>
  <si>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</si>
  <si>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</si>
  <si>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</si>
  <si>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</si>
  <si>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</si>
  <si>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</si>
  <si>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</si>
  <si>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</si>
  <si>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</si>
  <si>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</si>
  <si>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</si>
  <si>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</si>
  <si>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</si>
  <si>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</si>
  <si>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</si>
  <si>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</si>
  <si>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</si>
  <si>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</si>
  <si>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</si>
  <si>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</si>
  <si>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</si>
  <si>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</si>
  <si>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</si>
  <si>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</si>
  <si>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</si>
  <si>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</si>
  <si>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</si>
  <si>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</si>
  <si>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</si>
  <si>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</si>
  <si>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</si>
  <si>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</si>
  <si>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</si>
  <si>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</si>
  <si>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</si>
  <si>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</si>
  <si>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</si>
  <si>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</si>
  <si>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</si>
  <si>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</si>
  <si>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</si>
  <si>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</si>
  <si>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</si>
  <si>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</si>
  <si>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</si>
  <si>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</si>
  <si>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</si>
  <si>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</si>
  <si>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</si>
  <si>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</si>
  <si>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</si>
  <si>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</si>
  <si>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</si>
  <si>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</si>
  <si>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</si>
  <si>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</si>
  <si>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</si>
  <si>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</si>
  <si>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</si>
  <si>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</si>
  <si>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</si>
  <si>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</si>
  <si>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</si>
  <si>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</si>
  <si>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</si>
  <si>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</si>
  <si>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</si>
  <si>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</si>
  <si>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</si>
  <si>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</si>
  <si>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</si>
  <si>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</si>
  <si>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</si>
  <si>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</si>
  <si>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</si>
  <si>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</si>
  <si>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</si>
  <si>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</si>
  <si>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</si>
  <si>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</si>
  <si>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</si>
  <si>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</si>
  <si>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</si>
  <si>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</si>
  <si>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</si>
  <si>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</si>
  <si>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</si>
  <si>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</si>
  <si>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</si>
  <si>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</si>
  <si>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</si>
  <si>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</si>
  <si>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</si>
  <si>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</si>
  <si>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</si>
  <si>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</si>
  <si>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</si>
  <si>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</si>
  <si>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</si>
  <si>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</si>
  <si>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</si>
  <si>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</si>
  <si>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</si>
  <si>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</si>
  <si>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</si>
  <si>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</si>
  <si>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</si>
  <si>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</si>
  <si>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</si>
  <si>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</si>
  <si>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</si>
  <si>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</si>
  <si>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</si>
  <si>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</si>
  <si>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</si>
  <si>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</si>
  <si>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</si>
  <si>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</si>
  <si>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</si>
  <si>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</si>
  <si>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</si>
  <si>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</si>
  <si>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</si>
  <si>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</si>
  <si>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</si>
  <si>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</si>
  <si>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</si>
  <si>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</si>
  <si>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</si>
  <si>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</si>
  <si>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</si>
  <si>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</si>
  <si>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</si>
  <si>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</si>
  <si>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</si>
  <si>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</si>
  <si>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</si>
  <si>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</si>
  <si>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</si>
  <si>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</si>
  <si>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</si>
  <si>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</si>
  <si>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</si>
  <si>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</si>
  <si>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</si>
  <si>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</si>
  <si>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</si>
  <si>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</si>
  <si>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</si>
  <si>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</si>
  <si>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</si>
  <si>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</si>
  <si>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</si>
  <si>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</si>
  <si>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</si>
  <si>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</si>
  <si>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</si>
  <si>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</si>
  <si>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</si>
  <si>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</si>
  <si>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</si>
  <si>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</si>
  <si>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</si>
  <si>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</si>
  <si>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</si>
  <si>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</si>
  <si>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</si>
  <si>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</si>
  <si>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</si>
  <si>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</si>
  <si>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</si>
  <si>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</si>
  <si>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</si>
  <si>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</si>
  <si>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</si>
  <si>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</si>
  <si>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</si>
  <si>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</si>
  <si>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</si>
  <si>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</si>
  <si>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</si>
  <si>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</si>
  <si>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</si>
  <si>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</si>
  <si>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</si>
  <si>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</si>
  <si>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</si>
  <si>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</si>
  <si>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</si>
  <si>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</si>
  <si>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</si>
  <si>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</si>
  <si>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</si>
  <si>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</si>
  <si>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</si>
  <si>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</si>
  <si>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</si>
  <si>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</si>
  <si>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</si>
  <si>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</si>
  <si>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</si>
  <si>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</si>
  <si>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</si>
  <si>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</si>
  <si>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</si>
  <si>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</si>
  <si>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</si>
  <si>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</si>
  <si>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</si>
  <si>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</si>
  <si>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</si>
  <si>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</si>
  <si>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</si>
  <si>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</si>
  <si>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</si>
  <si>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</si>
  <si>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</si>
  <si>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</si>
  <si>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</si>
  <si>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</si>
  <si>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</si>
  <si>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</si>
  <si>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</si>
  <si>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</si>
  <si>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</si>
  <si>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</si>
  <si>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</si>
  <si>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</si>
  <si>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</si>
  <si>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</si>
  <si>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</si>
  <si>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</si>
  <si>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</si>
  <si>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</si>
  <si>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</si>
  <si>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</si>
  <si>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</si>
  <si>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</si>
  <si>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</si>
  <si>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</si>
  <si>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</si>
  <si>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</si>
  <si>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</si>
  <si>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</si>
  <si>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</si>
  <si>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</si>
  <si>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</si>
  <si>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</si>
  <si>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</si>
  <si>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</si>
  <si>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</si>
  <si>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</si>
  <si>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</si>
  <si>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</si>
  <si>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</si>
  <si>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</si>
  <si>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</si>
  <si>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</si>
  <si>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</si>
  <si>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</si>
  <si>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</si>
  <si>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</si>
  <si>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</si>
  <si>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</si>
  <si>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</si>
  <si>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</si>
  <si>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</si>
  <si>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</si>
  <si>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</si>
  <si>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</si>
  <si>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</si>
  <si>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</si>
  <si>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</si>
  <si>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</si>
  <si>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</si>
  <si>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</si>
  <si>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</si>
  <si>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</si>
  <si>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</si>
  <si>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</si>
  <si>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</si>
  <si>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</si>
  <si>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</si>
  <si>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</si>
  <si>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</si>
  <si>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</si>
  <si>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</si>
  <si>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</si>
  <si>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</si>
  <si>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</si>
  <si>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</si>
  <si>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</si>
  <si>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</si>
  <si>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</si>
  <si>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</si>
  <si>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</si>
  <si>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</si>
  <si>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</si>
  <si>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</si>
  <si>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</si>
  <si>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</si>
  <si>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</si>
  <si>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</si>
  <si>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</si>
  <si>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</si>
  <si>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</si>
  <si>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</si>
  <si>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</si>
  <si>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</si>
  <si>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</si>
  <si>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</si>
  <si>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</si>
  <si>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</si>
  <si>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</si>
  <si>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</si>
  <si>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</si>
  <si>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</si>
  <si>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</si>
  <si>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</si>
  <si>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</si>
  <si>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</si>
  <si>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</si>
  <si>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</si>
  <si>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</si>
  <si>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</si>
  <si>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</si>
  <si>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</si>
  <si>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</si>
  <si>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</si>
  <si>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</si>
  <si>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</si>
  <si>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</si>
  <si>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</si>
  <si>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</si>
  <si>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</si>
  <si>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</si>
  <si>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</si>
  <si>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</si>
  <si>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</si>
  <si>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</si>
  <si>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</si>
  <si>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</si>
  <si>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</si>
  <si>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</si>
  <si>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</si>
  <si>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</si>
  <si>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</si>
  <si>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</si>
  <si>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</si>
  <si>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</si>
  <si>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</si>
  <si>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</si>
  <si>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</si>
  <si>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</si>
  <si>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</si>
  <si>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</si>
  <si>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</si>
  <si>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</si>
  <si>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</si>
  <si>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</si>
  <si>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</si>
  <si>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</si>
  <si>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</si>
  <si>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</si>
  <si>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</si>
  <si>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</si>
  <si>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</si>
  <si>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</si>
  <si>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</si>
  <si>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</si>
  <si>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</si>
  <si>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</si>
  <si>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</si>
  <si>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</si>
  <si>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</si>
  <si>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</si>
  <si>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</si>
  <si>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</si>
  <si>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</si>
  <si>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</si>
  <si>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</si>
  <si>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</si>
  <si>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</si>
  <si>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</si>
  <si>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</si>
  <si>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</si>
  <si>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</si>
  <si>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</si>
  <si>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</si>
  <si>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</si>
  <si>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</si>
  <si>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</si>
  <si>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</si>
  <si>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</si>
  <si>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</si>
  <si>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</si>
  <si>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</si>
  <si>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</si>
  <si>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</si>
  <si>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</si>
  <si>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</si>
  <si>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</si>
  <si>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</si>
  <si>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</si>
  <si>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</si>
  <si>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</si>
  <si>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</si>
  <si>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</si>
  <si>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</si>
  <si>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</si>
  <si>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</si>
  <si>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</si>
  <si>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</si>
  <si>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</si>
  <si>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</si>
  <si>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</si>
  <si>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</si>
  <si>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</si>
  <si>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</si>
  <si>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</si>
  <si>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</si>
  <si>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</si>
  <si>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</si>
  <si>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</si>
  <si>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</si>
  <si>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</si>
  <si>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</si>
  <si>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</si>
  <si>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</si>
  <si>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</si>
  <si>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</si>
  <si>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</si>
  <si>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</si>
  <si>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</si>
  <si>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</si>
  <si>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</si>
  <si>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</si>
  <si>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</si>
  <si>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</si>
  <si>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</si>
  <si>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</si>
  <si>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</si>
  <si>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</si>
  <si>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</si>
  <si>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</si>
  <si>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</si>
  <si>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</si>
  <si>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</si>
  <si>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</si>
  <si>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</si>
  <si>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</si>
  <si>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</si>
  <si>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</si>
  <si>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</si>
  <si>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</si>
  <si>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</si>
  <si>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</si>
  <si>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</si>
  <si>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</si>
  <si>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</si>
  <si>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</si>
  <si>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</si>
  <si>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</si>
  <si>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</si>
  <si>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</si>
  <si>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</si>
  <si>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</si>
  <si>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</si>
  <si>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</si>
  <si>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</si>
  <si>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</si>
  <si>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</si>
  <si>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</si>
  <si>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</si>
  <si>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</si>
  <si>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</si>
  <si>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</si>
  <si>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</si>
  <si>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</si>
  <si>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</si>
  <si>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</si>
  <si>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</si>
  <si>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</si>
  <si>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</si>
  <si>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</si>
  <si>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</si>
  <si>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</si>
  <si>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</si>
  <si>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</si>
  <si>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</si>
  <si>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</si>
  <si>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</si>
  <si>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</si>
  <si>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</si>
  <si>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</si>
  <si>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</si>
  <si>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</si>
  <si>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</si>
  <si>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</si>
  <si>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</si>
  <si>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</si>
  <si>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</si>
  <si>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</si>
  <si>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</si>
  <si>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</si>
  <si>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</si>
  <si>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</si>
  <si>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</si>
  <si>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</si>
  <si>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</si>
  <si>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</si>
  <si>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</si>
  <si>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</si>
  <si>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</si>
  <si>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</si>
  <si>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</si>
  <si>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</si>
  <si>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</si>
  <si>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</si>
  <si>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</si>
  <si>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</si>
  <si>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</si>
  <si>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</si>
  <si>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</si>
  <si>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</si>
  <si>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</si>
  <si>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</si>
  <si>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</si>
  <si>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</si>
  <si>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</si>
  <si>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</si>
  <si>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</si>
  <si>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</si>
  <si>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</si>
  <si>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</si>
  <si>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</si>
  <si>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</si>
  <si>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</si>
  <si>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</si>
  <si>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</si>
  <si>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</si>
  <si>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</si>
  <si>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</si>
  <si>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</si>
  <si>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</si>
  <si>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</si>
  <si>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</si>
  <si>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</si>
  <si>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</si>
  <si>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</si>
  <si>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</si>
  <si>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</si>
  <si>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</si>
  <si>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</si>
  <si>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</si>
  <si>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</si>
  <si>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</si>
  <si>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</si>
  <si>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</si>
  <si>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</si>
  <si>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</si>
  <si>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</si>
  <si>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</si>
  <si>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</si>
  <si>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</si>
  <si>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</si>
  <si>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</si>
  <si>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</si>
  <si>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</si>
  <si>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</si>
  <si>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</si>
  <si>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</si>
  <si>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</si>
  <si>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</si>
  <si>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</si>
  <si>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</si>
  <si>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</si>
  <si>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</si>
  <si>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</si>
  <si>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</si>
  <si>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</si>
  <si>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</si>
  <si>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</si>
  <si>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</si>
  <si>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</si>
  <si>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</si>
  <si>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</si>
  <si>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</si>
  <si>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</si>
  <si>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</si>
  <si>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</si>
  <si>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</si>
  <si>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</si>
  <si>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</si>
  <si>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</si>
  <si>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</si>
  <si>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</si>
  <si>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</si>
  <si>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</si>
  <si>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</si>
  <si>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</si>
  <si>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</si>
  <si>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</si>
  <si>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</si>
  <si>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</si>
  <si>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</si>
  <si>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</si>
  <si>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</si>
  <si>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</si>
  <si>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</si>
  <si>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</si>
  <si>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</si>
  <si>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</si>
  <si>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</si>
  <si>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</si>
  <si>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</si>
  <si>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</si>
  <si>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</si>
  <si>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</si>
  <si>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</si>
  <si>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</si>
  <si>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</si>
  <si>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</si>
  <si>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</si>
  <si>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</si>
  <si>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</si>
  <si>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</si>
  <si>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</si>
  <si>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</si>
  <si>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</si>
  <si>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</si>
  <si>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</si>
  <si>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</si>
  <si>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</si>
  <si>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</si>
  <si>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</si>
  <si>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</si>
  <si>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</si>
  <si>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</si>
  <si>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</si>
  <si>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</si>
  <si>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</si>
  <si>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</si>
  <si>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</si>
  <si>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</si>
  <si>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</si>
  <si>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</si>
  <si>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</si>
  <si>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</si>
  <si>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</si>
  <si>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</si>
  <si>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</si>
  <si>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</si>
  <si>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</si>
  <si>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</si>
  <si>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</si>
  <si>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</si>
  <si>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</si>
  <si>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</si>
  <si>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</si>
  <si>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</si>
  <si>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</si>
  <si>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</si>
  <si>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</si>
  <si>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</si>
  <si>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</si>
  <si>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</si>
  <si>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</si>
  <si>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</si>
  <si>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</si>
  <si>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</si>
  <si>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</si>
  <si>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</si>
  <si>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</si>
  <si>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</si>
  <si>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</si>
  <si>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</si>
  <si>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</si>
  <si>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</si>
  <si>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</si>
  <si>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</si>
  <si>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</si>
  <si>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</si>
  <si>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</si>
  <si>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</si>
  <si>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</si>
  <si>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</si>
  <si>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</si>
  <si>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</si>
  <si>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</si>
  <si>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</si>
  <si>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</si>
  <si>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</si>
  <si>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</si>
  <si>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</si>
  <si>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</si>
  <si>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</si>
  <si>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</si>
  <si>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</si>
  <si>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</si>
  <si>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</si>
  <si>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</si>
  <si>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</si>
  <si>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</si>
  <si>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</si>
  <si>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</si>
  <si>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</si>
  <si>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</si>
  <si>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</si>
  <si>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</si>
  <si>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</si>
  <si>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</si>
  <si>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</si>
  <si>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</si>
  <si>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</si>
  <si>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</si>
  <si>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</si>
  <si>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</si>
  <si>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</si>
  <si>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</si>
  <si>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</si>
  <si>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</si>
  <si>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</si>
  <si>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</si>
  <si>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</si>
  <si>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</si>
  <si>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</si>
  <si>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</si>
  <si>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</si>
  <si>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</si>
  <si>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</si>
  <si>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</si>
  <si>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</si>
  <si>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</si>
  <si>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</si>
  <si>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</si>
  <si>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</si>
  <si>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</si>
  <si>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</si>
  <si>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</si>
  <si>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</si>
  <si>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</si>
  <si>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</si>
  <si>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</si>
  <si>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</si>
  <si>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</si>
  <si>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</si>
  <si>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</si>
  <si>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</si>
  <si>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</si>
  <si>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</si>
  <si>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</si>
  <si>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</si>
  <si>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</si>
  <si>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</si>
  <si>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</si>
  <si>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</si>
  <si>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</si>
  <si>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</si>
  <si>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</si>
  <si>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</si>
  <si>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</si>
  <si>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</si>
  <si>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</si>
  <si>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</si>
  <si>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</si>
  <si>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</si>
  <si>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</si>
  <si>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</si>
  <si>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</si>
  <si>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</si>
  <si>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</si>
  <si>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</si>
  <si>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</si>
  <si>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</si>
  <si>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</si>
  <si>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</si>
  <si>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</si>
  <si>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</si>
  <si>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</si>
  <si>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</si>
  <si>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</si>
  <si>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</si>
  <si>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</si>
  <si>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</si>
  <si>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</si>
  <si>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</si>
  <si>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</si>
  <si>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</si>
  <si>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</si>
  <si>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</si>
  <si>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</si>
  <si>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</si>
  <si>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</si>
  <si>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</si>
  <si>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</si>
  <si>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</si>
  <si>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</si>
  <si>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</si>
  <si>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</si>
  <si>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</si>
  <si>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</si>
  <si>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</si>
  <si>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</si>
  <si>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</si>
  <si>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</si>
  <si>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</si>
  <si>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</si>
  <si>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</si>
  <si>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</si>
  <si>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</si>
  <si>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</si>
  <si>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</si>
  <si>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</si>
  <si>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</si>
  <si>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</si>
  <si>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</si>
  <si>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</si>
  <si>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</si>
  <si>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</si>
  <si>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</si>
  <si>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</si>
  <si>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</si>
  <si>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</si>
  <si>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</si>
  <si>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</si>
  <si>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</si>
  <si>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</si>
  <si>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</si>
  <si>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</si>
  <si>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</si>
  <si>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</si>
  <si>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</si>
  <si>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</si>
  <si>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</si>
  <si>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</si>
  <si>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</si>
  <si>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</si>
  <si>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</si>
  <si>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</si>
  <si>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</si>
  <si>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</si>
  <si>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</si>
  <si>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</si>
  <si>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</si>
  <si>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</si>
  <si>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</si>
  <si>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</si>
  <si>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</si>
  <si>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</si>
  <si>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</si>
  <si>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</si>
  <si>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</si>
  <si>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</si>
  <si>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</si>
  <si>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</si>
  <si>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</si>
  <si>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</si>
  <si>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</si>
  <si>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</si>
  <si>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</si>
  <si>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</si>
  <si>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</si>
  <si>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</si>
  <si>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</si>
  <si>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</si>
  <si>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</si>
  <si>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</si>
  <si>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</si>
  <si>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</si>
  <si>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</si>
  <si>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</si>
  <si>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</si>
  <si>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</si>
  <si>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</si>
  <si>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</si>
  <si>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</si>
  <si>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</si>
  <si>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</si>
  <si>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</si>
  <si>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</si>
  <si>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</si>
  <si>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</si>
  <si>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</si>
  <si>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</si>
  <si>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</si>
  <si>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</si>
  <si>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</si>
  <si>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</si>
  <si>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</si>
  <si>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</si>
  <si>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</si>
  <si>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</si>
  <si>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</si>
  <si>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</si>
  <si>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</si>
  <si>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</si>
  <si>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</si>
  <si>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</si>
  <si>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</si>
  <si>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</si>
  <si>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</si>
  <si>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</si>
  <si>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</si>
  <si>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</si>
  <si>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</si>
  <si>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</si>
  <si>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</si>
  <si>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</si>
  <si>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</si>
  <si>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</si>
  <si>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</si>
  <si>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</si>
  <si>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</si>
  <si>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</si>
  <si>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</si>
  <si>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</si>
  <si>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</si>
  <si>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</si>
  <si>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</si>
  <si>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</si>
  <si>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</si>
  <si>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</si>
  <si>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</si>
  <si>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</si>
  <si>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</si>
  <si>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</si>
  <si>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</si>
  <si>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</si>
  <si>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</si>
  <si>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</si>
  <si>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</si>
  <si>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</si>
  <si>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</si>
  <si>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</si>
  <si>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</si>
  <si>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</si>
  <si>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</si>
  <si>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</si>
  <si>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</si>
  <si>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</si>
  <si>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</si>
  <si>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</si>
  <si>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</si>
  <si>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</si>
  <si>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</si>
  <si>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</si>
  <si>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</si>
  <si>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</si>
  <si>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</si>
  <si>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</si>
  <si>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</si>
  <si>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</si>
  <si>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</si>
  <si>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</si>
  <si>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</si>
  <si>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</si>
  <si>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</si>
  <si>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</si>
  <si>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</si>
  <si>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</si>
  <si>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</si>
  <si>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</si>
  <si>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</si>
  <si>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</si>
  <si>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</si>
  <si>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</si>
  <si>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</si>
  <si>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</si>
  <si>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</si>
  <si>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</si>
  <si>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</si>
  <si>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</si>
  <si>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</si>
  <si>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</si>
  <si>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</si>
  <si>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</si>
  <si>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</si>
  <si>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</si>
  <si>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</si>
  <si>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</si>
  <si>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</si>
  <si>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</si>
  <si>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</si>
  <si>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</si>
  <si>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</si>
  <si>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</si>
  <si>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</si>
  <si>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</si>
  <si>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</si>
  <si>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</si>
  <si>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</si>
  <si>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</si>
  <si>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</si>
  <si>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</si>
  <si>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</si>
  <si>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</si>
  <si>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</si>
  <si>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</si>
  <si>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</si>
  <si>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</si>
  <si>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</si>
  <si>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</si>
  <si>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</si>
  <si>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</si>
  <si>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</si>
  <si>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</si>
  <si>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</si>
  <si>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</si>
  <si>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</si>
  <si>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</si>
  <si>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</si>
  <si>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</si>
  <si>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</si>
  <si>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</si>
  <si>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</si>
  <si>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</si>
  <si>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</si>
  <si>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</si>
  <si>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</si>
  <si>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</si>
  <si>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</si>
  <si>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</si>
  <si>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</si>
  <si>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</si>
  <si>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</si>
  <si>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</si>
  <si>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</si>
  <si>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</si>
  <si>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</si>
  <si>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</si>
  <si>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</si>
  <si>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</si>
  <si>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</si>
  <si>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</si>
  <si>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</si>
  <si>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</si>
  <si>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</si>
  <si>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</si>
  <si>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</si>
  <si>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</si>
  <si>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</si>
  <si>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</si>
  <si>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</si>
  <si>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</si>
  <si>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</si>
  <si>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</si>
  <si>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</si>
  <si>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</si>
  <si>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</si>
  <si>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</si>
  <si>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</si>
  <si>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</si>
  <si>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</si>
  <si>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</si>
  <si>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</si>
  <si>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</si>
  <si>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</si>
  <si>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</si>
  <si>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</si>
  <si>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</si>
  <si>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</si>
  <si>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</si>
  <si>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</si>
  <si>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</si>
  <si>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</si>
  <si>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</si>
  <si>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</si>
  <si>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</si>
  <si>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</si>
  <si>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</si>
  <si>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</si>
  <si>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</si>
  <si>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</si>
  <si>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</si>
  <si>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</si>
  <si>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</si>
  <si>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</si>
  <si>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</si>
  <si>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</si>
  <si>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</si>
  <si>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</si>
  <si>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</si>
  <si>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</si>
  <si>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</si>
  <si>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</si>
  <si>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</si>
  <si>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</si>
  <si>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</si>
  <si>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</si>
  <si>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</si>
  <si>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</si>
  <si>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</si>
  <si>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</si>
  <si>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</si>
  <si>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</si>
  <si>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</si>
  <si>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</si>
  <si>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</si>
  <si>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</si>
  <si>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</si>
  <si>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</si>
  <si>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</si>
  <si>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</si>
  <si>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</si>
  <si>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</si>
  <si>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</si>
  <si>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</si>
  <si>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</si>
  <si>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</si>
  <si>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</si>
  <si>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</si>
  <si>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</si>
  <si>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</si>
  <si>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</si>
  <si>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</si>
  <si>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</si>
  <si>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</si>
  <si>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</si>
  <si>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</si>
  <si>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</si>
  <si>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</si>
  <si>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</si>
  <si>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</si>
  <si>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</si>
  <si>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</si>
  <si>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</si>
  <si>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</si>
  <si>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</si>
  <si>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</si>
  <si>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</si>
  <si>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</si>
  <si>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</si>
  <si>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</si>
  <si>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</si>
  <si>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</si>
  <si>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</si>
  <si>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</si>
  <si>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</si>
  <si>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</si>
  <si>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</si>
  <si>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</si>
  <si>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</si>
  <si>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</si>
  <si>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</si>
  <si>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</si>
  <si>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</si>
  <si>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</si>
  <si>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</si>
  <si>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</si>
  <si>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</si>
  <si>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</si>
  <si>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</si>
  <si>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</si>
  <si>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</si>
  <si>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</si>
  <si>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</si>
  <si>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</si>
  <si>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</si>
  <si>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</si>
  <si>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</si>
  <si>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</si>
  <si>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</si>
  <si>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</si>
  <si>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</si>
  <si>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</si>
  <si>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</si>
  <si>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</si>
  <si>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</si>
  <si>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</si>
  <si>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</si>
  <si>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</si>
  <si>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</si>
  <si>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</si>
  <si>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</si>
  <si>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</si>
  <si>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</si>
  <si>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</si>
  <si>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</si>
  <si>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</si>
  <si>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</si>
  <si>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</si>
  <si>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</si>
  <si>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</si>
  <si>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</si>
  <si>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</si>
  <si>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</si>
  <si>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</si>
  <si>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</si>
  <si>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</si>
  <si>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</si>
  <si>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</si>
  <si>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</si>
  <si>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</si>
  <si>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</si>
  <si>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t>76号地块</t>
    <phoneticPr fontId="225" type="noConversion"/>
  </si>
  <si>
    <t>77号地块</t>
    <phoneticPr fontId="225" type="noConversion"/>
  </si>
  <si>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</si>
  <si>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</si>
  <si>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</si>
  <si>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</si>
  <si>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</si>
  <si>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</si>
  <si>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综合服务用房</t>
    <phoneticPr fontId="225" type="noConversion"/>
  </si>
  <si>
    <t>物业用房</t>
    <phoneticPr fontId="225" type="noConversion"/>
  </si>
  <si>
    <t>联防站</t>
    <phoneticPr fontId="225" type="noConversion"/>
  </si>
  <si>
    <t>居委会</t>
    <phoneticPr fontId="225" type="noConversion"/>
  </si>
  <si>
    <t>党组织</t>
    <phoneticPr fontId="225" type="noConversion"/>
  </si>
  <si>
    <t>地下出入口</t>
    <phoneticPr fontId="225" type="noConversion"/>
  </si>
  <si>
    <t>地下建筑面积</t>
    <phoneticPr fontId="225" type="noConversion"/>
  </si>
  <si>
    <t>其中</t>
    <phoneticPr fontId="225" type="noConversion"/>
  </si>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</sst>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14</xdr:col>
      <xdr:colOff>655765</xdr:colOff>
      <xdr:row>176</xdr:row>
      <xdr:rowOff>161017</xdr:rowOff>
    </xdr:to>
    <xdr:pic>
      <xdr:nvPicPr>
        <xdr:cNvPr id="11" name="图片 10"/>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521824</xdr:colOff>
      <xdr:row>187</xdr:row>
      <xdr:rowOff>161673</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3" name="图片 12"/>
        <xdr:cNvPicPr>
          <a:picLocks noChangeAspect="1"/>
        </xdr:cNvPicPr>
      </xdr:nvPicPr>
      <xdr:blipFill>
        <a:blip xmlns:r="http://schemas.openxmlformats.org/officeDocument/2006/relationships" r:embed="rId3"/>
        <a:stretch>
          <a:fillRect/>
        </a:stretch>
      </xdr:blipFill>
      <xdr:spPr>
        <a:xfrm>
          <a:off x="10982325" y="6238875"/>
          <a:ext cx="7590477" cy="4866667"/>
        </a:xfrm>
        <a:prstGeom prst="rect">
          <a:avLst/>
        </a:prstGeom>
      </xdr:spPr>
    </xdr:pic>
    <xdr:clientData/>
  </xdr:twoCellAnchor>
  <xdr:twoCellAnchor editAs="oneCell">
    <xdr:from>
      <xdr:col>0</xdr:col>
      <xdr:colOff>0</xdr:colOff>
      <xdr:row>75</xdr:row>
      <xdr:rowOff>0</xdr:rowOff>
    </xdr:from>
    <xdr:to>
      <xdr:col>14</xdr:col>
      <xdr:colOff>674804</xdr:colOff>
      <xdr:row>117</xdr:row>
      <xdr:rowOff>8624</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2868275"/>
          <a:ext cx="11771429" cy="7209524"/>
        </a:xfrm>
        <a:prstGeom prst="rect">
          <a:avLst/>
        </a:prstGeom>
      </xdr:spPr>
    </xdr:pic>
    <xdr:clientData/>
  </xdr:twoCellAnchor>
  <xdr:twoCellAnchor editAs="oneCell">
    <xdr:from>
      <xdr:col>0</xdr:col>
      <xdr:colOff>0</xdr:colOff>
      <xdr:row>118</xdr:row>
      <xdr:rowOff>0</xdr:rowOff>
    </xdr:from>
    <xdr:to>
      <xdr:col>21</xdr:col>
      <xdr:colOff>493252</xdr:colOff>
      <xdr:row>129</xdr:row>
      <xdr:rowOff>95003</xdr:rowOff>
    </xdr:to>
    <xdr:pic>
      <xdr:nvPicPr>
        <xdr:cNvPr id="15" name="图片 14"/>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265198</xdr:colOff>
      <xdr:row>233</xdr:row>
      <xdr:rowOff>151591</xdr:rowOff>
    </xdr:to>
    <xdr:pic>
      <xdr:nvPicPr>
        <xdr:cNvPr id="16" name="图片 15"/>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426586</xdr:colOff>
      <xdr:row>244</xdr:row>
      <xdr:rowOff>95024</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6&#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6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11631</v>
          </cell>
          <cell r="D8">
            <v>18924</v>
          </cell>
          <cell r="E8">
            <v>7472</v>
          </cell>
          <cell r="F8">
            <v>2375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4855.7平方米。根据《建设工程规划许可证》[]、《出让合同》[]，估价对象规划建筑面积为23212.99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2022年12月6日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根据《国有土地使用证》[]，估价对象（分摊）出让国有建设用地使用权面积为4855.7平方米。根据《建设工程规划许可证》[]、《出让合同》[]，估价对象规划建筑面积为23212.99平方米。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5" thickBot="1">
      <c r="A21" s="2536" t="s">
        <v>2390</v>
      </c>
      <c r="B21" s="2537" t="str">
        <f>'预评函-1'!A28</f>
        <v>——</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估价期日：2022年12月6日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4855.7</v>
      </c>
    </row>
    <row r="44" spans="1:2">
      <c r="A44" s="2514" t="s">
        <v>2456</v>
      </c>
      <c r="B44" s="2515" t="str">
        <f>'预评函-2'!O3</f>
        <v>规划建筑面积/㎡</v>
      </c>
    </row>
    <row r="45" spans="1:2">
      <c r="A45" s="2514" t="s">
        <v>2438</v>
      </c>
      <c r="B45" s="2515">
        <f>'预评函-2'!O5</f>
        <v>23212.99</v>
      </c>
    </row>
    <row r="46" spans="1:2">
      <c r="A46" s="2514" t="s">
        <v>2439</v>
      </c>
      <c r="B46" s="2515">
        <f ca="1">'预评函-2'!P5</f>
        <v>15479</v>
      </c>
    </row>
    <row r="47" spans="1:2">
      <c r="A47" s="2514" t="s">
        <v>2440</v>
      </c>
      <c r="B47" s="2515">
        <f ca="1">'预评函-2'!Q5</f>
        <v>3238</v>
      </c>
    </row>
    <row r="48" spans="1:2">
      <c r="A48" s="2514" t="s">
        <v>2441</v>
      </c>
      <c r="B48" s="2515">
        <f ca="1">'预评函-2'!R5</f>
        <v>7516</v>
      </c>
    </row>
    <row r="49" spans="1:2">
      <c r="A49" s="2514" t="s">
        <v>2457</v>
      </c>
      <c r="B49" s="2515" t="str">
        <f>'预评函-2'!A6</f>
        <v>——</v>
      </c>
    </row>
    <row r="50" spans="1:2">
      <c r="A50" s="2514" t="s">
        <v>2442</v>
      </c>
      <c r="B50" s="2515" t="str">
        <f>'预评函-2'!R6</f>
        <v>——</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K10" sqref="K10"/>
    </sheetView>
  </sheetViews>
  <sheetFormatPr defaultColWidth="10" defaultRowHeight="14.25"/>
  <cols>
    <col min="1" max="1" width="15.375" style="1565" customWidth="1"/>
    <col min="2" max="2" width="11.375" style="1565" customWidth="1"/>
    <col min="3" max="3" width="12.625" style="1565" customWidth="1"/>
    <col min="4" max="4" width="11.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26" t="str">
        <f>IF(B10="北京市","北京市",C10)&amp;F10&amp;B16&amp;"国有建设用地使用权"&amp;B9&amp;"预评估"</f>
        <v>出让国有建设用地使用权市场价格预评估</v>
      </c>
      <c r="C1" s="3527"/>
      <c r="D1" s="3527"/>
      <c r="E1" s="3527"/>
      <c r="F1" s="3527"/>
      <c r="G1" s="3527"/>
      <c r="H1" s="3527"/>
      <c r="I1" s="3528"/>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44901</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3483</v>
      </c>
      <c r="C8" s="1550"/>
      <c r="D8" s="3532" t="s">
        <v>1735</v>
      </c>
      <c r="E8" s="1709"/>
      <c r="F8" s="1551"/>
      <c r="G8" s="2979"/>
      <c r="H8" s="2979"/>
      <c r="I8" s="2982"/>
      <c r="J8" s="2978"/>
      <c r="K8" s="2961"/>
      <c r="L8" s="2957"/>
      <c r="M8" s="2957"/>
      <c r="N8" s="2958"/>
      <c r="O8" s="2959"/>
      <c r="P8" s="2958"/>
      <c r="Q8" s="2958"/>
      <c r="R8" s="2958"/>
      <c r="S8" s="2958"/>
      <c r="T8" s="2958"/>
      <c r="U8" s="2958"/>
    </row>
    <row r="9" spans="1:21" ht="15" thickBot="1">
      <c r="A9" s="2903" t="s">
        <v>1734</v>
      </c>
      <c r="B9" s="1552" t="s">
        <v>3484</v>
      </c>
      <c r="C9" s="1553"/>
      <c r="D9" s="3533"/>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29"/>
      <c r="C12" s="3530"/>
      <c r="D12" s="3531"/>
      <c r="E12" s="1572" t="s">
        <v>1852</v>
      </c>
      <c r="F12" s="3547" t="s">
        <v>2601</v>
      </c>
      <c r="G12" s="3548"/>
      <c r="H12" s="3548"/>
      <c r="I12" s="3549"/>
      <c r="J12" s="2978"/>
      <c r="K12" s="2961"/>
      <c r="L12" s="2957"/>
      <c r="M12" s="2957"/>
      <c r="N12" s="2958"/>
      <c r="O12" s="2959"/>
      <c r="P12" s="2958"/>
      <c r="Q12" s="2958"/>
      <c r="R12" s="2958"/>
      <c r="S12" s="2958"/>
      <c r="T12" s="2958"/>
      <c r="U12" s="2958"/>
    </row>
    <row r="13" spans="1:21">
      <c r="A13" s="1563" t="s">
        <v>1850</v>
      </c>
      <c r="B13" s="3529"/>
      <c r="C13" s="3530"/>
      <c r="D13" s="3531"/>
      <c r="E13" s="1572" t="s">
        <v>1852</v>
      </c>
      <c r="F13" s="3547" t="s">
        <v>2602</v>
      </c>
      <c r="G13" s="3548"/>
      <c r="H13" s="3548"/>
      <c r="I13" s="3549"/>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65.31</v>
      </c>
      <c r="E19" s="1561">
        <f>IF(B16="出让",IF(E17="","",ROUNDDOWN(MIN((E17-$D$3)/365,E18),2)),E18)</f>
        <v>35.29</v>
      </c>
      <c r="F19" s="1561" t="str">
        <f>IF(B16="出让",IF(F17="","",ROUNDDOWN(MIN((F17-$D$3)/365,F18),2)),F18)</f>
        <v/>
      </c>
      <c r="G19" s="1561">
        <f>IF(B16="出让",IF(G17="","",ROUNDDOWN(MIN((G17-$D$3)/365,G18),2)),G18)</f>
        <v>45.3</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44"/>
      <c r="E20" s="3545"/>
      <c r="F20" s="3545"/>
      <c r="G20" s="3545"/>
      <c r="H20" s="3545"/>
      <c r="I20" s="3546"/>
      <c r="J20" s="2978"/>
      <c r="K20" s="2961"/>
      <c r="L20" s="2957"/>
      <c r="M20" s="2957"/>
      <c r="N20" s="2958"/>
      <c r="O20" s="2959"/>
      <c r="P20" s="2958"/>
      <c r="Q20" s="2958"/>
      <c r="R20" s="2958"/>
      <c r="S20" s="2958"/>
      <c r="T20" s="2958"/>
      <c r="U20" s="2958"/>
    </row>
    <row r="21" spans="1:21">
      <c r="A21" s="1632" t="s">
        <v>1749</v>
      </c>
      <c r="B21" s="1633" t="s">
        <v>1750</v>
      </c>
      <c r="C21" s="1628">
        <f>'数据-汇总表'!E3</f>
        <v>23212.99</v>
      </c>
      <c r="D21" s="1629" t="s">
        <v>1751</v>
      </c>
      <c r="E21" s="3534" t="s">
        <v>1789</v>
      </c>
      <c r="F21" s="3535"/>
      <c r="G21" s="3535"/>
      <c r="H21" s="3535"/>
      <c r="I21" s="3536"/>
      <c r="J21" s="2978"/>
      <c r="K21" s="2961"/>
      <c r="L21" s="2957"/>
      <c r="M21" s="2957"/>
      <c r="N21" s="2958"/>
      <c r="O21" s="2959"/>
      <c r="P21" s="2958"/>
      <c r="Q21" s="2958"/>
      <c r="R21" s="2958"/>
      <c r="S21" s="2958"/>
      <c r="T21" s="2958"/>
      <c r="U21" s="2958"/>
    </row>
    <row r="22" spans="1:21">
      <c r="A22" s="2716" t="s">
        <v>930</v>
      </c>
      <c r="B22" s="1540" t="s">
        <v>1752</v>
      </c>
      <c r="C22" s="1562">
        <f>'数据-汇总表'!D3</f>
        <v>4855.7</v>
      </c>
      <c r="D22" s="1563" t="s">
        <v>1751</v>
      </c>
      <c r="E22" s="3534" t="s">
        <v>2603</v>
      </c>
      <c r="F22" s="3535"/>
      <c r="G22" s="3535"/>
      <c r="H22" s="3535"/>
      <c r="I22" s="3536"/>
      <c r="J22" s="2978"/>
      <c r="K22" s="2961"/>
      <c r="L22" s="2957"/>
      <c r="M22" s="2957"/>
      <c r="N22" s="2958"/>
      <c r="O22" s="2959"/>
      <c r="P22" s="2958"/>
      <c r="Q22" s="2958"/>
      <c r="R22" s="2958"/>
      <c r="S22" s="2958"/>
      <c r="T22" s="2958"/>
      <c r="U22" s="2958"/>
    </row>
    <row r="23" spans="1:21" ht="43.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37" t="s">
        <v>1757</v>
      </c>
      <c r="C24" s="3538"/>
      <c r="D24" s="3539" t="s">
        <v>1758</v>
      </c>
      <c r="E24" s="3540"/>
      <c r="F24" s="1581" t="s">
        <v>1759</v>
      </c>
      <c r="G24" s="2978"/>
      <c r="H24" s="2978"/>
      <c r="I24" s="2982"/>
      <c r="J24" s="2978"/>
      <c r="K24" s="3525"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25"/>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25"/>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52" t="s">
        <v>1792</v>
      </c>
      <c r="B31" s="1633" t="s">
        <v>1793</v>
      </c>
      <c r="C31" s="3550"/>
      <c r="D31" s="3551"/>
      <c r="E31" s="2978"/>
      <c r="F31" s="2978"/>
      <c r="G31" s="2978"/>
      <c r="H31" s="2978"/>
      <c r="I31" s="2982"/>
      <c r="J31" s="2978"/>
      <c r="K31" s="2964"/>
      <c r="L31" s="2958"/>
      <c r="M31" s="2958"/>
      <c r="N31" s="2958"/>
      <c r="O31" s="2958"/>
      <c r="P31" s="2958"/>
      <c r="Q31" s="2958"/>
      <c r="R31" s="2958"/>
      <c r="S31" s="2958"/>
      <c r="T31" s="2958"/>
      <c r="U31" s="2958"/>
    </row>
    <row r="32" spans="1:21">
      <c r="A32" s="3552"/>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52"/>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53"/>
      <c r="B34" s="1540" t="s">
        <v>1796</v>
      </c>
      <c r="C34" s="3554"/>
      <c r="D34" s="3555"/>
      <c r="E34" s="2978"/>
      <c r="F34" s="2978"/>
      <c r="G34" s="2978"/>
      <c r="H34" s="2978"/>
      <c r="I34" s="2982"/>
      <c r="J34" s="2978"/>
      <c r="K34" s="2964"/>
      <c r="L34" s="2958"/>
      <c r="M34" s="2958"/>
      <c r="N34" s="2958"/>
      <c r="O34" s="2958"/>
      <c r="P34" s="2958"/>
      <c r="Q34" s="2958"/>
      <c r="R34" s="2958"/>
      <c r="S34" s="2958"/>
      <c r="T34" s="2958"/>
      <c r="U34" s="2958"/>
    </row>
    <row r="35" spans="1:28">
      <c r="A35" s="3556" t="s">
        <v>826</v>
      </c>
      <c r="B35" s="1595"/>
      <c r="C35" s="1642" t="str">
        <f>IF(B35="场地平整","——","具体情况：")</f>
        <v>具体情况：</v>
      </c>
      <c r="D35" s="3558"/>
      <c r="E35" s="3559"/>
      <c r="F35" s="3559"/>
      <c r="G35" s="3559"/>
      <c r="H35" s="3559"/>
      <c r="I35" s="3560"/>
      <c r="J35" s="2978"/>
      <c r="K35" s="2965"/>
      <c r="L35" s="2957"/>
      <c r="M35" s="2957"/>
      <c r="N35" s="2958"/>
      <c r="O35" s="2959"/>
      <c r="P35" s="2958"/>
      <c r="Q35" s="2958"/>
      <c r="R35" s="2958"/>
      <c r="S35" s="2958"/>
      <c r="T35" s="2958"/>
      <c r="U35" s="2958"/>
    </row>
    <row r="36" spans="1:28">
      <c r="A36" s="3552"/>
      <c r="B36" s="3561" t="s">
        <v>1845</v>
      </c>
      <c r="C36" s="3562"/>
      <c r="D36" s="1658"/>
      <c r="E36" s="3563"/>
      <c r="F36" s="3563"/>
      <c r="G36" s="1563" t="str">
        <f>IF(B35="场地未平整","估价结果处理","")</f>
        <v/>
      </c>
      <c r="H36" s="3564"/>
      <c r="I36" s="3564"/>
      <c r="J36" s="2978"/>
      <c r="K36" s="2965"/>
      <c r="L36" s="2957"/>
      <c r="M36" s="2957"/>
      <c r="N36" s="2958"/>
      <c r="O36" s="2959"/>
      <c r="P36" s="2958"/>
      <c r="Q36" s="2958"/>
      <c r="R36" s="2958"/>
      <c r="S36" s="2958"/>
      <c r="T36" s="2958"/>
      <c r="U36" s="2958"/>
    </row>
    <row r="37" spans="1:28" ht="28.5">
      <c r="A37" s="3552"/>
      <c r="B37" s="3541"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52"/>
      <c r="B38" s="3542"/>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53"/>
      <c r="B39" s="3543"/>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24" t="s">
        <v>1776</v>
      </c>
      <c r="T40" s="1604" t="str">
        <f>NUMBERSTRING(7-K40,1)&amp;"通"</f>
        <v>七通</v>
      </c>
      <c r="U40" s="2958"/>
    </row>
    <row r="41" spans="1:28">
      <c r="A41" s="1542"/>
      <c r="B41" s="3557" t="s">
        <v>1520</v>
      </c>
      <c r="C41" s="3557"/>
      <c r="D41" s="3557"/>
      <c r="E41" s="3557"/>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24"/>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H17" sqref="H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'77号规划指标'!M4</f>
        <v>4855.7</v>
      </c>
      <c r="B3" s="22">
        <f>IF(C3="否",G5-AT5,G5)</f>
        <v>23212.99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23212.99</v>
      </c>
      <c r="H5" s="27">
        <f t="shared" ref="H5:AT5" si="0">SUM(H13:H641)</f>
        <v>22794.720000000001</v>
      </c>
      <c r="I5" s="27">
        <f t="shared" si="0"/>
        <v>14019.95</v>
      </c>
      <c r="J5" s="27">
        <f t="shared" si="0"/>
        <v>0</v>
      </c>
      <c r="K5" s="27">
        <f t="shared" si="0"/>
        <v>1774.24</v>
      </c>
      <c r="L5" s="27">
        <f t="shared" si="0"/>
        <v>0</v>
      </c>
      <c r="M5" s="27">
        <f t="shared" si="0"/>
        <v>815.17</v>
      </c>
      <c r="N5" s="27">
        <f t="shared" si="0"/>
        <v>0</v>
      </c>
      <c r="O5" s="27">
        <f t="shared" si="0"/>
        <v>6185.36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418.27</v>
      </c>
      <c r="AD5" s="27">
        <f t="shared" si="0"/>
        <v>191.59</v>
      </c>
      <c r="AE5" s="27">
        <f t="shared" si="0"/>
        <v>0</v>
      </c>
      <c r="AF5" s="27">
        <f t="shared" si="0"/>
        <v>0</v>
      </c>
      <c r="AG5" s="27">
        <f t="shared" si="0"/>
        <v>0</v>
      </c>
      <c r="AH5" s="27">
        <f t="shared" si="0"/>
        <v>96.23</v>
      </c>
      <c r="AI5" s="27">
        <f t="shared" si="0"/>
        <v>0</v>
      </c>
      <c r="AJ5" s="27">
        <f t="shared" si="0"/>
        <v>0</v>
      </c>
      <c r="AK5" s="27">
        <f t="shared" si="0"/>
        <v>0</v>
      </c>
      <c r="AL5" s="27">
        <f t="shared" si="0"/>
        <v>130.44999999999999</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23212.99</v>
      </c>
      <c r="BA5" s="29">
        <f t="shared" si="1"/>
        <v>22794.720000000001</v>
      </c>
      <c r="BB5" s="29">
        <f t="shared" si="1"/>
        <v>14019.95</v>
      </c>
      <c r="BC5" s="29">
        <f t="shared" si="1"/>
        <v>1774.24</v>
      </c>
      <c r="BD5" s="29">
        <f t="shared" si="1"/>
        <v>815.17</v>
      </c>
      <c r="BE5" s="29">
        <f t="shared" si="1"/>
        <v>6185.36</v>
      </c>
      <c r="BF5" s="29">
        <f t="shared" si="1"/>
        <v>0</v>
      </c>
      <c r="BG5" s="29">
        <f t="shared" si="1"/>
        <v>0</v>
      </c>
      <c r="BH5" s="29">
        <f t="shared" si="1"/>
        <v>0</v>
      </c>
      <c r="BI5" s="29">
        <f t="shared" si="1"/>
        <v>0</v>
      </c>
      <c r="BJ5" s="29">
        <f t="shared" si="1"/>
        <v>0</v>
      </c>
      <c r="BK5" s="29">
        <f t="shared" si="1"/>
        <v>0</v>
      </c>
      <c r="BL5" s="29">
        <f t="shared" si="1"/>
        <v>418.27</v>
      </c>
      <c r="BM5" s="29">
        <f t="shared" si="1"/>
        <v>191.59</v>
      </c>
      <c r="BN5" s="29">
        <f t="shared" si="1"/>
        <v>0</v>
      </c>
      <c r="BO5" s="29">
        <f t="shared" si="1"/>
        <v>96.23</v>
      </c>
      <c r="BP5" s="29">
        <f t="shared" si="1"/>
        <v>0</v>
      </c>
      <c r="BQ5" s="29">
        <f t="shared" si="1"/>
        <v>130.44999999999999</v>
      </c>
      <c r="BR5" s="29">
        <f t="shared" si="1"/>
        <v>0</v>
      </c>
      <c r="BS5" s="29">
        <f t="shared" si="1"/>
        <v>0</v>
      </c>
      <c r="BT5" s="30">
        <f t="shared" si="1"/>
        <v>0</v>
      </c>
    </row>
    <row r="6" spans="1:72" s="37" customFormat="1" ht="12.75">
      <c r="A6" s="26" t="s">
        <v>169</v>
      </c>
      <c r="B6" s="31"/>
      <c r="C6" s="31"/>
      <c r="D6" s="32"/>
      <c r="E6" s="27">
        <f>H6+AC6+AT6</f>
        <v>4855.7199999999993</v>
      </c>
      <c r="F6" s="27" t="s">
        <v>1</v>
      </c>
      <c r="G6" s="27" t="s">
        <v>2</v>
      </c>
      <c r="H6" s="33">
        <f>SUMIF(I$12:AB$12,"总值",I6:AB6)</f>
        <v>4768.2199999999993</v>
      </c>
      <c r="I6" s="27">
        <f t="shared" ref="I6:AB6" si="2">ROUND($A$3*I5/$B$3,2)</f>
        <v>2932.7</v>
      </c>
      <c r="J6" s="27">
        <f t="shared" si="2"/>
        <v>0</v>
      </c>
      <c r="K6" s="27">
        <f t="shared" si="2"/>
        <v>371.14</v>
      </c>
      <c r="L6" s="27">
        <f t="shared" si="2"/>
        <v>0</v>
      </c>
      <c r="M6" s="27">
        <f t="shared" si="2"/>
        <v>170.52</v>
      </c>
      <c r="N6" s="27">
        <f t="shared" si="2"/>
        <v>0</v>
      </c>
      <c r="O6" s="27">
        <f t="shared" si="2"/>
        <v>1293.8599999999999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87.5</v>
      </c>
      <c r="AD6" s="27">
        <f t="shared" ref="AD6:AS6" si="3">ROUND($A$3*AD5/$B$3,2)</f>
        <v>40.08</v>
      </c>
      <c r="AE6" s="27">
        <f t="shared" si="3"/>
        <v>0</v>
      </c>
      <c r="AF6" s="27">
        <f t="shared" si="3"/>
        <v>0</v>
      </c>
      <c r="AG6" s="27">
        <f t="shared" si="3"/>
        <v>0</v>
      </c>
      <c r="AH6" s="27">
        <f t="shared" si="3"/>
        <v>20.13</v>
      </c>
      <c r="AI6" s="27">
        <f t="shared" si="3"/>
        <v>0</v>
      </c>
      <c r="AJ6" s="27">
        <f t="shared" si="3"/>
        <v>0</v>
      </c>
      <c r="AK6" s="27">
        <f t="shared" si="3"/>
        <v>0</v>
      </c>
      <c r="AL6" s="27">
        <f t="shared" si="3"/>
        <v>27.29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4855.7</v>
      </c>
      <c r="AZ6" s="27" t="s">
        <v>3</v>
      </c>
      <c r="BA6" s="27">
        <f>ROUND($AY$6*BA5/$AZ$5,2)</f>
        <v>4768.21</v>
      </c>
      <c r="BB6" s="27">
        <f>ROUND($AY$6*BB5/$AZ$5,2)</f>
        <v>2932.7</v>
      </c>
      <c r="BC6" s="27">
        <f t="shared" ref="BC6:BH6" si="4">ROUND($AY$6*BC5/$AZ$5,2)</f>
        <v>371.14</v>
      </c>
      <c r="BD6" s="27">
        <f t="shared" si="4"/>
        <v>170.52</v>
      </c>
      <c r="BE6" s="27">
        <f t="shared" si="4"/>
        <v>1293.8599999999999</v>
      </c>
      <c r="BF6" s="27">
        <f t="shared" si="4"/>
        <v>0</v>
      </c>
      <c r="BG6" s="27">
        <f t="shared" si="4"/>
        <v>0</v>
      </c>
      <c r="BH6" s="27">
        <f t="shared" si="4"/>
        <v>0</v>
      </c>
      <c r="BI6" s="27">
        <f t="shared" ref="BI6:BT6" si="5">ROUND($AY$6*BI5/$AZ$5,2)</f>
        <v>0</v>
      </c>
      <c r="BJ6" s="27">
        <f t="shared" si="5"/>
        <v>0</v>
      </c>
      <c r="BK6" s="27">
        <f t="shared" si="5"/>
        <v>0</v>
      </c>
      <c r="BL6" s="27">
        <f t="shared" si="5"/>
        <v>87.49</v>
      </c>
      <c r="BM6" s="27">
        <f t="shared" si="5"/>
        <v>40.08</v>
      </c>
      <c r="BN6" s="27">
        <f t="shared" si="5"/>
        <v>0</v>
      </c>
      <c r="BO6" s="27">
        <f t="shared" si="5"/>
        <v>20.13</v>
      </c>
      <c r="BP6" s="27">
        <f t="shared" si="5"/>
        <v>0</v>
      </c>
      <c r="BQ6" s="27">
        <f t="shared" si="5"/>
        <v>27.29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4855.7</v>
      </c>
      <c r="F13" s="81"/>
      <c r="G13" s="82">
        <f t="shared" ref="G13:G20" si="7">H13+AC13+AT13</f>
        <v>23212.99</v>
      </c>
      <c r="H13" s="33">
        <f t="shared" ref="H13:H20" si="8">SUMIF(I$12:AB$12,"总值",I13:AB13)</f>
        <v>22794.720000000001</v>
      </c>
      <c r="I13" s="2648">
        <f>'77号规划指标'!M7</f>
        <v>14019.95</v>
      </c>
      <c r="J13" s="2648"/>
      <c r="K13" s="2648">
        <f>'77号规划指标'!M9</f>
        <v>1774.24</v>
      </c>
      <c r="L13" s="2648"/>
      <c r="M13" s="2648">
        <f>'77号规划指标'!M8</f>
        <v>815.17</v>
      </c>
      <c r="N13" s="83"/>
      <c r="O13" s="83">
        <f>'77号规划指标'!M16</f>
        <v>6185.36</v>
      </c>
      <c r="P13" s="83"/>
      <c r="Q13" s="83"/>
      <c r="R13" s="83"/>
      <c r="S13" s="83"/>
      <c r="T13" s="83"/>
      <c r="U13" s="83"/>
      <c r="V13" s="83"/>
      <c r="W13" s="83"/>
      <c r="X13" s="83"/>
      <c r="Y13" s="83"/>
      <c r="Z13" s="83"/>
      <c r="AA13" s="83"/>
      <c r="AB13" s="83"/>
      <c r="AC13" s="27">
        <f t="shared" ref="AC13:AC20" si="9">SUMIF(AD$12:AS$12,"总值",AD13:AS13)</f>
        <v>418.27</v>
      </c>
      <c r="AD13" s="2652">
        <f>'77号规划指标'!M10+'77号规划指标'!M12+'77号规划指标'!M13+'77号规划指标'!M14</f>
        <v>191.59</v>
      </c>
      <c r="AE13" s="2652"/>
      <c r="AF13" s="2652"/>
      <c r="AG13" s="2652"/>
      <c r="AH13" s="2652">
        <f>'77号规划指标'!M11</f>
        <v>96.23</v>
      </c>
      <c r="AI13" s="2652"/>
      <c r="AJ13" s="2652"/>
      <c r="AK13" s="2652"/>
      <c r="AL13" s="2652">
        <f>'77号规划指标'!M15</f>
        <v>130.44999999999999</v>
      </c>
      <c r="AM13" s="2652"/>
      <c r="AN13" s="2652"/>
      <c r="AO13" s="2652"/>
      <c r="AP13" s="2652"/>
      <c r="AQ13" s="2652"/>
      <c r="AR13" s="2652"/>
      <c r="AS13" s="2652"/>
      <c r="AT13" s="2653"/>
      <c r="AU13" s="2654"/>
      <c r="AV13" s="17">
        <f t="shared" ref="AV13:AX20" si="10">A13</f>
        <v>0</v>
      </c>
      <c r="AW13" s="17">
        <f t="shared" si="10"/>
        <v>0</v>
      </c>
      <c r="AX13" s="17">
        <f t="shared" si="10"/>
        <v>0</v>
      </c>
      <c r="AY13" s="965">
        <f t="shared" ref="AY13:AY20" si="11">ROUND($AY$6*AZ13/$AZ$5,2)</f>
        <v>4855.7</v>
      </c>
      <c r="AZ13" s="27">
        <f t="shared" ref="AZ13:AZ20" si="12">BA13+BL13</f>
        <v>23212.99</v>
      </c>
      <c r="BA13" s="27">
        <f t="shared" ref="BA13:BA20" si="13">SUM(BB13:BK13)</f>
        <v>22794.720000000001</v>
      </c>
      <c r="BB13" s="27">
        <f t="shared" ref="BB13:BB20" si="14">IF($D13="是",I13-J13,0)</f>
        <v>14019.95</v>
      </c>
      <c r="BC13" s="27">
        <f t="shared" ref="BC13:BC20" si="15">IF($D13="是",K13-L13,0)</f>
        <v>1774.24</v>
      </c>
      <c r="BD13" s="27">
        <f t="shared" ref="BD13:BD20" si="16">IF($D13="是",M13-N13,0)</f>
        <v>815.17</v>
      </c>
      <c r="BE13" s="27">
        <f t="shared" ref="BE13:BE20" si="17">IF($D13="是",O13-P13,0)</f>
        <v>6185.36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418.27</v>
      </c>
      <c r="BM13" s="27">
        <f t="shared" ref="BM13:BM20" si="25">IF($D13="是",AD13-AE13,0)</f>
        <v>191.59</v>
      </c>
      <c r="BN13" s="27">
        <f t="shared" ref="BN13:BN20" si="26">IF($D13="是",AF13-AG13,0)</f>
        <v>0</v>
      </c>
      <c r="BO13" s="27">
        <f t="shared" ref="BO13:BO20" si="27">IF($D13="是",AH13-AI13,0)</f>
        <v>96.23</v>
      </c>
      <c r="BP13" s="27">
        <f t="shared" ref="BP13:BP20" si="28">IF($D13="是",AJ13-AK13,0)</f>
        <v>0</v>
      </c>
      <c r="BQ13" s="27">
        <f t="shared" ref="BQ13:BQ20" si="29">IF($D13="是",AL13-AM13,0)</f>
        <v>130.44999999999999</v>
      </c>
      <c r="BR13" s="27">
        <f t="shared" ref="BR13:BR20" si="30">IF($D13="是",AN13-AO13,0)</f>
        <v>0</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5" t="s">
        <v>0</v>
      </c>
      <c r="B1" s="3565" t="s">
        <v>4</v>
      </c>
      <c r="C1" s="3565" t="s">
        <v>5</v>
      </c>
      <c r="D1" s="3566" t="s">
        <v>40</v>
      </c>
      <c r="E1" s="3566" t="s">
        <v>41</v>
      </c>
      <c r="F1" s="3566"/>
      <c r="G1" s="3566"/>
      <c r="H1" s="3566"/>
      <c r="I1" s="3566"/>
      <c r="J1" s="3566"/>
      <c r="K1" s="3566"/>
      <c r="L1" s="3566"/>
      <c r="M1" s="3566"/>
    </row>
    <row r="2" spans="1:13" ht="27" customHeight="1">
      <c r="A2" s="3565"/>
      <c r="B2" s="3565"/>
      <c r="C2" s="3565"/>
      <c r="D2" s="3566"/>
      <c r="E2" s="3566" t="s">
        <v>24</v>
      </c>
      <c r="F2" s="3566" t="s">
        <v>25</v>
      </c>
      <c r="G2" s="3566"/>
      <c r="H2" s="3566"/>
      <c r="I2" s="3566"/>
      <c r="J2" s="3566" t="s">
        <v>26</v>
      </c>
      <c r="K2" s="3566"/>
      <c r="L2" s="3566"/>
      <c r="M2" s="3566"/>
    </row>
    <row r="3" spans="1:13" ht="28.5">
      <c r="A3" s="3565"/>
      <c r="B3" s="3565"/>
      <c r="C3" s="3565"/>
      <c r="D3" s="3566"/>
      <c r="E3" s="35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6" t="s">
        <v>42</v>
      </c>
      <c r="B9" s="3566"/>
      <c r="C9" s="35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8"/>
  <sheetViews>
    <sheetView topLeftCell="C1" workbookViewId="0">
      <selection activeCell="I42" sqref="I42"/>
    </sheetView>
  </sheetViews>
  <sheetFormatPr defaultRowHeight="12"/>
  <cols>
    <col min="1" max="3" width="9" style="3444"/>
    <col min="4" max="4" width="10.625" style="3444" customWidth="1"/>
    <col min="5" max="5" width="10.125" style="3444" customWidth="1"/>
    <col min="6" max="16384" width="9" style="3444"/>
  </cols>
  <sheetData>
    <row r="3" spans="2:13">
      <c r="B3" s="3444" t="s">
        <v>3465</v>
      </c>
      <c r="J3" s="3444" t="s">
        <v>3466</v>
      </c>
    </row>
    <row r="4" spans="2:13" ht="13.5" customHeight="1">
      <c r="B4" s="3567" t="s">
        <v>3122</v>
      </c>
      <c r="C4" s="3567"/>
      <c r="D4" s="3567"/>
      <c r="E4" s="3445">
        <v>23308.880000000001</v>
      </c>
      <c r="J4" s="3567" t="s">
        <v>3467</v>
      </c>
      <c r="K4" s="3567"/>
      <c r="L4" s="3567"/>
      <c r="M4" s="3445">
        <v>4855.7</v>
      </c>
    </row>
    <row r="5" spans="2:13" ht="13.5" customHeight="1">
      <c r="B5" s="3567" t="s">
        <v>3123</v>
      </c>
      <c r="C5" s="3567"/>
      <c r="D5" s="3567"/>
      <c r="E5" s="3445">
        <v>184715.46</v>
      </c>
      <c r="J5" s="3567" t="s">
        <v>3468</v>
      </c>
      <c r="K5" s="3567"/>
      <c r="L5" s="3567"/>
      <c r="M5" s="3445">
        <v>23212.99</v>
      </c>
    </row>
    <row r="6" spans="2:13" ht="13.5" customHeight="1">
      <c r="B6" s="3567" t="s">
        <v>3145</v>
      </c>
      <c r="C6" s="3567" t="s">
        <v>3124</v>
      </c>
      <c r="D6" s="3567"/>
      <c r="E6" s="3445">
        <v>131751.48000000001</v>
      </c>
      <c r="J6" s="3567"/>
      <c r="K6" s="3567" t="s">
        <v>3469</v>
      </c>
      <c r="L6" s="3567"/>
      <c r="M6" s="3445">
        <v>17027.63</v>
      </c>
    </row>
    <row r="7" spans="2:13">
      <c r="B7" s="3567"/>
      <c r="C7" s="3567" t="s">
        <v>3145</v>
      </c>
      <c r="D7" s="3445" t="s">
        <v>3125</v>
      </c>
      <c r="E7" s="3445">
        <v>100035.04</v>
      </c>
      <c r="J7" s="3567"/>
      <c r="K7" s="3567" t="s">
        <v>3480</v>
      </c>
      <c r="L7" s="3445" t="s">
        <v>3470</v>
      </c>
      <c r="M7" s="3445">
        <v>14019.95</v>
      </c>
    </row>
    <row r="8" spans="2:13">
      <c r="B8" s="3567"/>
      <c r="C8" s="3567"/>
      <c r="D8" s="3445" t="s">
        <v>3126</v>
      </c>
      <c r="E8" s="3445">
        <v>2643.8</v>
      </c>
      <c r="J8" s="3567"/>
      <c r="K8" s="3567"/>
      <c r="L8" s="3445" t="s">
        <v>3471</v>
      </c>
      <c r="M8" s="3445">
        <v>815.17</v>
      </c>
    </row>
    <row r="9" spans="2:13">
      <c r="B9" s="3567"/>
      <c r="C9" s="3567"/>
      <c r="D9" s="3445" t="s">
        <v>3127</v>
      </c>
      <c r="E9" s="3445">
        <v>23431.62</v>
      </c>
      <c r="J9" s="3567"/>
      <c r="K9" s="3567"/>
      <c r="L9" s="3445" t="s">
        <v>3472</v>
      </c>
      <c r="M9" s="3445">
        <v>1774.24</v>
      </c>
    </row>
    <row r="10" spans="2:13">
      <c r="B10" s="3567"/>
      <c r="C10" s="3567"/>
      <c r="D10" s="3445" t="s">
        <v>3128</v>
      </c>
      <c r="E10" s="3446">
        <v>426.64</v>
      </c>
      <c r="J10" s="3567"/>
      <c r="K10" s="3567"/>
      <c r="L10" s="3445" t="s">
        <v>3473</v>
      </c>
      <c r="M10" s="3446">
        <v>62.58</v>
      </c>
    </row>
    <row r="11" spans="2:13">
      <c r="B11" s="3567"/>
      <c r="C11" s="3567"/>
      <c r="D11" s="3445" t="s">
        <v>3129</v>
      </c>
      <c r="E11" s="3446">
        <v>890.22</v>
      </c>
      <c r="J11" s="3567"/>
      <c r="K11" s="3567"/>
      <c r="L11" s="3445" t="s">
        <v>3474</v>
      </c>
      <c r="M11" s="3445">
        <v>96.23</v>
      </c>
    </row>
    <row r="12" spans="2:13">
      <c r="B12" s="3567"/>
      <c r="C12" s="3567"/>
      <c r="D12" s="3445" t="s">
        <v>3130</v>
      </c>
      <c r="E12" s="3447">
        <v>2190.8000000000002</v>
      </c>
      <c r="J12" s="3567"/>
      <c r="K12" s="3567"/>
      <c r="L12" s="3445" t="s">
        <v>3475</v>
      </c>
      <c r="M12" s="3446">
        <v>32.1</v>
      </c>
    </row>
    <row r="13" spans="2:13">
      <c r="B13" s="3567"/>
      <c r="C13" s="3567"/>
      <c r="D13" s="3445" t="s">
        <v>3131</v>
      </c>
      <c r="E13" s="3446">
        <v>376.68</v>
      </c>
      <c r="J13" s="3567"/>
      <c r="K13" s="3567"/>
      <c r="L13" s="3445" t="s">
        <v>3476</v>
      </c>
      <c r="M13" s="3446">
        <v>33.840000000000003</v>
      </c>
    </row>
    <row r="14" spans="2:13">
      <c r="B14" s="3567"/>
      <c r="C14" s="3567"/>
      <c r="D14" s="3445" t="s">
        <v>3132</v>
      </c>
      <c r="E14" s="3446">
        <v>40.32</v>
      </c>
      <c r="J14" s="3567"/>
      <c r="K14" s="3567"/>
      <c r="L14" s="3445" t="s">
        <v>3477</v>
      </c>
      <c r="M14" s="3446">
        <v>63.07</v>
      </c>
    </row>
    <row r="15" spans="2:13">
      <c r="B15" s="3567"/>
      <c r="C15" s="3567"/>
      <c r="D15" s="3445" t="s">
        <v>3133</v>
      </c>
      <c r="E15" s="3446">
        <v>51.49</v>
      </c>
      <c r="J15" s="3567"/>
      <c r="K15" s="3567"/>
      <c r="L15" s="3445" t="s">
        <v>3478</v>
      </c>
      <c r="M15" s="3448">
        <v>130.44999999999999</v>
      </c>
    </row>
    <row r="16" spans="2:13" ht="13.5" customHeight="1">
      <c r="B16" s="3567"/>
      <c r="C16" s="3567"/>
      <c r="D16" s="3445" t="s">
        <v>3134</v>
      </c>
      <c r="E16" s="3446">
        <v>1028.5999999999999</v>
      </c>
      <c r="J16" s="3567"/>
      <c r="K16" s="3567" t="s">
        <v>3479</v>
      </c>
      <c r="L16" s="3567"/>
      <c r="M16" s="3445">
        <v>6185.36</v>
      </c>
    </row>
    <row r="17" spans="2:5">
      <c r="B17" s="3567"/>
      <c r="C17" s="3567"/>
      <c r="D17" s="3445" t="s">
        <v>3135</v>
      </c>
      <c r="E17" s="3446">
        <v>50.63</v>
      </c>
    </row>
    <row r="18" spans="2:5">
      <c r="B18" s="3567"/>
      <c r="C18" s="3567"/>
      <c r="D18" s="3445" t="s">
        <v>3136</v>
      </c>
      <c r="E18" s="3448">
        <v>141.34</v>
      </c>
    </row>
    <row r="19" spans="2:5">
      <c r="B19" s="3567"/>
      <c r="C19" s="3567"/>
      <c r="D19" s="3445" t="s">
        <v>3137</v>
      </c>
      <c r="E19" s="3446">
        <v>91.63</v>
      </c>
    </row>
    <row r="20" spans="2:5">
      <c r="B20" s="3567"/>
      <c r="C20" s="3567"/>
      <c r="D20" s="3445" t="s">
        <v>3138</v>
      </c>
      <c r="E20" s="3446">
        <v>39.24</v>
      </c>
    </row>
    <row r="21" spans="2:5">
      <c r="B21" s="3567"/>
      <c r="C21" s="3567"/>
      <c r="D21" s="3445" t="s">
        <v>3139</v>
      </c>
      <c r="E21" s="3448">
        <v>196.21</v>
      </c>
    </row>
    <row r="22" spans="2:5">
      <c r="B22" s="3567"/>
      <c r="C22" s="3567"/>
      <c r="D22" s="3445" t="s">
        <v>3140</v>
      </c>
      <c r="E22" s="3448">
        <v>117.22</v>
      </c>
    </row>
    <row r="23" spans="2:5" ht="13.5" customHeight="1">
      <c r="B23" s="3567"/>
      <c r="C23" s="3567" t="s">
        <v>3141</v>
      </c>
      <c r="D23" s="3567"/>
      <c r="E23" s="3445">
        <v>52963.98</v>
      </c>
    </row>
    <row r="24" spans="2:5">
      <c r="B24" s="3567"/>
      <c r="C24" s="3567" t="s">
        <v>3146</v>
      </c>
      <c r="D24" s="3445" t="s">
        <v>3142</v>
      </c>
      <c r="E24" s="3445">
        <f>E23-E26-E25</f>
        <v>52253.13</v>
      </c>
    </row>
    <row r="25" spans="2:5">
      <c r="B25" s="3567"/>
      <c r="C25" s="3567"/>
      <c r="D25" s="3445" t="s">
        <v>3143</v>
      </c>
      <c r="E25" s="3448">
        <v>202.94</v>
      </c>
    </row>
    <row r="26" spans="2:5">
      <c r="B26" s="3567"/>
      <c r="C26" s="3567"/>
      <c r="D26" s="3445" t="s">
        <v>3144</v>
      </c>
      <c r="E26" s="3448">
        <v>507.91</v>
      </c>
    </row>
    <row r="27" spans="2:5">
      <c r="B27" s="3568" t="s">
        <v>3147</v>
      </c>
      <c r="C27" s="3568"/>
      <c r="D27" s="3568"/>
      <c r="E27" s="3444">
        <v>131640.42000000001</v>
      </c>
    </row>
    <row r="28" spans="2:5">
      <c r="B28" s="3569" t="s">
        <v>3148</v>
      </c>
      <c r="C28" s="3569"/>
      <c r="D28" s="3569"/>
      <c r="E28" s="3444">
        <f>ROUND(E27/E4,2)</f>
        <v>5.65</v>
      </c>
    </row>
  </sheetData>
  <mergeCells count="15">
    <mergeCell ref="B28:D28"/>
    <mergeCell ref="C7:C22"/>
    <mergeCell ref="C24:C26"/>
    <mergeCell ref="C23:D23"/>
    <mergeCell ref="C6:D6"/>
    <mergeCell ref="B5:D5"/>
    <mergeCell ref="B4:D4"/>
    <mergeCell ref="B6:B26"/>
    <mergeCell ref="B27:D27"/>
    <mergeCell ref="K7:K15"/>
    <mergeCell ref="K6:L6"/>
    <mergeCell ref="K16:L16"/>
    <mergeCell ref="J4:L4"/>
    <mergeCell ref="J5:L5"/>
    <mergeCell ref="J6:J1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P53" sqref="P53"/>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79" t="s">
        <v>203</v>
      </c>
      <c r="B2" s="3579"/>
      <c r="C2" s="3579"/>
      <c r="D2" s="1840" t="s">
        <v>204</v>
      </c>
      <c r="E2" s="106" t="s">
        <v>205</v>
      </c>
      <c r="F2" s="2987"/>
      <c r="G2" s="1143"/>
      <c r="H2" s="1144"/>
      <c r="I2" s="1145" t="s">
        <v>836</v>
      </c>
      <c r="J2" s="2987"/>
      <c r="K2" s="2987"/>
      <c r="L2" s="2987"/>
      <c r="M2" s="2987"/>
      <c r="N2" s="2987"/>
      <c r="O2" s="2987"/>
      <c r="P2" s="2987"/>
    </row>
    <row r="3" spans="1:16" ht="15.75" thickBot="1">
      <c r="A3" s="3580" t="s">
        <v>206</v>
      </c>
      <c r="B3" s="3580"/>
      <c r="C3" s="3580"/>
      <c r="D3" s="107">
        <f>'数据-基础表'!AY6</f>
        <v>4855.7</v>
      </c>
      <c r="E3" s="107">
        <f>'数据-基础表'!AZ5</f>
        <v>23212.99</v>
      </c>
      <c r="F3" s="2987"/>
      <c r="G3" s="278" t="s">
        <v>837</v>
      </c>
      <c r="H3" s="273" t="s">
        <v>838</v>
      </c>
      <c r="I3" s="1841">
        <f>ROUND('数据-基础表'!B3/'数据-基础表'!A3,2)</f>
        <v>4.78</v>
      </c>
      <c r="J3" s="2987"/>
      <c r="K3" s="2987"/>
      <c r="L3" s="2987"/>
      <c r="M3" s="2987"/>
      <c r="N3" s="2987"/>
      <c r="O3" s="2987"/>
      <c r="P3" s="2987"/>
    </row>
    <row r="4" spans="1:16" ht="15">
      <c r="A4" s="3581"/>
      <c r="B4" s="3582"/>
      <c r="C4" s="3583"/>
      <c r="D4" s="108" t="s">
        <v>204</v>
      </c>
      <c r="E4" s="109" t="s">
        <v>205</v>
      </c>
      <c r="F4" s="2987"/>
      <c r="G4" s="1146"/>
      <c r="H4" s="273" t="s">
        <v>839</v>
      </c>
      <c r="I4" s="1841">
        <f>ROUND(SUMIF('数据-基础表'!I9:AS9,"地上",'数据-基础表'!I5:AS5)/'数据-基础表'!A3,2)</f>
        <v>3.51</v>
      </c>
      <c r="J4" s="2987"/>
      <c r="K4" s="2987"/>
      <c r="L4" s="2987"/>
      <c r="M4" s="2987"/>
      <c r="N4" s="2987"/>
      <c r="O4" s="2987"/>
      <c r="P4" s="2987"/>
    </row>
    <row r="5" spans="1:16">
      <c r="A5" s="110" t="s">
        <v>207</v>
      </c>
      <c r="B5" s="3584" t="s">
        <v>230</v>
      </c>
      <c r="C5" s="3584"/>
      <c r="D5" s="111">
        <f>ROUND($D$3*E5/$E$3,2)</f>
        <v>2932.7</v>
      </c>
      <c r="E5" s="112">
        <f>SUMIF('数据-基础表'!$11:$11,"住宅",'数据-基础表'!$5:$5)</f>
        <v>14019.95</v>
      </c>
      <c r="F5" s="2987"/>
      <c r="G5" s="278" t="s">
        <v>840</v>
      </c>
      <c r="H5" s="273" t="s">
        <v>838</v>
      </c>
      <c r="I5" s="1841">
        <f>ROUND(E31/D31,2)</f>
        <v>4.78</v>
      </c>
      <c r="J5" s="2987"/>
      <c r="K5" s="2987"/>
      <c r="L5" s="2987"/>
      <c r="M5" s="2987"/>
      <c r="N5" s="2987"/>
      <c r="O5" s="2987"/>
      <c r="P5" s="2987"/>
    </row>
    <row r="6" spans="1:16" ht="15" thickBot="1">
      <c r="A6" s="113"/>
      <c r="B6" s="3584" t="s">
        <v>208</v>
      </c>
      <c r="C6" s="3584"/>
      <c r="D6" s="111">
        <f>ROUND($D$3*E6/$E$3,2)</f>
        <v>1923</v>
      </c>
      <c r="E6" s="112">
        <f>E3-E5</f>
        <v>9193.0400000000009</v>
      </c>
      <c r="F6" s="2987"/>
      <c r="G6" s="1146"/>
      <c r="H6" s="273" t="s">
        <v>839</v>
      </c>
      <c r="I6" s="1841">
        <f>ROUND(F31/D31,2)</f>
        <v>3.51</v>
      </c>
      <c r="J6" s="2987"/>
      <c r="K6" s="2987"/>
      <c r="L6" s="2987"/>
      <c r="M6" s="2987"/>
      <c r="N6" s="2987"/>
      <c r="O6" s="2987"/>
      <c r="P6" s="2987"/>
    </row>
    <row r="7" spans="1:16" ht="15">
      <c r="A7" s="3576"/>
      <c r="B7" s="3577"/>
      <c r="C7" s="3578"/>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3474.35</v>
      </c>
      <c r="E8" s="116">
        <f>SUMIF('数据-基础表'!BB10:BK10,"地上",'数据-基础表'!BB5:BK5)</f>
        <v>16609.36</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1293.8599999999999</v>
      </c>
      <c r="E13" s="116">
        <f>SUMPRODUCT(('数据-基础表'!BB10:BK10="地下")*('数据-基础表'!BB11:BK11="车库")*('数据-基础表'!BB5:BK5))</f>
        <v>6185.36</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4768.21</v>
      </c>
      <c r="E16" s="120">
        <f>SUM(E8:E15)</f>
        <v>22794.720000000001</v>
      </c>
      <c r="F16" s="2987"/>
      <c r="G16" s="2988"/>
      <c r="H16" s="937" t="s">
        <v>219</v>
      </c>
      <c r="I16" s="938"/>
      <c r="J16" s="1849"/>
      <c r="K16" s="3570" t="s">
        <v>2283</v>
      </c>
      <c r="L16" s="3571"/>
      <c r="M16" s="3571"/>
      <c r="N16" s="3571"/>
      <c r="O16" s="3571"/>
      <c r="P16" s="3572"/>
    </row>
    <row r="17" spans="1:19" ht="15">
      <c r="A17" s="121" t="s">
        <v>216</v>
      </c>
      <c r="B17" s="122" t="s">
        <v>217</v>
      </c>
      <c r="C17" s="2129" t="s">
        <v>2102</v>
      </c>
      <c r="D17" s="108" t="s">
        <v>204</v>
      </c>
      <c r="E17" s="124" t="s">
        <v>205</v>
      </c>
      <c r="F17" s="125"/>
      <c r="G17" s="1272"/>
      <c r="H17" s="939" t="s">
        <v>218</v>
      </c>
      <c r="I17" s="940" t="s">
        <v>2101</v>
      </c>
      <c r="J17" s="1849"/>
      <c r="K17" s="3573" t="s">
        <v>2284</v>
      </c>
      <c r="L17" s="3574"/>
      <c r="M17" s="3575"/>
      <c r="N17" s="3573" t="s">
        <v>2285</v>
      </c>
      <c r="O17" s="3574"/>
      <c r="P17" s="3575"/>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3154</v>
      </c>
      <c r="D19" s="111">
        <f t="shared" ref="D19:D26" si="1">ROUND($D$3*E19/$E$3,2)</f>
        <v>2932.7</v>
      </c>
      <c r="E19" s="134">
        <f t="shared" ref="E19:E26" si="2">SUM(F19:G19)</f>
        <v>14019.95</v>
      </c>
      <c r="F19" s="2989">
        <f>'数据-基础表'!I13</f>
        <v>14019.95</v>
      </c>
      <c r="G19" s="2990"/>
      <c r="H19" s="943">
        <f>ROUND($D$3*I19/$E$3,2)</f>
        <v>76.989999999999995</v>
      </c>
      <c r="I19" s="116">
        <f>IF($I$17="自定义",P19,M19)</f>
        <v>368.05</v>
      </c>
      <c r="J19" s="1849"/>
      <c r="K19" s="2371">
        <f t="shared" ref="K19:K26" si="3">ROUND(E$28*E19/E$27,2)</f>
        <v>80.23</v>
      </c>
      <c r="L19" s="273">
        <f t="shared" ref="L19:L26" si="4">ROUND(IF(COUNTIF(C19,"*住宅*")&gt;0,E$29*E19/E$32,0),2)</f>
        <v>287.82</v>
      </c>
      <c r="M19" s="2372">
        <f>K19+L19</f>
        <v>368.05</v>
      </c>
      <c r="N19" s="2373"/>
      <c r="O19" s="2374"/>
      <c r="P19" s="2375">
        <f>N19+O19</f>
        <v>0</v>
      </c>
      <c r="R19" s="273">
        <f t="shared" ref="R19:S26" si="5">D19+H19</f>
        <v>3009.6899999999996</v>
      </c>
      <c r="S19" s="2132">
        <f t="shared" si="5"/>
        <v>14388</v>
      </c>
    </row>
    <row r="20" spans="1:19">
      <c r="A20" s="137"/>
      <c r="B20" s="115" t="s">
        <v>226</v>
      </c>
      <c r="C20" s="2655" t="s">
        <v>3155</v>
      </c>
      <c r="D20" s="111">
        <f t="shared" si="1"/>
        <v>170.52</v>
      </c>
      <c r="E20" s="134">
        <f t="shared" si="2"/>
        <v>815.17</v>
      </c>
      <c r="F20" s="2989">
        <f>'数据-基础表'!M13</f>
        <v>815.17</v>
      </c>
      <c r="G20" s="2990"/>
      <c r="H20" s="943">
        <f t="shared" ref="H20:H26" si="6">ROUND($D$3*I20/$E$3,2)</f>
        <v>0.98</v>
      </c>
      <c r="I20" s="116">
        <f t="shared" ref="I20:I26" si="7">IF($I$17="自定义",P20,M20)</f>
        <v>4.67</v>
      </c>
      <c r="J20" s="1849"/>
      <c r="K20" s="2371">
        <f t="shared" si="3"/>
        <v>4.67</v>
      </c>
      <c r="L20" s="273">
        <f t="shared" si="4"/>
        <v>0</v>
      </c>
      <c r="M20" s="2372">
        <f t="shared" ref="M20:M26" si="8">K20+L20</f>
        <v>4.67</v>
      </c>
      <c r="N20" s="2373"/>
      <c r="O20" s="2374"/>
      <c r="P20" s="2375">
        <f t="shared" ref="P20:P26" si="9">N20+O20</f>
        <v>0</v>
      </c>
      <c r="R20" s="273">
        <f t="shared" si="5"/>
        <v>171.5</v>
      </c>
      <c r="S20" s="2132">
        <f t="shared" si="5"/>
        <v>819.83999999999992</v>
      </c>
    </row>
    <row r="21" spans="1:19">
      <c r="A21" s="137"/>
      <c r="B21" s="115" t="s">
        <v>226</v>
      </c>
      <c r="C21" s="2655" t="s">
        <v>3156</v>
      </c>
      <c r="D21" s="111">
        <f t="shared" si="1"/>
        <v>371.14</v>
      </c>
      <c r="E21" s="134">
        <f t="shared" si="2"/>
        <v>1774.24</v>
      </c>
      <c r="F21" s="2989">
        <f>'数据-基础表'!K13</f>
        <v>1774.24</v>
      </c>
      <c r="G21" s="2990"/>
      <c r="H21" s="943">
        <f t="shared" si="6"/>
        <v>2.12</v>
      </c>
      <c r="I21" s="116">
        <f t="shared" si="7"/>
        <v>10.15</v>
      </c>
      <c r="J21" s="1849"/>
      <c r="K21" s="2371">
        <f t="shared" si="3"/>
        <v>10.15</v>
      </c>
      <c r="L21" s="273">
        <f t="shared" si="4"/>
        <v>0</v>
      </c>
      <c r="M21" s="2372">
        <f t="shared" si="8"/>
        <v>10.15</v>
      </c>
      <c r="N21" s="2373"/>
      <c r="O21" s="2374"/>
      <c r="P21" s="2375">
        <f t="shared" si="9"/>
        <v>0</v>
      </c>
      <c r="R21" s="273">
        <f t="shared" si="5"/>
        <v>373.26</v>
      </c>
      <c r="S21" s="2132">
        <f t="shared" si="5"/>
        <v>1784.39</v>
      </c>
    </row>
    <row r="22" spans="1:19">
      <c r="A22" s="137"/>
      <c r="B22" s="115" t="s">
        <v>226</v>
      </c>
      <c r="C22" s="3449" t="s">
        <v>3157</v>
      </c>
      <c r="D22" s="111">
        <f t="shared" si="1"/>
        <v>1293.8599999999999</v>
      </c>
      <c r="E22" s="134">
        <f t="shared" si="2"/>
        <v>6185.36</v>
      </c>
      <c r="F22" s="2991"/>
      <c r="G22" s="2992">
        <f>'数据-基础表'!O13</f>
        <v>6185.36</v>
      </c>
      <c r="H22" s="943">
        <f t="shared" si="6"/>
        <v>7.4</v>
      </c>
      <c r="I22" s="116">
        <f t="shared" si="7"/>
        <v>35.4</v>
      </c>
      <c r="J22" s="1849"/>
      <c r="K22" s="2371">
        <f t="shared" si="3"/>
        <v>35.4</v>
      </c>
      <c r="L22" s="273">
        <f t="shared" si="4"/>
        <v>0</v>
      </c>
      <c r="M22" s="2372">
        <f t="shared" si="8"/>
        <v>35.4</v>
      </c>
      <c r="N22" s="2373"/>
      <c r="O22" s="2374"/>
      <c r="P22" s="2375">
        <f t="shared" si="9"/>
        <v>0</v>
      </c>
      <c r="R22" s="273">
        <f t="shared" si="5"/>
        <v>1301.26</v>
      </c>
      <c r="S22" s="2132">
        <f t="shared" si="5"/>
        <v>6220.7599999999993</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29.25" thickBot="1">
      <c r="A27" s="137"/>
      <c r="B27" s="111"/>
      <c r="C27" s="127" t="s">
        <v>215</v>
      </c>
      <c r="D27" s="134">
        <f>SUM(D19:D26)</f>
        <v>4768.2199999999993</v>
      </c>
      <c r="E27" s="141">
        <f>IF(SUM(E19:E26)='数据-基础表'!BA5,SUM(E19:E26),IF(F27="地上面积有误","面积有误","地下面积有误"))</f>
        <v>22794.720000000001</v>
      </c>
      <c r="F27" s="134">
        <f>IF(SUM(F19:F26)=E8,SUM(F19:F26),"地上面积有误")</f>
        <v>16609.36</v>
      </c>
      <c r="G27" s="112">
        <f>SUM(G19:G26)</f>
        <v>6185.36</v>
      </c>
      <c r="H27" s="944">
        <f>SUM(H19:H26)</f>
        <v>87.490000000000009</v>
      </c>
      <c r="I27" s="945">
        <f>SUM(I19:I26)</f>
        <v>418.27</v>
      </c>
      <c r="J27" s="1849"/>
      <c r="K27" s="2380">
        <f>SUM(K19:K26)</f>
        <v>130.45000000000002</v>
      </c>
      <c r="L27" s="2381">
        <f>SUM(L19:L26)</f>
        <v>287.82</v>
      </c>
      <c r="M27" s="2382">
        <f>SUM(M19:M26)</f>
        <v>418.27</v>
      </c>
      <c r="N27" s="2380">
        <f t="shared" ref="N27:O27" si="10">SUM(N19:N26)</f>
        <v>0</v>
      </c>
      <c r="O27" s="2381">
        <f t="shared" si="10"/>
        <v>0</v>
      </c>
      <c r="P27" s="2383">
        <f>SUM(P19:P26)</f>
        <v>0</v>
      </c>
      <c r="R27" s="2136" t="str">
        <f>IF(SUM(R19:R26)=$D$3,SUM(R19:R26),SUM(R19:R26)&amp;"误差"&amp;ROUND(SUM(R19:R26)-$D$3,2))</f>
        <v>4855.71误差0.01</v>
      </c>
      <c r="S27" s="273">
        <f>IF(SUM(S19:S26)=$E$3,SUM(S19:S26),SUM(S19:S26)&amp;"误差"&amp;ROUND(SUM(S19:S26)-E3,2))</f>
        <v>23212.989999999998</v>
      </c>
    </row>
    <row r="28" spans="1:19">
      <c r="A28" s="137"/>
      <c r="B28" s="115" t="s">
        <v>227</v>
      </c>
      <c r="C28" s="135" t="s">
        <v>228</v>
      </c>
      <c r="D28" s="111">
        <f>ROUND($D$3*E28/$E$3,2)</f>
        <v>27.29</v>
      </c>
      <c r="E28" s="134">
        <f>SUM(F28:G28)</f>
        <v>130.44999999999999</v>
      </c>
      <c r="F28" s="142">
        <f>'数据-基础表'!BQ5+'数据-基础表'!BS5</f>
        <v>130.44999999999999</v>
      </c>
      <c r="G28" s="143">
        <f>'数据-基础表'!BR5+'数据-基础表'!BT5</f>
        <v>0</v>
      </c>
      <c r="H28" s="2987"/>
      <c r="I28" s="2987"/>
      <c r="J28" s="2987"/>
      <c r="K28" s="2987"/>
      <c r="L28" s="2987"/>
      <c r="M28" s="2987"/>
      <c r="N28" s="2987"/>
      <c r="O28" s="2987"/>
      <c r="P28" s="2987"/>
    </row>
    <row r="29" spans="1:19">
      <c r="A29" s="137"/>
      <c r="B29" s="115" t="s">
        <v>227</v>
      </c>
      <c r="C29" s="2144" t="s">
        <v>2109</v>
      </c>
      <c r="D29" s="111">
        <f>ROUND($D$3*E29/$E$3,2)</f>
        <v>60.21</v>
      </c>
      <c r="E29" s="134">
        <f>SUM(F29:G29)</f>
        <v>287.82</v>
      </c>
      <c r="F29" s="142">
        <f>'数据-基础表'!BM5+'数据-基础表'!BO5</f>
        <v>287.82</v>
      </c>
      <c r="G29" s="144">
        <f>'数据-基础表'!BN5+'数据-基础表'!BP5</f>
        <v>0</v>
      </c>
      <c r="H29" s="2987"/>
      <c r="I29" s="2987"/>
      <c r="J29" s="2987"/>
      <c r="K29" s="2987"/>
      <c r="L29" s="2987"/>
      <c r="M29" s="2987"/>
      <c r="N29" s="2987"/>
      <c r="O29" s="2987"/>
      <c r="P29" s="2987"/>
    </row>
    <row r="30" spans="1:19">
      <c r="A30" s="137"/>
      <c r="B30" s="111"/>
      <c r="C30" s="145" t="s">
        <v>215</v>
      </c>
      <c r="D30" s="134">
        <f>SUM(D28:D29)</f>
        <v>87.5</v>
      </c>
      <c r="E30" s="134">
        <f>SUM(E28:E29)</f>
        <v>418.27</v>
      </c>
      <c r="F30" s="134">
        <f>SUM(F28:F29)</f>
        <v>418.27</v>
      </c>
      <c r="G30" s="112">
        <f>SUM(G28:G29)</f>
        <v>0</v>
      </c>
      <c r="H30" s="2987"/>
      <c r="I30" s="2987"/>
      <c r="J30" s="2987"/>
      <c r="K30" s="2987"/>
      <c r="L30" s="2987"/>
      <c r="M30" s="2987"/>
      <c r="N30" s="2987"/>
      <c r="O30" s="2987"/>
      <c r="P30" s="2987"/>
    </row>
    <row r="31" spans="1:19" ht="32.25" customHeight="1" thickBot="1">
      <c r="A31" s="1274"/>
      <c r="B31" s="1275" t="s">
        <v>229</v>
      </c>
      <c r="C31" s="2161" t="s">
        <v>2111</v>
      </c>
      <c r="D31" s="1276">
        <f>D27+D30</f>
        <v>4855.7199999999993</v>
      </c>
      <c r="E31" s="1276">
        <f>E27+E30</f>
        <v>23212.99</v>
      </c>
      <c r="F31" s="1277">
        <f>F27+F30</f>
        <v>17027.63</v>
      </c>
      <c r="G31" s="1278">
        <f>G27+G30</f>
        <v>6185.36</v>
      </c>
      <c r="H31" s="2987"/>
      <c r="I31" s="2987"/>
      <c r="J31" s="2987"/>
      <c r="K31" s="2987"/>
      <c r="L31" s="2987"/>
      <c r="M31" s="2987"/>
      <c r="N31" s="2987"/>
      <c r="O31" s="2987"/>
      <c r="P31" s="2987"/>
    </row>
    <row r="32" spans="1:19">
      <c r="A32" s="1849"/>
      <c r="B32" s="2173" t="s">
        <v>2110</v>
      </c>
      <c r="C32" s="2408"/>
      <c r="D32" s="1146"/>
      <c r="E32" s="1146">
        <f>SUMIF(C19:C26,"*住宅*",E19:E26)</f>
        <v>14019.95</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O32" sqref="O32"/>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2.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44901</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65.31</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14019.95</v>
      </c>
      <c r="L6" s="2657">
        <v>2500</v>
      </c>
      <c r="M6" s="175">
        <f t="shared" ref="M6:M14" si="0">ROUND(K6*L6/10000,0)</f>
        <v>3505</v>
      </c>
      <c r="N6" s="2658">
        <v>0</v>
      </c>
      <c r="O6" s="175">
        <f>IF($N$5="成新度","——",ROUND(M6*N6,0))</f>
        <v>0</v>
      </c>
      <c r="P6" s="176">
        <f>IF($N$5="成新度","——",M6-O6)</f>
        <v>3505</v>
      </c>
      <c r="Q6" s="2659">
        <v>0.08</v>
      </c>
      <c r="R6" s="177">
        <f>SUMIF('数据-汇总表'!C$19:C$33,A6,'数据-汇总表'!R$19:R$33)</f>
        <v>3009.6899999999996</v>
      </c>
      <c r="S6" s="132">
        <f>IF('数据-汇总表'!$I$17="按面积比例",SUMIF('数据-汇总表'!C$19:C$33,A6,'数据-汇总表'!K$19:K$33),SUMIF('数据-汇总表'!C$19:C$33,A6,'数据-汇总表'!N$19:N$33))</f>
        <v>80.23</v>
      </c>
      <c r="T6" s="2065">
        <f>IF($T$4="按面积比例",IF(ISERROR(ROUND($M$14*S6/S$16,0)),"0",ROUND($M$14*S6/S$16,0)),"需自行计算录入")</f>
        <v>20</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815.17</v>
      </c>
      <c r="L7" s="2657">
        <v>2500</v>
      </c>
      <c r="M7" s="175">
        <f t="shared" si="0"/>
        <v>204</v>
      </c>
      <c r="N7" s="2658">
        <v>0</v>
      </c>
      <c r="O7" s="175">
        <f t="shared" ref="O7:O14" si="3">IF($N$5="成新度","——",ROUND(M7*N7,0))</f>
        <v>0</v>
      </c>
      <c r="P7" s="176">
        <f t="shared" ref="P7:P14" si="4">IF($N$5="成新度","——",M7-O7)</f>
        <v>204</v>
      </c>
      <c r="Q7" s="2659">
        <v>0.08</v>
      </c>
      <c r="R7" s="177">
        <f>SUMIF('数据-汇总表'!C$19:C$33,A7,'数据-汇总表'!R$19:R$33)</f>
        <v>171.5</v>
      </c>
      <c r="S7" s="132">
        <f>IF('数据-汇总表'!$I$17="按面积比例",SUMIF('数据-汇总表'!C$19:C$33,A7,'数据-汇总表'!K$19:K$33),SUMIF('数据-汇总表'!C$19:C$33,A7,'数据-汇总表'!N$19:N$33))</f>
        <v>4.67</v>
      </c>
      <c r="T7" s="2065">
        <f t="shared" ref="T7:T13" si="5">IF($T$4="按面积比例",IF(ISERROR(ROUND($M$14*S7/S$16,0)),"0",ROUND($M$14*S7/S$16,0)),"需自行计算录入")</f>
        <v>1</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v>
      </c>
      <c r="G8" s="173">
        <f t="shared" si="2"/>
        <v>0.95699999999999996</v>
      </c>
      <c r="H8" s="2656">
        <v>0.05</v>
      </c>
      <c r="I8" s="2656">
        <v>5.5E-2</v>
      </c>
      <c r="J8" s="174">
        <v>7.0000000000000007E-2</v>
      </c>
      <c r="K8" s="177">
        <f>SUMIF('数据-汇总表'!C$19:C$33,'数据-取费表'!A8,'数据-汇总表'!E$19:E$33)</f>
        <v>1774.24</v>
      </c>
      <c r="L8" s="2657">
        <v>2500</v>
      </c>
      <c r="M8" s="175">
        <f>ROUND(K8*L8/10000,0)</f>
        <v>444</v>
      </c>
      <c r="N8" s="2658">
        <v>0</v>
      </c>
      <c r="O8" s="175">
        <f t="shared" si="3"/>
        <v>0</v>
      </c>
      <c r="P8" s="176">
        <f t="shared" si="4"/>
        <v>444</v>
      </c>
      <c r="Q8" s="2659">
        <v>0.1</v>
      </c>
      <c r="R8" s="177">
        <f>SUMIF('数据-汇总表'!C$19:C$33,A8,'数据-汇总表'!R$19:R$33)</f>
        <v>373.26</v>
      </c>
      <c r="S8" s="132">
        <f>IF('数据-汇总表'!$I$17="按面积比例",SUMIF('数据-汇总表'!C$19:C$33,A8,'数据-汇总表'!K$19:K$33),SUMIF('数据-汇总表'!C$19:C$33,A8,'数据-汇总表'!N$19:N$33))</f>
        <v>10.15</v>
      </c>
      <c r="T8" s="2065">
        <f t="shared" si="5"/>
        <v>3</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v>
      </c>
      <c r="G9" s="173">
        <f t="shared" si="2"/>
        <v>0.97499999999999998</v>
      </c>
      <c r="H9" s="174">
        <v>0.05</v>
      </c>
      <c r="I9" s="174">
        <v>5.5E-2</v>
      </c>
      <c r="J9" s="174">
        <v>7.0000000000000007E-2</v>
      </c>
      <c r="K9" s="177">
        <f>SUMIF('数据-汇总表'!C$19:C$33,'数据-取费表'!A9,'数据-汇总表'!E$19:E$33)</f>
        <v>6185.36</v>
      </c>
      <c r="L9" s="191">
        <v>2500</v>
      </c>
      <c r="M9" s="175">
        <f t="shared" si="0"/>
        <v>1546</v>
      </c>
      <c r="N9" s="192">
        <v>0</v>
      </c>
      <c r="O9" s="175">
        <f t="shared" si="3"/>
        <v>0</v>
      </c>
      <c r="P9" s="176">
        <f t="shared" si="4"/>
        <v>1546</v>
      </c>
      <c r="Q9" s="190">
        <v>0.05</v>
      </c>
      <c r="R9" s="177">
        <f>SUMIF('数据-汇总表'!C$19:C$33,A9,'数据-汇总表'!R$19:R$33)</f>
        <v>1301.26</v>
      </c>
      <c r="S9" s="132">
        <f>IF('数据-汇总表'!$I$17="按面积比例",SUMIF('数据-汇总表'!C$19:C$33,A9,'数据-汇总表'!K$19:K$33),SUMIF('数据-汇总表'!C$19:C$33,A9,'数据-汇总表'!N$19:N$33))</f>
        <v>35.4</v>
      </c>
      <c r="T9" s="2065">
        <f t="shared" si="5"/>
        <v>9</v>
      </c>
      <c r="U9" s="178">
        <v>0.5</v>
      </c>
      <c r="V9" s="179">
        <v>2.5000000000000001E-2</v>
      </c>
      <c r="W9" s="179">
        <v>0.1</v>
      </c>
      <c r="X9" s="2152"/>
      <c r="Y9" s="180">
        <v>1</v>
      </c>
      <c r="Z9" s="181"/>
      <c r="AA9" s="174"/>
      <c r="AB9" s="174"/>
      <c r="AC9" s="2155"/>
      <c r="AD9" s="182"/>
      <c r="AE9" s="941">
        <f t="shared" ca="1" si="6"/>
        <v>44.3</v>
      </c>
      <c r="AF9" s="139"/>
      <c r="AG9" s="1158">
        <f t="shared" si="7"/>
        <v>0</v>
      </c>
      <c r="AH9" s="139"/>
      <c r="AI9" s="185">
        <v>365</v>
      </c>
      <c r="AJ9" s="186"/>
      <c r="AK9" s="187">
        <v>0.01</v>
      </c>
      <c r="AL9" s="188">
        <v>1E-3</v>
      </c>
      <c r="AM9" s="2196">
        <v>0.01</v>
      </c>
      <c r="AN9" s="2198" t="s">
        <v>3446</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130.44999999999999</v>
      </c>
      <c r="L14" s="191">
        <v>2500</v>
      </c>
      <c r="M14" s="175">
        <f t="shared" si="0"/>
        <v>33</v>
      </c>
      <c r="N14" s="192">
        <v>0</v>
      </c>
      <c r="O14" s="175">
        <f t="shared" si="3"/>
        <v>0</v>
      </c>
      <c r="P14" s="176">
        <f t="shared" si="4"/>
        <v>33</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287.82</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0.98299999999999998</v>
      </c>
      <c r="H16" s="201">
        <f>ROUND(SUMPRODUCT(H6:H13,K6:K13)/SUMPRODUCT((H6:H13&gt;0)*(K6:K13)),3)</f>
        <v>0.05</v>
      </c>
      <c r="I16" s="202"/>
      <c r="J16" s="202"/>
      <c r="K16" s="203">
        <f>SUM(K6:K15)</f>
        <v>23212.99</v>
      </c>
      <c r="L16" s="204">
        <f>ROUND(M16*10000/SUM(K6:K14),0)</f>
        <v>2500</v>
      </c>
      <c r="M16" s="204">
        <f>SUM(M6:M14)</f>
        <v>5732</v>
      </c>
      <c r="N16" s="205">
        <f>ROUND(SUMPRODUCT(M6:M14,N6:N14)/M16,3)</f>
        <v>0</v>
      </c>
      <c r="O16" s="204">
        <f>SUM(O6:O14)</f>
        <v>0</v>
      </c>
      <c r="P16" s="204">
        <f>SUM(P6:P14)</f>
        <v>5732</v>
      </c>
      <c r="Q16" s="206">
        <f>ROUND(SUMPRODUCT(Q6:Q13,K6:K13)/SUMPRODUCT((Q6:Q13&gt;0)*(K6:K13)),2)</f>
        <v>7.0000000000000007E-2</v>
      </c>
      <c r="R16" s="2142">
        <f>SUM(R6:R13)</f>
        <v>4855.71</v>
      </c>
      <c r="S16" s="207">
        <f>SUM(S6:S13)</f>
        <v>130.45000000000002</v>
      </c>
      <c r="T16" s="208">
        <f>IF(SUMIF(T6:T13,"&lt;9E307")=M14,SUMIF(T6:T13,"&lt;9E307"),"有误，请检查")</f>
        <v>33</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0.92600000000000005</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2715</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1</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1</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1</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f ca="1">结果表!G19</f>
        <v>7516</v>
      </c>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5" t="s">
        <v>1462</v>
      </c>
      <c r="B1" s="3586"/>
      <c r="C1" s="3586"/>
      <c r="D1" s="3586"/>
      <c r="E1" s="3586"/>
      <c r="F1" s="3586"/>
      <c r="G1" s="3586"/>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2556</v>
      </c>
      <c r="B1" s="3090">
        <f>SUM(B14:B23)</f>
        <v>23212.99</v>
      </c>
      <c r="C1" s="3099"/>
      <c r="D1" s="3099"/>
      <c r="E1" s="3099"/>
      <c r="F1" s="3099"/>
      <c r="G1" s="3100"/>
      <c r="H1" s="3100"/>
      <c r="I1" s="3100"/>
      <c r="J1" s="3100"/>
    </row>
    <row r="2" spans="1:10" ht="16.5">
      <c r="A2" s="3090" t="s">
        <v>2557</v>
      </c>
      <c r="B2" s="3090">
        <f>SUM(C14:C23)</f>
        <v>4855.7</v>
      </c>
      <c r="C2" s="3099"/>
      <c r="D2" s="3099"/>
      <c r="E2" s="3099"/>
      <c r="F2" s="3099"/>
      <c r="G2" s="3100"/>
      <c r="H2" s="3100"/>
      <c r="I2" s="3100"/>
      <c r="J2" s="3100"/>
    </row>
    <row r="3" spans="1:10" ht="16.5">
      <c r="A3" s="3090" t="s">
        <v>2558</v>
      </c>
      <c r="B3" s="3092">
        <f>项目基本情况!D3</f>
        <v>44901</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7516</v>
      </c>
      <c r="C5" s="3090">
        <f ca="1">ROUND(B5*10000/$B$1,0)</f>
        <v>3238</v>
      </c>
      <c r="D5" s="3090">
        <f ca="1">ROUND(B5*10000/$B$2,0)</f>
        <v>15479</v>
      </c>
      <c r="E5" s="3099"/>
      <c r="F5" s="3099"/>
      <c r="G5" s="3100"/>
      <c r="H5" s="3100"/>
      <c r="I5" s="3100"/>
      <c r="J5" s="3100"/>
    </row>
    <row r="6" spans="1:10" ht="16.5">
      <c r="A6" s="3090" t="s">
        <v>2564</v>
      </c>
      <c r="B6" s="3090">
        <f>SUM(G14:G23)</f>
        <v>0</v>
      </c>
      <c r="C6" s="3090">
        <f t="shared" ref="C6:C8" si="0">ROUND(B6*10000/$B$1,0)</f>
        <v>0</v>
      </c>
      <c r="D6" s="3090">
        <f t="shared" ref="D6:D8" si="1">ROUND(B6*10000/$B$2,0)</f>
        <v>0</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23212.99</v>
      </c>
      <c r="C14" s="3096">
        <f>结果表!K38</f>
        <v>4855.7</v>
      </c>
      <c r="D14" s="3096">
        <f ca="1">结果表!C42</f>
        <v>7516</v>
      </c>
      <c r="E14" s="3096">
        <f ca="1">ROUND(D14*10000/B14,0)</f>
        <v>3238</v>
      </c>
      <c r="F14" s="3096">
        <f ca="1">ROUND(D14*10000/C14,0)</f>
        <v>15479</v>
      </c>
      <c r="G14" s="3096" t="str">
        <f>结果表!C44</f>
        <v>——</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P20" sqref="P20"/>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1" t="str">
        <f>项目基本情况!K2</f>
        <v>出让国有建设用地使用权</v>
      </c>
      <c r="B2" s="3632"/>
      <c r="C2" s="3633"/>
      <c r="D2" s="3633"/>
      <c r="E2" s="3633"/>
      <c r="F2" s="3633"/>
      <c r="G2" s="3632"/>
      <c r="H2" s="3632"/>
      <c r="I2" s="3634"/>
      <c r="J2" s="1864"/>
      <c r="K2" s="1863"/>
      <c r="L2" s="1863"/>
      <c r="M2" s="1863"/>
      <c r="N2" s="1863"/>
      <c r="O2" s="1863"/>
      <c r="P2" s="1863"/>
      <c r="Q2" s="1863"/>
      <c r="R2" s="1863"/>
      <c r="S2" s="1863"/>
      <c r="T2" s="1863"/>
      <c r="U2" s="1863"/>
      <c r="V2" s="1863"/>
    </row>
    <row r="3" spans="1:22" ht="14.25">
      <c r="A3" s="3642" t="s">
        <v>298</v>
      </c>
      <c r="B3" s="3643"/>
      <c r="C3" s="3643"/>
      <c r="D3" s="3643"/>
      <c r="E3" s="3643"/>
      <c r="F3" s="3643"/>
      <c r="G3" s="3643"/>
      <c r="H3" s="3643"/>
      <c r="I3" s="3643"/>
      <c r="J3" s="1864"/>
      <c r="K3" s="1863"/>
      <c r="L3" s="1863"/>
      <c r="M3" s="1863"/>
      <c r="N3" s="1863"/>
      <c r="O3" s="1863"/>
      <c r="P3" s="1863"/>
      <c r="Q3" s="1863"/>
      <c r="R3" s="1863"/>
      <c r="S3" s="1863"/>
      <c r="T3" s="1863"/>
      <c r="U3" s="1863"/>
      <c r="V3" s="1863"/>
    </row>
    <row r="4" spans="1:22" ht="14.25">
      <c r="A4" s="256" t="s">
        <v>299</v>
      </c>
      <c r="B4" s="257" t="s">
        <v>300</v>
      </c>
      <c r="C4" s="258" t="s">
        <v>3462</v>
      </c>
      <c r="D4" s="258" t="s">
        <v>3463</v>
      </c>
      <c r="E4" s="3606" t="s">
        <v>301</v>
      </c>
      <c r="F4" s="3648"/>
      <c r="G4" s="3648"/>
      <c r="H4" s="3648"/>
      <c r="I4" s="3607"/>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35" t="s">
        <v>302</v>
      </c>
      <c r="B5" s="3636">
        <v>25</v>
      </c>
      <c r="C5" s="3644"/>
      <c r="D5" s="3647"/>
      <c r="E5" s="259" t="s">
        <v>303</v>
      </c>
      <c r="F5" s="260"/>
      <c r="G5" s="260"/>
      <c r="H5" s="260"/>
      <c r="I5" s="261"/>
      <c r="J5" s="1864"/>
      <c r="K5" s="1863"/>
      <c r="L5" s="1863"/>
      <c r="M5" s="1863"/>
      <c r="N5" s="1863"/>
      <c r="O5" s="1863"/>
      <c r="P5" s="1863"/>
      <c r="Q5" s="1863"/>
      <c r="R5" s="1863"/>
      <c r="S5" s="1863"/>
      <c r="T5" s="1863"/>
      <c r="U5" s="1863"/>
      <c r="V5" s="1863"/>
    </row>
    <row r="6" spans="1:22" ht="14.25">
      <c r="A6" s="3635"/>
      <c r="B6" s="3636"/>
      <c r="C6" s="3645"/>
      <c r="D6" s="3647"/>
      <c r="E6" s="259" t="s">
        <v>304</v>
      </c>
      <c r="F6" s="260"/>
      <c r="G6" s="260"/>
      <c r="H6" s="260"/>
      <c r="I6" s="261"/>
      <c r="J6" s="1864"/>
      <c r="K6" s="1863"/>
      <c r="L6" s="1863"/>
      <c r="M6" s="1863"/>
      <c r="N6" s="1863"/>
      <c r="O6" s="1863"/>
      <c r="P6" s="1863"/>
      <c r="Q6" s="1863"/>
      <c r="R6" s="1863"/>
      <c r="S6" s="1863"/>
      <c r="T6" s="1863"/>
      <c r="U6" s="1863"/>
      <c r="V6" s="1863"/>
    </row>
    <row r="7" spans="1:22" ht="14.25">
      <c r="A7" s="3635"/>
      <c r="B7" s="3636"/>
      <c r="C7" s="3646"/>
      <c r="D7" s="3647"/>
      <c r="E7" s="259" t="s">
        <v>305</v>
      </c>
      <c r="F7" s="260"/>
      <c r="G7" s="260"/>
      <c r="H7" s="260"/>
      <c r="I7" s="261"/>
      <c r="J7" s="1864"/>
      <c r="K7" s="1863"/>
      <c r="L7" s="1863"/>
      <c r="M7" s="1863"/>
      <c r="N7" s="1863"/>
      <c r="O7" s="1863"/>
      <c r="P7" s="1863"/>
      <c r="Q7" s="1863"/>
      <c r="R7" s="1863"/>
      <c r="S7" s="1863"/>
      <c r="T7" s="1863"/>
      <c r="U7" s="1863"/>
      <c r="V7" s="1863"/>
    </row>
    <row r="8" spans="1:22" ht="14.25">
      <c r="A8" s="3635" t="s">
        <v>306</v>
      </c>
      <c r="B8" s="3636">
        <v>15</v>
      </c>
      <c r="C8" s="3644"/>
      <c r="D8" s="3647"/>
      <c r="E8" s="259" t="s">
        <v>307</v>
      </c>
      <c r="F8" s="260"/>
      <c r="G8" s="260"/>
      <c r="H8" s="260"/>
      <c r="I8" s="261"/>
      <c r="J8" s="1864"/>
      <c r="K8" s="1863"/>
      <c r="L8" s="1863"/>
      <c r="M8" s="1863"/>
      <c r="N8" s="1863"/>
      <c r="O8" s="1863"/>
      <c r="P8" s="1863"/>
      <c r="Q8" s="1863"/>
      <c r="R8" s="1863"/>
      <c r="S8" s="1863"/>
      <c r="T8" s="1863"/>
      <c r="U8" s="1863"/>
      <c r="V8" s="1863"/>
    </row>
    <row r="9" spans="1:22" ht="14.25">
      <c r="A9" s="3635"/>
      <c r="B9" s="3636"/>
      <c r="C9" s="3646"/>
      <c r="D9" s="3647"/>
      <c r="E9" s="259" t="s">
        <v>308</v>
      </c>
      <c r="F9" s="260"/>
      <c r="G9" s="260"/>
      <c r="H9" s="260"/>
      <c r="I9" s="261"/>
      <c r="J9" s="1864"/>
      <c r="K9" s="1863"/>
      <c r="L9" s="1863"/>
      <c r="M9" s="1863"/>
      <c r="N9" s="1863"/>
      <c r="O9" s="1863"/>
      <c r="P9" s="1863"/>
      <c r="Q9" s="1863"/>
      <c r="R9" s="1863"/>
      <c r="S9" s="1863"/>
      <c r="T9" s="1863"/>
      <c r="U9" s="1863"/>
      <c r="V9" s="1863"/>
    </row>
    <row r="10" spans="1:22" ht="14.25">
      <c r="A10" s="3635" t="s">
        <v>309</v>
      </c>
      <c r="B10" s="3636">
        <v>15</v>
      </c>
      <c r="C10" s="3644"/>
      <c r="D10" s="3647"/>
      <c r="E10" s="259" t="s">
        <v>310</v>
      </c>
      <c r="F10" s="260"/>
      <c r="G10" s="260"/>
      <c r="H10" s="260"/>
      <c r="I10" s="261"/>
      <c r="J10" s="1864"/>
      <c r="K10" s="1863"/>
      <c r="L10" s="1863"/>
      <c r="M10" s="1863"/>
      <c r="N10" s="1863"/>
      <c r="O10" s="1863"/>
      <c r="P10" s="1863"/>
      <c r="Q10" s="1863"/>
      <c r="R10" s="1863"/>
      <c r="S10" s="1863"/>
      <c r="T10" s="1863"/>
      <c r="U10" s="1863"/>
      <c r="V10" s="1863"/>
    </row>
    <row r="11" spans="1:22" ht="14.25">
      <c r="A11" s="3635"/>
      <c r="B11" s="3636"/>
      <c r="C11" s="3646"/>
      <c r="D11" s="3647"/>
      <c r="E11" s="259" t="s">
        <v>311</v>
      </c>
      <c r="F11" s="260"/>
      <c r="G11" s="260"/>
      <c r="H11" s="260"/>
      <c r="I11" s="261"/>
      <c r="J11" s="1864"/>
      <c r="K11" s="1863"/>
      <c r="L11" s="1863"/>
      <c r="M11" s="1863"/>
      <c r="N11" s="1863"/>
      <c r="O11" s="1863"/>
      <c r="P11" s="1863"/>
      <c r="Q11" s="1863"/>
      <c r="R11" s="1863"/>
      <c r="S11" s="1863"/>
      <c r="T11" s="1863"/>
      <c r="U11" s="1863"/>
      <c r="V11" s="1863"/>
    </row>
    <row r="12" spans="1:22" ht="14.25">
      <c r="A12" s="3635" t="s">
        <v>312</v>
      </c>
      <c r="B12" s="3636">
        <v>15</v>
      </c>
      <c r="C12" s="3644"/>
      <c r="D12" s="3647"/>
      <c r="E12" s="259" t="s">
        <v>313</v>
      </c>
      <c r="F12" s="260"/>
      <c r="G12" s="260"/>
      <c r="H12" s="260"/>
      <c r="I12" s="261"/>
      <c r="J12" s="1864"/>
      <c r="K12" s="1863"/>
      <c r="L12" s="1863"/>
      <c r="M12" s="1863"/>
      <c r="N12" s="1863"/>
      <c r="O12" s="1863"/>
      <c r="P12" s="1863"/>
      <c r="Q12" s="1863"/>
      <c r="R12" s="1863"/>
      <c r="S12" s="1863"/>
      <c r="T12" s="1863"/>
      <c r="U12" s="1863"/>
      <c r="V12" s="1863"/>
    </row>
    <row r="13" spans="1:22" ht="14.25">
      <c r="A13" s="3635"/>
      <c r="B13" s="3636"/>
      <c r="C13" s="3646"/>
      <c r="D13" s="3647"/>
      <c r="E13" s="259" t="s">
        <v>314</v>
      </c>
      <c r="F13" s="260"/>
      <c r="G13" s="260"/>
      <c r="H13" s="260"/>
      <c r="I13" s="261"/>
      <c r="J13" s="1864"/>
      <c r="K13" s="1863"/>
      <c r="L13" s="1863"/>
      <c r="M13" s="1863"/>
      <c r="N13" s="1863"/>
      <c r="O13" s="1863"/>
      <c r="P13" s="1863"/>
      <c r="Q13" s="1863"/>
      <c r="R13" s="1863"/>
      <c r="S13" s="1863"/>
      <c r="T13" s="1863"/>
      <c r="U13" s="1863"/>
      <c r="V13" s="1863"/>
    </row>
    <row r="14" spans="1:22" ht="14.25">
      <c r="A14" s="3635" t="s">
        <v>315</v>
      </c>
      <c r="B14" s="3636">
        <v>30</v>
      </c>
      <c r="C14" s="3644">
        <v>6</v>
      </c>
      <c r="D14" s="3647">
        <v>4</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635"/>
      <c r="B15" s="3636"/>
      <c r="C15" s="3645"/>
      <c r="D15" s="3647"/>
      <c r="E15" s="259" t="s">
        <v>317</v>
      </c>
      <c r="F15" s="260"/>
      <c r="G15" s="260"/>
      <c r="H15" s="260"/>
      <c r="I15" s="261"/>
      <c r="J15" s="1864"/>
      <c r="K15" s="1863"/>
      <c r="L15" s="1863"/>
      <c r="M15" s="1863"/>
      <c r="N15" s="1863"/>
      <c r="O15" s="1863"/>
      <c r="P15" s="1863"/>
      <c r="Q15" s="1863"/>
      <c r="R15" s="1863"/>
      <c r="S15" s="1863"/>
      <c r="T15" s="1863"/>
      <c r="U15" s="1863"/>
      <c r="V15" s="1863"/>
    </row>
    <row r="16" spans="1:22" ht="14.25">
      <c r="A16" s="3635"/>
      <c r="B16" s="3636"/>
      <c r="C16" s="3646"/>
      <c r="D16" s="3647"/>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6</v>
      </c>
      <c r="D17" s="263">
        <f>SUM(D5:D16)</f>
        <v>4</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0.6</v>
      </c>
      <c r="D18" s="265">
        <f>1-C18</f>
        <v>0.4</v>
      </c>
      <c r="E18" s="3649" t="s">
        <v>2693</v>
      </c>
      <c r="F18" s="3650"/>
      <c r="G18" s="3650"/>
      <c r="H18" s="3650"/>
      <c r="I18" s="3650"/>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6087</v>
      </c>
      <c r="D19" s="269">
        <f ca="1">SUMIF(INDIRECT("'"&amp;D4&amp;"'"&amp;"!A:A"),结果表!B19,INDIRECT("'"&amp;D4&amp;"'"&amp;"!B:B"))</f>
        <v>9659</v>
      </c>
      <c r="E19" s="266" t="s">
        <v>323</v>
      </c>
      <c r="F19" s="267" t="s">
        <v>322</v>
      </c>
      <c r="G19" s="270">
        <f ca="1">ROUND(C19*$C$18+D19*$D$18,0)</f>
        <v>7516</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2622</v>
      </c>
      <c r="D20" s="275">
        <f ca="1">SUMIF(INDIRECT("'"&amp;D4&amp;"'"&amp;"!A:A"),结果表!B20,INDIRECT("'"&amp;D4&amp;"'"&amp;"!B:B"))</f>
        <v>4161</v>
      </c>
      <c r="E20" s="272"/>
      <c r="F20" s="273" t="s">
        <v>325</v>
      </c>
      <c r="G20" s="276">
        <f ca="1">ROUND(C20*$C$18+D20*$D$18,0)</f>
        <v>3238</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12536</v>
      </c>
      <c r="D21" s="149">
        <f ca="1">SUMIF(INDIRECT("'"&amp;D4&amp;"'"&amp;"!A:A"),结果表!B21,INDIRECT("'"&amp;D4&amp;"'"&amp;"!B:B"))</f>
        <v>19892</v>
      </c>
      <c r="E21" s="272"/>
      <c r="F21" s="278" t="s">
        <v>327</v>
      </c>
      <c r="G21" s="280">
        <f ca="1">ROUND(C21*$C$18+D21*$D$18,0)</f>
        <v>15478</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0.58682437982585833</v>
      </c>
      <c r="E22" s="282"/>
      <c r="F22" s="283"/>
      <c r="G22" s="284">
        <f ca="1">ROUND(G19/('数据-汇总表'!D3/666.67),0)</f>
        <v>1032</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8"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55"/>
      <c r="B25" s="1237" t="s">
        <v>331</v>
      </c>
      <c r="C25" s="288">
        <f>IF(B30=0,0,C30)</f>
        <v>0</v>
      </c>
      <c r="D25" s="289"/>
      <c r="E25" s="309"/>
      <c r="F25" s="309"/>
      <c r="G25" s="309"/>
      <c r="H25" s="309"/>
      <c r="I25" s="309"/>
      <c r="J25" s="1863"/>
      <c r="K25" s="1171" t="str">
        <f ca="1">项目基本情况!B16&amp;"国有建设用地使用权价格："&amp;O38&amp;"万元"</f>
        <v>出让国有建设用地使用权价格：7516万元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大写金额：人民币柒仟伍佰壹拾陆万元整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单位面积地价：15479元/平方米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楼面地价：3238元/平方米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15" t="s">
        <v>336</v>
      </c>
      <c r="B30" s="307"/>
      <c r="C30" s="307"/>
      <c r="D30" s="308"/>
      <c r="E30" s="2908" t="s">
        <v>2694</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51" t="s">
        <v>2695</v>
      </c>
      <c r="B31" s="3651"/>
      <c r="C31" s="3651"/>
      <c r="D31" s="3651"/>
      <c r="E31" s="3651"/>
      <c r="F31" s="3651"/>
      <c r="G31" s="3651"/>
      <c r="H31" s="3651"/>
      <c r="I31" s="3651"/>
      <c r="J31" s="1863"/>
      <c r="K31" s="2274" t="str">
        <f>IF(项目基本情况!E8="抵押价格","——","抵押担保权已注销时的抵押价格："&amp;O40&amp;"万元")</f>
        <v>抵押担保权已注销时的抵押价格：——万元</v>
      </c>
      <c r="L31" s="2270"/>
      <c r="M31" s="2270"/>
      <c r="N31" s="2270"/>
      <c r="O31" s="2271"/>
      <c r="P31" s="1863"/>
      <c r="V31" s="1863"/>
    </row>
    <row r="32" spans="1:26" ht="19.5" thickTop="1" thickBot="1">
      <c r="A32" s="272" t="s">
        <v>337</v>
      </c>
      <c r="B32" s="2909" t="s">
        <v>1487</v>
      </c>
      <c r="C32" s="264">
        <f ca="1">G19-C24</f>
        <v>7516</v>
      </c>
      <c r="D32" s="2910" t="s">
        <v>1488</v>
      </c>
      <c r="E32" s="309"/>
      <c r="F32" s="309"/>
      <c r="G32" s="309"/>
      <c r="H32" s="309"/>
      <c r="I32" s="309"/>
      <c r="J32" s="1863"/>
      <c r="K32" s="2269" t="e">
        <f>IF(K31="——","——","大写金额：人民币"&amp;NUMBERSTRING(INT(O40*10000),2)&amp;"元整")</f>
        <v>#VALUE!</v>
      </c>
      <c r="L32" s="2272"/>
      <c r="M32" s="2272"/>
      <c r="N32" s="2272"/>
      <c r="O32" s="2273"/>
      <c r="P32" s="1863"/>
      <c r="V32" s="1863"/>
    </row>
    <row r="33" spans="1:26" ht="18.75" thickBot="1">
      <c r="A33" s="296" t="s">
        <v>340</v>
      </c>
      <c r="B33" s="1286" t="s">
        <v>1489</v>
      </c>
      <c r="C33" s="262">
        <f ca="1">ROUND(C32*10000/'数据-汇总表'!E3,0)</f>
        <v>3238</v>
      </c>
      <c r="D33" s="1287" t="s">
        <v>1490</v>
      </c>
      <c r="E33" s="3608"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15479</v>
      </c>
      <c r="D34" s="1289" t="s">
        <v>1490</v>
      </c>
      <c r="E34" s="3609"/>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1032</v>
      </c>
      <c r="D35" s="1292" t="s">
        <v>1492</v>
      </c>
      <c r="E35" s="3610"/>
      <c r="F35" s="299" t="s">
        <v>342</v>
      </c>
      <c r="G35" s="951"/>
      <c r="H35" s="950" t="s">
        <v>343</v>
      </c>
      <c r="I35" s="309"/>
      <c r="J35" s="1863"/>
      <c r="K35" s="3614" t="s">
        <v>350</v>
      </c>
      <c r="L35" s="3614" t="s">
        <v>351</v>
      </c>
      <c r="M35" s="1180" t="s">
        <v>352</v>
      </c>
      <c r="N35" s="3614" t="s">
        <v>353</v>
      </c>
      <c r="O35" s="3614" t="s">
        <v>354</v>
      </c>
      <c r="P35" s="1863"/>
      <c r="V35" s="1863"/>
    </row>
    <row r="36" spans="1:26" ht="16.5" customHeight="1">
      <c r="A36" s="301" t="s">
        <v>344</v>
      </c>
      <c r="B36" s="302" t="s">
        <v>333</v>
      </c>
      <c r="C36" s="303" t="s">
        <v>345</v>
      </c>
      <c r="D36" s="303" t="s">
        <v>346</v>
      </c>
      <c r="E36" s="304" t="s">
        <v>347</v>
      </c>
      <c r="F36" s="309"/>
      <c r="G36" s="309"/>
      <c r="H36" s="309"/>
      <c r="I36" s="309"/>
      <c r="J36" s="1865"/>
      <c r="K36" s="3615"/>
      <c r="L36" s="3615"/>
      <c r="M36" s="1182" t="s">
        <v>355</v>
      </c>
      <c r="N36" s="3615"/>
      <c r="O36" s="3615"/>
      <c r="P36" s="1863"/>
      <c r="V36" s="1863"/>
    </row>
    <row r="37" spans="1:26" ht="16.5" customHeight="1" thickBot="1">
      <c r="A37" s="1176" t="s">
        <v>348</v>
      </c>
      <c r="B37" s="305"/>
      <c r="C37" s="292"/>
      <c r="D37" s="292"/>
      <c r="E37" s="293"/>
      <c r="F37" s="309"/>
      <c r="G37" s="309"/>
      <c r="H37" s="309"/>
      <c r="I37" s="309"/>
      <c r="J37" s="1865"/>
      <c r="K37" s="3616"/>
      <c r="L37" s="3616"/>
      <c r="M37" s="1183"/>
      <c r="N37" s="3616"/>
      <c r="O37" s="3616"/>
      <c r="P37" s="1863"/>
      <c r="V37" s="1863"/>
    </row>
    <row r="38" spans="1:26" ht="16.5" customHeight="1" thickBot="1">
      <c r="A38" s="1176" t="s">
        <v>349</v>
      </c>
      <c r="B38" s="305"/>
      <c r="C38" s="292"/>
      <c r="D38" s="292"/>
      <c r="E38" s="293"/>
      <c r="F38" s="309"/>
      <c r="G38" s="309"/>
      <c r="H38" s="309"/>
      <c r="I38" s="309"/>
      <c r="J38" s="1865"/>
      <c r="K38" s="1184">
        <f>'数据-汇总表'!D3</f>
        <v>4855.7</v>
      </c>
      <c r="L38" s="1185">
        <f>'数据-汇总表'!E3</f>
        <v>23212.99</v>
      </c>
      <c r="M38" s="1185">
        <f ca="1">C34</f>
        <v>15479</v>
      </c>
      <c r="N38" s="1185">
        <f ca="1">C33</f>
        <v>3238</v>
      </c>
      <c r="O38" s="1186">
        <f ca="1">C32</f>
        <v>7516</v>
      </c>
      <c r="P38" s="1863"/>
      <c r="V38" s="1863"/>
    </row>
    <row r="39" spans="1:26" ht="16.5" customHeight="1" thickBot="1">
      <c r="A39" s="1181"/>
      <c r="B39" s="306"/>
      <c r="C39" s="307"/>
      <c r="D39" s="307"/>
      <c r="E39" s="308"/>
      <c r="F39" s="309"/>
      <c r="G39" s="309"/>
      <c r="H39" s="309"/>
      <c r="I39" s="309"/>
      <c r="J39" s="1865"/>
      <c r="K39" s="3627" t="str">
        <f>MID(A44,3,LEN(A44)-2)</f>
        <v/>
      </c>
      <c r="L39" s="3628"/>
      <c r="M39" s="3628"/>
      <c r="N39" s="3629"/>
      <c r="O39" s="1294" t="str">
        <f>C44</f>
        <v>——</v>
      </c>
      <c r="P39" s="1863"/>
      <c r="V39" s="1863"/>
    </row>
    <row r="40" spans="1:26" ht="19.5" thickBot="1">
      <c r="A40" s="104" t="s">
        <v>851</v>
      </c>
      <c r="B40" s="309"/>
      <c r="C40" s="309"/>
      <c r="D40" s="309"/>
      <c r="E40" s="309"/>
      <c r="F40" s="309"/>
      <c r="G40" s="309"/>
      <c r="H40" s="309"/>
      <c r="I40" s="309"/>
      <c r="J40" s="1865"/>
      <c r="K40" s="3627" t="str">
        <f t="shared" ref="K40:K41" si="0">MID(A45,3,LEN(A45)-2)</f>
        <v/>
      </c>
      <c r="L40" s="3628"/>
      <c r="M40" s="3628"/>
      <c r="N40" s="3629"/>
      <c r="O40" s="1294" t="str">
        <f>C45</f>
        <v>——</v>
      </c>
      <c r="P40" s="1863"/>
      <c r="V40" s="1863"/>
    </row>
    <row r="41" spans="1:26" ht="16.5" thickBot="1">
      <c r="A41" s="310" t="s">
        <v>356</v>
      </c>
      <c r="B41" s="311"/>
      <c r="C41" s="312" t="s">
        <v>357</v>
      </c>
      <c r="D41" s="313" t="s">
        <v>358</v>
      </c>
      <c r="E41" s="313" t="s">
        <v>359</v>
      </c>
      <c r="F41" s="314" t="s">
        <v>360</v>
      </c>
      <c r="G41" s="309"/>
      <c r="H41" s="309"/>
      <c r="I41" s="309"/>
      <c r="J41" s="1865"/>
      <c r="K41" s="3627" t="str">
        <f t="shared" si="0"/>
        <v/>
      </c>
      <c r="L41" s="3628"/>
      <c r="M41" s="3628"/>
      <c r="N41" s="3629"/>
      <c r="O41" s="1294" t="str">
        <f>C46</f>
        <v>——</v>
      </c>
      <c r="P41" s="1863"/>
      <c r="V41" s="1863"/>
    </row>
    <row r="42" spans="1:26" ht="29.25">
      <c r="A42" s="3656" t="s">
        <v>1858</v>
      </c>
      <c r="B42" s="3657"/>
      <c r="C42" s="262">
        <f ca="1">C32</f>
        <v>7516</v>
      </c>
      <c r="D42" s="315">
        <f ca="1">C33</f>
        <v>3238</v>
      </c>
      <c r="E42" s="315">
        <f ca="1">C34</f>
        <v>15479</v>
      </c>
      <c r="F42" s="316">
        <f ca="1">C35</f>
        <v>1032</v>
      </c>
      <c r="G42" s="309"/>
      <c r="H42" s="309"/>
      <c r="I42" s="317"/>
      <c r="J42" s="1865"/>
      <c r="K42" s="1187" t="s">
        <v>361</v>
      </c>
      <c r="L42" s="1882" t="s">
        <v>362</v>
      </c>
      <c r="M42" s="1188" t="s">
        <v>363</v>
      </c>
      <c r="N42" s="1883" t="s">
        <v>364</v>
      </c>
      <c r="O42" s="1884" t="s">
        <v>365</v>
      </c>
      <c r="P42" s="1863"/>
      <c r="V42" s="1863"/>
    </row>
    <row r="43" spans="1:26" ht="30">
      <c r="A43" s="3666" t="s">
        <v>2446</v>
      </c>
      <c r="B43" s="3667"/>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6087</v>
      </c>
      <c r="M43" s="1191">
        <f>C18</f>
        <v>0.6</v>
      </c>
      <c r="N43" s="1192">
        <f ca="1">IF(N42="测算结果/万元",G19,G20)</f>
        <v>7516</v>
      </c>
      <c r="O43" s="1193">
        <f ca="1">IF(O42="最终结果/万元",C32,C33)</f>
        <v>7516</v>
      </c>
      <c r="P43" s="1863"/>
      <c r="V43" s="1863"/>
    </row>
    <row r="44" spans="1:26" ht="30.75" thickBot="1">
      <c r="A44" s="3656" t="str">
        <f>IF(OR(项目基本情况!E8="抵押价格",项目基本情况!E8="已注销及未注销"),"3.抵押价格","——")</f>
        <v>——</v>
      </c>
      <c r="B44" s="3657"/>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剩余法-待开发</v>
      </c>
      <c r="L44" s="1195">
        <f ca="1">IF(L42="估价结果/万元",D19,D20)</f>
        <v>9659</v>
      </c>
      <c r="M44" s="1196">
        <f>D18</f>
        <v>0.4</v>
      </c>
      <c r="N44" s="1197"/>
      <c r="O44" s="1198"/>
      <c r="P44" s="1863"/>
      <c r="V44" s="1863"/>
    </row>
    <row r="45" spans="1:26" ht="15">
      <c r="A45" s="3661" t="str">
        <f>IF(项目基本情况!E8="已注销及未注销","4.抵押担保权已注销时的抵押价格",IF(项目基本情况!E8="已注销","3.抵押担保权已注销时的抵押价格","——"))</f>
        <v>——</v>
      </c>
      <c r="B45" s="3662"/>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58" t="str">
        <f>IF(项目基本情况!E9="抵押净值",IF(A45="——","4.抵押净值","5.抵押净值"),"——")</f>
        <v>——</v>
      </c>
      <c r="B46" s="3659"/>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19" t="s">
        <v>374</v>
      </c>
      <c r="B63" s="3620"/>
      <c r="C63" s="3621"/>
      <c r="D63" s="339">
        <f ca="1">ROUND(C42*F63,0)</f>
        <v>7516</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63" t="s">
        <v>378</v>
      </c>
      <c r="B64" s="3664"/>
      <c r="C64" s="3664"/>
      <c r="D64" s="3664"/>
      <c r="E64" s="3664"/>
      <c r="F64" s="3664"/>
      <c r="G64" s="3665"/>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60" t="s">
        <v>386</v>
      </c>
      <c r="B66" s="3626"/>
      <c r="C66" s="3626"/>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587" t="s">
        <v>385</v>
      </c>
      <c r="M66" s="3588"/>
      <c r="N66" s="2264"/>
      <c r="O66" s="2265"/>
      <c r="P66" s="2266"/>
      <c r="Q66" s="1863"/>
      <c r="R66" s="1863"/>
      <c r="S66" s="1863"/>
      <c r="T66" s="1863"/>
      <c r="U66" s="1863"/>
      <c r="V66" s="1863"/>
    </row>
    <row r="67" spans="1:22" ht="25.5" customHeight="1">
      <c r="A67" s="350" t="s">
        <v>389</v>
      </c>
      <c r="B67" s="3638" t="s">
        <v>390</v>
      </c>
      <c r="C67" s="3638"/>
      <c r="D67" s="351">
        <v>0</v>
      </c>
      <c r="E67" s="41" t="s">
        <v>391</v>
      </c>
      <c r="F67" s="62" t="s">
        <v>21</v>
      </c>
      <c r="G67" s="3622"/>
      <c r="H67" s="2911" t="s">
        <v>2696</v>
      </c>
      <c r="I67" s="2913"/>
      <c r="J67" s="1870"/>
      <c r="K67" s="1842">
        <v>2</v>
      </c>
      <c r="L67" s="3592" t="s">
        <v>388</v>
      </c>
      <c r="M67" s="3592"/>
      <c r="N67" s="1241">
        <f>'数据-取费表'!B2</f>
        <v>44901</v>
      </c>
      <c r="O67" s="1241"/>
      <c r="P67" s="1241"/>
      <c r="Q67" s="1863"/>
      <c r="R67" s="1863"/>
      <c r="S67" s="1863"/>
      <c r="T67" s="1863"/>
      <c r="U67" s="1863"/>
      <c r="V67" s="1863"/>
    </row>
    <row r="68" spans="1:22" ht="25.5" customHeight="1">
      <c r="A68" s="352"/>
      <c r="B68" s="3638" t="s">
        <v>393</v>
      </c>
      <c r="C68" s="3638"/>
      <c r="D68" s="353"/>
      <c r="E68" s="77"/>
      <c r="F68" s="354"/>
      <c r="G68" s="3623"/>
      <c r="H68" s="2912" t="s">
        <v>2697</v>
      </c>
      <c r="I68" s="2913"/>
      <c r="J68" s="1870"/>
      <c r="K68" s="1842">
        <v>3</v>
      </c>
      <c r="L68" s="3592" t="s">
        <v>392</v>
      </c>
      <c r="M68" s="3592"/>
      <c r="N68" s="1209">
        <f ca="1">C42</f>
        <v>7516</v>
      </c>
      <c r="O68" s="1209"/>
      <c r="P68" s="1209"/>
      <c r="Q68" s="1863"/>
      <c r="R68" s="1863"/>
      <c r="S68" s="1863"/>
      <c r="T68" s="1863"/>
      <c r="U68" s="1863"/>
      <c r="V68" s="1863"/>
    </row>
    <row r="69" spans="1:22" ht="23.45" customHeight="1">
      <c r="A69" s="355"/>
      <c r="B69" s="3638" t="s">
        <v>394</v>
      </c>
      <c r="C69" s="3638"/>
      <c r="D69" s="356"/>
      <c r="E69" s="73"/>
      <c r="F69" s="354"/>
      <c r="G69" s="3624"/>
      <c r="H69" s="2912" t="s">
        <v>2698</v>
      </c>
      <c r="I69" s="2913"/>
      <c r="J69" s="1870"/>
      <c r="K69" s="1210">
        <v>4</v>
      </c>
      <c r="L69" s="3593" t="s">
        <v>2595</v>
      </c>
      <c r="M69" s="3594"/>
      <c r="N69" s="1211" t="str">
        <f>C44</f>
        <v>——</v>
      </c>
      <c r="O69" s="1211"/>
      <c r="P69" s="1211"/>
      <c r="Q69" s="1863"/>
      <c r="R69" s="1863"/>
      <c r="S69" s="1863"/>
      <c r="T69" s="1863"/>
      <c r="U69" s="1863"/>
      <c r="V69" s="1863"/>
    </row>
    <row r="70" spans="1:22" ht="24" customHeight="1">
      <c r="A70" s="357" t="s">
        <v>395</v>
      </c>
      <c r="B70" s="3638" t="s">
        <v>396</v>
      </c>
      <c r="C70" s="3638"/>
      <c r="D70" s="356">
        <f ca="1">ROUND(D63*'数据-取费表'!B41/(1+'数据-取费表'!C42),0)</f>
        <v>401</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637" t="s">
        <v>2726</v>
      </c>
      <c r="C71" s="3654"/>
      <c r="D71" s="356">
        <f ca="1">ROUND(D63*'数据-取费表'!B41/(1+'数据-取费表'!C42),0)</f>
        <v>401</v>
      </c>
      <c r="E71" s="17" t="s">
        <v>397</v>
      </c>
      <c r="F71" s="358">
        <f>'数据-取费表'!B41</f>
        <v>5.6000000000000001E-2</v>
      </c>
      <c r="G71" s="359"/>
      <c r="H71" s="309"/>
      <c r="I71" s="1208"/>
      <c r="J71" s="1870"/>
      <c r="K71" s="2679" t="s">
        <v>398</v>
      </c>
      <c r="L71" s="3595" t="s">
        <v>399</v>
      </c>
      <c r="M71" s="3595"/>
      <c r="N71" s="2679" t="s">
        <v>400</v>
      </c>
      <c r="O71" s="2679" t="s">
        <v>401</v>
      </c>
      <c r="P71" s="2679" t="s">
        <v>402</v>
      </c>
      <c r="Q71" s="1863"/>
      <c r="R71" s="1863"/>
      <c r="S71" s="1863"/>
      <c r="T71" s="1863"/>
      <c r="U71" s="1863"/>
      <c r="V71" s="1863"/>
    </row>
    <row r="72" spans="1:22" ht="12" customHeight="1">
      <c r="A72" s="357" t="s">
        <v>405</v>
      </c>
      <c r="B72" s="3637" t="s">
        <v>2727</v>
      </c>
      <c r="C72" s="3654"/>
      <c r="D72" s="356">
        <f ca="1">C86</f>
        <v>401</v>
      </c>
      <c r="E72" s="73" t="s">
        <v>406</v>
      </c>
      <c r="F72" s="358">
        <f>'数据-取费表'!B41</f>
        <v>5.6000000000000001E-2</v>
      </c>
      <c r="G72" s="359"/>
      <c r="H72" s="1214"/>
      <c r="I72" s="1208"/>
      <c r="J72" s="1870"/>
      <c r="K72" s="1842">
        <v>1</v>
      </c>
      <c r="L72" s="3591" t="s">
        <v>404</v>
      </c>
      <c r="M72" s="3591"/>
      <c r="N72" s="1212" t="b">
        <f>D66</f>
        <v>0</v>
      </c>
      <c r="O72" s="1726" t="str">
        <f>E66</f>
        <v>销售额×税（费）率</v>
      </c>
      <c r="P72" s="1213">
        <f>F66</f>
        <v>5.6000000000000001E-2</v>
      </c>
      <c r="Q72" s="1863"/>
      <c r="R72" s="1863"/>
      <c r="S72" s="1863"/>
      <c r="T72" s="1863"/>
      <c r="U72" s="1863"/>
      <c r="V72" s="1863"/>
    </row>
    <row r="73" spans="1:22" ht="24" customHeight="1">
      <c r="A73" s="3625" t="s">
        <v>408</v>
      </c>
      <c r="B73" s="3626"/>
      <c r="C73" s="3626"/>
      <c r="D73" s="360">
        <f ca="1">IF(H73="个人住宅",0,ROUND(D63*I73,0))</f>
        <v>4</v>
      </c>
      <c r="E73" s="17" t="s">
        <v>409</v>
      </c>
      <c r="F73" s="358" t="str">
        <f>IF(H73="正常",I73,"免征")</f>
        <v>免征</v>
      </c>
      <c r="G73" s="359"/>
      <c r="H73" s="189"/>
      <c r="I73" s="358">
        <f>'数据-取费表'!B49</f>
        <v>5.0000000000000001E-4</v>
      </c>
      <c r="J73" s="1870"/>
      <c r="K73" s="1842">
        <v>2</v>
      </c>
      <c r="L73" s="3591" t="s">
        <v>407</v>
      </c>
      <c r="M73" s="3591"/>
      <c r="N73" s="1212">
        <f t="shared" ref="N73:P74" ca="1" si="1">D73</f>
        <v>4</v>
      </c>
      <c r="O73" s="1726" t="str">
        <f t="shared" si="1"/>
        <v>销售额×税（费）率</v>
      </c>
      <c r="P73" s="1213" t="str">
        <f t="shared" si="1"/>
        <v>免征</v>
      </c>
      <c r="Q73" s="1863"/>
      <c r="R73" s="1863"/>
      <c r="S73" s="1863"/>
      <c r="T73" s="1863"/>
      <c r="U73" s="1863"/>
      <c r="V73" s="1863"/>
    </row>
    <row r="74" spans="1:22" ht="24.75">
      <c r="A74" s="3625" t="s">
        <v>411</v>
      </c>
      <c r="B74" s="3626"/>
      <c r="C74" s="3626"/>
      <c r="D74" s="360">
        <f ca="1">IF(H74="个人住宅",D75,D76)</f>
        <v>4254</v>
      </c>
      <c r="E74" s="17" t="s">
        <v>412</v>
      </c>
      <c r="F74" s="358" t="str">
        <f>IF(H74="正常",F76,"免征")</f>
        <v>免征</v>
      </c>
      <c r="G74" s="952" t="s">
        <v>413</v>
      </c>
      <c r="H74" s="361"/>
      <c r="I74" s="42"/>
      <c r="J74" s="1870"/>
      <c r="K74" s="1842">
        <v>3</v>
      </c>
      <c r="L74" s="3591" t="s">
        <v>410</v>
      </c>
      <c r="M74" s="3591"/>
      <c r="N74" s="1212">
        <f t="shared" ca="1" si="1"/>
        <v>4254</v>
      </c>
      <c r="O74" s="1726" t="str">
        <f t="shared" si="1"/>
        <v>增值额×税（费）率</v>
      </c>
      <c r="P74" s="1215" t="str">
        <f t="shared" si="1"/>
        <v>免征</v>
      </c>
      <c r="Q74" s="1863"/>
      <c r="R74" s="1863"/>
      <c r="S74" s="1863"/>
      <c r="T74" s="1863"/>
      <c r="U74" s="1863"/>
      <c r="V74" s="1863"/>
    </row>
    <row r="75" spans="1:22" ht="12.75">
      <c r="A75" s="357" t="s">
        <v>414</v>
      </c>
      <c r="B75" s="3606" t="s">
        <v>415</v>
      </c>
      <c r="C75" s="3607"/>
      <c r="D75" s="362">
        <v>0</v>
      </c>
      <c r="E75" s="41" t="s">
        <v>416</v>
      </c>
      <c r="F75" s="363"/>
      <c r="G75" s="359"/>
      <c r="H75" s="42"/>
      <c r="I75" s="42"/>
      <c r="J75" s="1870"/>
      <c r="K75" s="2673">
        <f>IF(H77="非个人房产","",4)</f>
        <v>4</v>
      </c>
      <c r="L75" s="3591" t="str">
        <f>IF(H77="非个人房产","——","个人所得税")</f>
        <v>个人所得税</v>
      </c>
      <c r="M75" s="3591"/>
      <c r="N75" s="1216">
        <f>D77</f>
        <v>0</v>
      </c>
      <c r="O75" s="1739" t="str">
        <f>E77</f>
        <v>差额计税</v>
      </c>
      <c r="P75" s="1217">
        <f>F77</f>
        <v>0.01</v>
      </c>
      <c r="Q75" s="1863"/>
      <c r="R75" s="1863"/>
      <c r="S75" s="1863"/>
      <c r="T75" s="1863"/>
      <c r="U75" s="1863"/>
      <c r="V75" s="1863"/>
    </row>
    <row r="76" spans="1:22" ht="24.75">
      <c r="A76" s="357" t="s">
        <v>395</v>
      </c>
      <c r="B76" s="3606" t="s">
        <v>418</v>
      </c>
      <c r="C76" s="3648"/>
      <c r="D76" s="360">
        <f ca="1">IF(H76="转让取得",C99,C115)</f>
        <v>4254</v>
      </c>
      <c r="E76" s="17" t="s">
        <v>419</v>
      </c>
      <c r="F76" s="53" t="s">
        <v>21</v>
      </c>
      <c r="G76" s="359"/>
      <c r="H76" s="361"/>
      <c r="I76" s="42"/>
      <c r="J76" s="1870"/>
      <c r="K76" s="2673" t="str">
        <f>IF(项目基本情况!K6="上海银行",IF(K75="",4,K75+1),"")</f>
        <v/>
      </c>
      <c r="L76" s="3602" t="str">
        <f>IF(项目基本情况!K6="上海银行","其他处置费用","")</f>
        <v/>
      </c>
      <c r="M76" s="3603"/>
      <c r="N76" s="1212" t="str">
        <f>IF(项目基本情况!K6="上海银行",N89,"")</f>
        <v/>
      </c>
      <c r="O76" s="3604" t="str">
        <f>IF(项目基本情况!K6="上海银行","包含处置中涉及的律师、诉讼、拍卖、评估等费用","")</f>
        <v/>
      </c>
      <c r="P76" s="3605"/>
      <c r="Q76" s="1863"/>
      <c r="R76" s="1863"/>
      <c r="S76" s="1863"/>
      <c r="T76" s="1863"/>
      <c r="U76" s="1863"/>
      <c r="V76" s="1863"/>
    </row>
    <row r="77" spans="1:22" ht="24.75" thickBot="1">
      <c r="A77" s="3617" t="s">
        <v>421</v>
      </c>
      <c r="B77" s="3618"/>
      <c r="C77" s="3618"/>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2699</v>
      </c>
      <c r="J77" s="1870"/>
      <c r="K77" s="3613">
        <f>IF(AND(K75="",K76=""),4,IF(项目基本情况!K6="上海银行",K76+1,K75+1))</f>
        <v>5</v>
      </c>
      <c r="L77" s="3591" t="s">
        <v>2596</v>
      </c>
      <c r="M77" s="2678" t="s">
        <v>417</v>
      </c>
      <c r="N77" s="1218"/>
      <c r="O77" s="1219">
        <f ca="1">SUMIF(N72:N76,"&lt;9e307")</f>
        <v>4258</v>
      </c>
      <c r="P77" s="1220"/>
      <c r="Q77" s="2676" t="e">
        <f ca="1">O77/N69</f>
        <v>#VALUE!</v>
      </c>
      <c r="R77" s="1863"/>
      <c r="S77" s="1863"/>
      <c r="T77" s="1863"/>
      <c r="U77" s="1863"/>
      <c r="V77" s="1863"/>
    </row>
    <row r="78" spans="1:22" ht="12" customHeight="1">
      <c r="A78" s="1221"/>
      <c r="B78" s="309"/>
      <c r="C78" s="309"/>
      <c r="D78" s="309"/>
      <c r="E78" s="42"/>
      <c r="F78" s="42"/>
      <c r="G78" s="42"/>
      <c r="H78" s="972"/>
      <c r="I78" s="309"/>
      <c r="J78" s="1870"/>
      <c r="K78" s="3613"/>
      <c r="L78" s="3591"/>
      <c r="M78" s="2678" t="s">
        <v>420</v>
      </c>
      <c r="N78" s="1218"/>
      <c r="O78" s="1219" t="str">
        <f ca="1">NUMBERSTRING(INT(O77*10000),2)&amp;"元整"</f>
        <v>肆仟贰佰伍拾捌万元整</v>
      </c>
      <c r="P78" s="1220"/>
      <c r="Q78" s="1863"/>
      <c r="R78" s="1863"/>
      <c r="S78" s="1863"/>
      <c r="T78" s="1863"/>
      <c r="U78" s="1863"/>
      <c r="V78" s="1863"/>
    </row>
    <row r="79" spans="1:22" ht="13.5" thickBot="1">
      <c r="A79" s="3668" t="s">
        <v>422</v>
      </c>
      <c r="B79" s="3668"/>
      <c r="C79" s="3668"/>
      <c r="D79" s="3668"/>
      <c r="E79" s="3668"/>
      <c r="F79" s="42"/>
      <c r="G79" s="42"/>
      <c r="H79" s="972"/>
      <c r="I79" s="309"/>
      <c r="J79" s="1870"/>
      <c r="K79" s="3589">
        <f>K77+1</f>
        <v>6</v>
      </c>
      <c r="L79" s="3591" t="s">
        <v>2597</v>
      </c>
      <c r="M79" s="2678" t="s">
        <v>417</v>
      </c>
      <c r="N79" s="1218"/>
      <c r="O79" s="1219" t="e">
        <f ca="1">N69-O77</f>
        <v>#VALUE!</v>
      </c>
      <c r="P79" s="1220"/>
      <c r="Q79" s="1863"/>
      <c r="R79" s="1863"/>
      <c r="S79" s="1863"/>
      <c r="T79" s="1863"/>
      <c r="U79" s="1863"/>
      <c r="V79" s="1863"/>
    </row>
    <row r="80" spans="1:22" ht="12.75">
      <c r="A80" s="3599" t="s">
        <v>423</v>
      </c>
      <c r="B80" s="3600"/>
      <c r="C80" s="963"/>
      <c r="D80" s="963" t="s">
        <v>424</v>
      </c>
      <c r="E80" s="364" t="s">
        <v>425</v>
      </c>
      <c r="F80" s="42"/>
      <c r="G80" s="42"/>
      <c r="H80" s="972"/>
      <c r="I80" s="309"/>
      <c r="J80" s="1863"/>
      <c r="K80" s="3590"/>
      <c r="L80" s="3591"/>
      <c r="M80" s="2678" t="s">
        <v>420</v>
      </c>
      <c r="N80" s="1218"/>
      <c r="O80" s="1219" t="e">
        <f ca="1">NUMBERSTRING(INT(O79*10000),2)&amp;"元整"</f>
        <v>#VALUE!</v>
      </c>
      <c r="P80" s="1220"/>
      <c r="Q80" s="1863"/>
      <c r="R80" s="1863"/>
      <c r="S80" s="1863"/>
      <c r="T80" s="1863"/>
      <c r="U80" s="1863"/>
      <c r="V80" s="1863"/>
    </row>
    <row r="81" spans="1:26" ht="13.5" thickBot="1">
      <c r="A81" s="375" t="s">
        <v>1622</v>
      </c>
      <c r="B81" s="365" t="s">
        <v>426</v>
      </c>
      <c r="C81" s="366">
        <f ca="1">ROUND((C82+C83)/(1+'数据-取费表'!C42),0)</f>
        <v>7158</v>
      </c>
      <c r="D81" s="367"/>
      <c r="E81" s="368"/>
      <c r="F81" s="42"/>
      <c r="G81" s="42"/>
      <c r="H81" s="972"/>
      <c r="I81" s="309"/>
      <c r="J81" s="1863"/>
      <c r="K81" s="2673">
        <f>K79+1</f>
        <v>7</v>
      </c>
      <c r="L81" s="3611" t="s">
        <v>2598</v>
      </c>
      <c r="M81" s="3612"/>
      <c r="N81" s="1222"/>
      <c r="O81" s="1223" t="e">
        <f ca="1">ROUND(O79*10000/'数据-汇总表'!E3,0)</f>
        <v>#VALUE!</v>
      </c>
      <c r="P81" s="1224"/>
      <c r="Q81" s="1863"/>
      <c r="R81" s="1863"/>
      <c r="S81" s="1863"/>
      <c r="T81" s="1863"/>
      <c r="U81" s="1863"/>
      <c r="V81" s="1863"/>
    </row>
    <row r="82" spans="1:26" ht="13.5" thickTop="1">
      <c r="A82" s="369" t="s">
        <v>1623</v>
      </c>
      <c r="B82" s="370" t="s">
        <v>427</v>
      </c>
      <c r="C82" s="371">
        <f ca="1">D63</f>
        <v>7516</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01" t="s">
        <v>2586</v>
      </c>
      <c r="L83" s="2684" t="s">
        <v>2587</v>
      </c>
      <c r="M83" s="2674" t="e">
        <f>IF(N69&gt;10000,N69*0.5%,IF(AND(N69&gt;1000,N69&lt;=10000),N69*1%,IF(AND(N69&gt;100,N69&lt;=1000),N69*3%,IF(AND(N69&gt;10,N69&lt;=100),N69*5%,N69*8%))))</f>
        <v>#VALUE!</v>
      </c>
      <c r="N83" s="53" t="e">
        <f>ROUND(M83,1)</f>
        <v>#VALUE!</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01"/>
      <c r="L84" s="2684" t="s">
        <v>2588</v>
      </c>
      <c r="M84" s="26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2589</v>
      </c>
      <c r="P84" s="1863"/>
      <c r="Q84" s="1863"/>
      <c r="R84" s="1863"/>
      <c r="S84" s="1863"/>
      <c r="T84" s="1863"/>
      <c r="U84" s="1863"/>
      <c r="V84" s="1863"/>
    </row>
    <row r="85" spans="1:26" ht="12.75">
      <c r="A85" s="375" t="s">
        <v>1626</v>
      </c>
      <c r="B85" s="376" t="s">
        <v>430</v>
      </c>
      <c r="C85" s="379">
        <f ca="1">C81-C84</f>
        <v>7158</v>
      </c>
      <c r="D85" s="372" t="s">
        <v>19</v>
      </c>
      <c r="E85" s="373"/>
      <c r="F85" s="42"/>
      <c r="G85" s="42"/>
      <c r="H85" s="972"/>
      <c r="I85" s="309"/>
      <c r="J85" s="1863"/>
      <c r="K85" s="3601"/>
      <c r="L85" s="2684" t="s">
        <v>2590</v>
      </c>
      <c r="M85" s="2674" t="e">
        <f>IF(N69&gt;1000,N69*0.1%,IF(AND(N69&gt;500,N69&lt;=1000),N69*0.5%,IF(AND(N69&gt;50,N69&lt;=500),N69*1%,IF(AND(N69&gt;1,N69&lt;=50),N69*1.5%))))</f>
        <v>#VALUE!</v>
      </c>
      <c r="N85" s="53" t="e">
        <f t="shared" si="2"/>
        <v>#VALUE!</v>
      </c>
      <c r="O85" s="1863" t="s">
        <v>2589</v>
      </c>
      <c r="P85" s="1863"/>
      <c r="Q85" s="1863"/>
      <c r="R85" s="1863"/>
      <c r="S85" s="1863"/>
      <c r="T85" s="1863"/>
      <c r="U85" s="1863"/>
      <c r="V85" s="1863"/>
    </row>
    <row r="86" spans="1:26" ht="13.5" thickBot="1">
      <c r="A86" s="380" t="s">
        <v>1627</v>
      </c>
      <c r="B86" s="381" t="s">
        <v>431</v>
      </c>
      <c r="C86" s="382">
        <f ca="1">IF(C85&lt;=0,0,ROUND(C85*D86,0))</f>
        <v>401</v>
      </c>
      <c r="D86" s="383">
        <f>'数据-取费表'!B41</f>
        <v>5.6000000000000001E-2</v>
      </c>
      <c r="E86" s="384"/>
      <c r="F86" s="42"/>
      <c r="G86" s="42"/>
      <c r="H86" s="972"/>
      <c r="I86" s="309"/>
      <c r="J86" s="1863"/>
      <c r="K86" s="3601"/>
      <c r="L86" s="2684" t="s">
        <v>2591</v>
      </c>
      <c r="M86" s="2674" t="e">
        <f>N69*0.5%</f>
        <v>#VALUE!</v>
      </c>
      <c r="N86" s="53" t="e">
        <f>IF(M86&gt;0.5,0.5,ROUND(M86,0))</f>
        <v>#VALUE!</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01"/>
      <c r="L87" s="2684" t="s">
        <v>2593</v>
      </c>
      <c r="M87" s="26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7"/>
      <c r="P87" s="1863"/>
      <c r="Q87" s="1863"/>
      <c r="R87" s="1863"/>
      <c r="S87" s="1863"/>
      <c r="T87" s="1863"/>
      <c r="U87" s="1863"/>
      <c r="V87" s="1863"/>
      <c r="W87" s="290"/>
      <c r="X87" s="290"/>
      <c r="Y87" s="290"/>
      <c r="Z87" s="290"/>
    </row>
    <row r="88" spans="1:26" s="1230" customFormat="1" ht="15" thickBot="1">
      <c r="A88" s="3640" t="s">
        <v>432</v>
      </c>
      <c r="B88" s="3641"/>
      <c r="C88" s="3641"/>
      <c r="D88" s="3641"/>
      <c r="E88" s="3641"/>
      <c r="F88" s="3641"/>
      <c r="G88" s="3641"/>
      <c r="H88" s="3641"/>
      <c r="I88" s="1231"/>
      <c r="J88" s="1871"/>
      <c r="K88" s="3601"/>
      <c r="L88" s="2684" t="s">
        <v>2594</v>
      </c>
      <c r="M88" s="2674" t="e">
        <f>IF(N69&gt;10000,N69*0.5%,IF(AND(N69&gt;5000,N69&lt;=10000),N69*1%,IF(AND(N69&gt;1000,N69&lt;=5000),N69*2%,IF(AND(N69&gt;200,N69&lt;=1000),N69*3%,N69*5%))))</f>
        <v>#VALUE!</v>
      </c>
      <c r="N88" s="53" t="e">
        <f>ROUND(M88,1)</f>
        <v>#VALUE!</v>
      </c>
      <c r="O88" s="2677"/>
      <c r="P88" s="1868"/>
      <c r="Q88" s="1868"/>
      <c r="R88" s="1868"/>
      <c r="S88" s="1868"/>
      <c r="T88" s="1868"/>
      <c r="U88" s="1868"/>
      <c r="V88" s="1868"/>
      <c r="W88" s="1872"/>
      <c r="X88" s="1872"/>
      <c r="Y88" s="1872"/>
      <c r="Z88" s="1872"/>
    </row>
    <row r="89" spans="1:26" s="1230" customFormat="1" ht="14.25">
      <c r="A89" s="3599" t="s">
        <v>423</v>
      </c>
      <c r="B89" s="3600"/>
      <c r="C89" s="963"/>
      <c r="D89" s="963" t="s">
        <v>424</v>
      </c>
      <c r="E89" s="385" t="s">
        <v>433</v>
      </c>
      <c r="F89" s="386"/>
      <c r="G89" s="386"/>
      <c r="H89" s="387"/>
      <c r="I89" s="1232"/>
      <c r="J89" s="1873"/>
      <c r="K89" s="3601"/>
      <c r="L89" s="2684" t="s">
        <v>27</v>
      </c>
      <c r="M89" s="2675"/>
      <c r="N89" s="53" t="e">
        <f>ROUND(SUM(N83:N88),0)</f>
        <v>#VALUE!</v>
      </c>
      <c r="O89" s="2685" t="e">
        <f>N89/N69</f>
        <v>#VALUE!</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7158</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43</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637" t="s">
        <v>441</v>
      </c>
      <c r="F94" s="3638"/>
      <c r="G94" s="3638"/>
      <c r="H94" s="3639"/>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43</v>
      </c>
      <c r="D96" s="400">
        <f>'数据-取费表'!B43</f>
        <v>6.000000000000001E-3</v>
      </c>
      <c r="E96" s="3596" t="s">
        <v>2214</v>
      </c>
      <c r="F96" s="3597"/>
      <c r="G96" s="3597"/>
      <c r="H96" s="3598"/>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7115</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165.46511627906978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4254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0" t="s">
        <v>448</v>
      </c>
      <c r="B101" s="3641"/>
      <c r="C101" s="3641"/>
      <c r="D101" s="3641"/>
      <c r="E101" s="3641"/>
      <c r="F101" s="3641"/>
      <c r="G101" s="3641"/>
      <c r="H101" s="3641"/>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599" t="s">
        <v>423</v>
      </c>
      <c r="B102" s="3600"/>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7158</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43</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652" t="s">
        <v>2691</v>
      </c>
      <c r="H108" s="3653"/>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0" t="s">
        <v>456</v>
      </c>
      <c r="F109" s="3597"/>
      <c r="G109" s="3597"/>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0" t="s">
        <v>458</v>
      </c>
      <c r="F110" s="3597"/>
      <c r="G110" s="3597"/>
      <c r="H110" s="3598"/>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43</v>
      </c>
      <c r="D111" s="400">
        <f>'数据-取费表'!B43</f>
        <v>6.000000000000001E-3</v>
      </c>
      <c r="E111" s="3596" t="s">
        <v>2214</v>
      </c>
      <c r="F111" s="3597"/>
      <c r="G111" s="3597"/>
      <c r="H111" s="3598"/>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0" t="s">
        <v>2233</v>
      </c>
      <c r="F112" s="3597"/>
      <c r="G112" s="3597"/>
      <c r="H112" s="3598"/>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7115</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165.46511627906978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4254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60" zoomScaleNormal="95" workbookViewId="0">
      <selection activeCell="M17" sqref="M1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6087</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2622</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12536</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836</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92" t="s">
        <v>505</v>
      </c>
      <c r="D6" s="3693"/>
      <c r="E6" s="3692" t="s">
        <v>506</v>
      </c>
      <c r="F6" s="3693"/>
      <c r="G6" s="3692" t="s">
        <v>507</v>
      </c>
      <c r="H6" s="3693"/>
      <c r="I6" s="3692" t="s">
        <v>508</v>
      </c>
      <c r="J6" s="3693"/>
      <c r="K6" s="491" t="s">
        <v>509</v>
      </c>
      <c r="L6" s="1967"/>
      <c r="M6" s="1966"/>
      <c r="N6" s="1966"/>
      <c r="O6" s="1968"/>
      <c r="P6" s="3694" t="s">
        <v>510</v>
      </c>
      <c r="Q6" s="3695"/>
      <c r="R6" s="3678" t="s">
        <v>506</v>
      </c>
      <c r="S6" s="3679"/>
      <c r="T6" s="3678" t="s">
        <v>507</v>
      </c>
      <c r="U6" s="3679"/>
      <c r="V6" s="3700" t="s">
        <v>508</v>
      </c>
      <c r="W6" s="3700"/>
      <c r="X6" s="1455"/>
      <c r="Y6" s="3678" t="s">
        <v>510</v>
      </c>
      <c r="Z6" s="3679"/>
      <c r="AA6" s="3673" t="s">
        <v>506</v>
      </c>
      <c r="AB6" s="3674" t="s">
        <v>507</v>
      </c>
      <c r="AC6" s="3673" t="s">
        <v>508</v>
      </c>
    </row>
    <row r="7" spans="1:30" ht="20.25">
      <c r="A7" s="492"/>
      <c r="B7" s="493"/>
      <c r="C7" s="3703" t="s">
        <v>2630</v>
      </c>
      <c r="D7" s="3704"/>
      <c r="E7" s="3703" t="str">
        <f>土地案例!A9</f>
        <v>宋固街(民富路)西、顺昌路(北岗路)北</v>
      </c>
      <c r="F7" s="3704"/>
      <c r="G7" s="3703" t="str">
        <f>土地案例!A31</f>
        <v>槐荫街南、弯月路西</v>
      </c>
      <c r="H7" s="3704"/>
      <c r="I7" s="3703" t="str">
        <f>土地案例!A18</f>
        <v>关庙街(风茂街)南、民和北街(许庄路)西</v>
      </c>
      <c r="J7" s="3704"/>
      <c r="K7" s="491"/>
      <c r="L7" s="1967"/>
      <c r="M7" s="1966"/>
      <c r="N7" s="1966"/>
      <c r="O7" s="1968"/>
      <c r="P7" s="3696"/>
      <c r="Q7" s="3697"/>
      <c r="R7" s="3680"/>
      <c r="S7" s="3681"/>
      <c r="T7" s="3680"/>
      <c r="U7" s="3681"/>
      <c r="V7" s="3700"/>
      <c r="W7" s="3700"/>
      <c r="X7" s="1455"/>
      <c r="Y7" s="3680"/>
      <c r="Z7" s="3681"/>
      <c r="AA7" s="3674"/>
      <c r="AB7" s="3674"/>
      <c r="AC7" s="3674"/>
    </row>
    <row r="8" spans="1:30" ht="21" thickBot="1">
      <c r="A8" s="492"/>
      <c r="B8" s="493"/>
      <c r="C8" s="3705" t="s">
        <v>2634</v>
      </c>
      <c r="D8" s="3706"/>
      <c r="E8" s="3705" t="s">
        <v>2634</v>
      </c>
      <c r="F8" s="3706"/>
      <c r="G8" s="3701" t="s">
        <v>2634</v>
      </c>
      <c r="H8" s="3702"/>
      <c r="I8" s="3701" t="s">
        <v>2634</v>
      </c>
      <c r="J8" s="3702"/>
      <c r="K8" s="491" t="s">
        <v>511</v>
      </c>
      <c r="L8" s="1967"/>
      <c r="M8" s="1966"/>
      <c r="N8" s="1966"/>
      <c r="O8" s="1968"/>
      <c r="P8" s="3698"/>
      <c r="Q8" s="3699"/>
      <c r="R8" s="3680"/>
      <c r="S8" s="3681"/>
      <c r="T8" s="3682"/>
      <c r="U8" s="3683"/>
      <c r="V8" s="3700"/>
      <c r="W8" s="3700"/>
      <c r="X8" s="1455"/>
      <c r="Y8" s="3682"/>
      <c r="Z8" s="3683"/>
      <c r="AA8" s="3675"/>
      <c r="AB8" s="3675"/>
      <c r="AC8" s="3675"/>
    </row>
    <row r="9" spans="1:30" s="1165" customFormat="1" ht="21" thickBot="1">
      <c r="A9" s="2548"/>
      <c r="B9" s="2555" t="s">
        <v>512</v>
      </c>
      <c r="C9" s="2547">
        <f>'数据-取费表'!B2</f>
        <v>44901</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676" t="s">
        <v>513</v>
      </c>
      <c r="Q9" s="3685"/>
      <c r="R9" s="1456" t="s">
        <v>8</v>
      </c>
      <c r="S9" s="1457">
        <f t="shared" ref="S9:S17" si="0">F9</f>
        <v>99.5</v>
      </c>
      <c r="T9" s="1456" t="s">
        <v>8</v>
      </c>
      <c r="U9" s="1457">
        <f t="shared" ref="U9:U17" si="1">H9</f>
        <v>96.5</v>
      </c>
      <c r="V9" s="1456" t="s">
        <v>8</v>
      </c>
      <c r="W9" s="1457">
        <f t="shared" ref="W9:W17" si="2">J9</f>
        <v>98</v>
      </c>
      <c r="X9" s="1458"/>
      <c r="Y9" s="3676" t="s">
        <v>513</v>
      </c>
      <c r="Z9" s="3677"/>
      <c r="AA9" s="1459">
        <f>D9/F9</f>
        <v>1.0050251256281406</v>
      </c>
      <c r="AB9" s="1459">
        <f>D9/H9</f>
        <v>1.0362694300518134</v>
      </c>
      <c r="AC9" s="1459">
        <f>D9/J9</f>
        <v>1.0204081632653061</v>
      </c>
    </row>
    <row r="10" spans="1:30" s="1165" customFormat="1" ht="21" thickBot="1">
      <c r="A10" s="2549"/>
      <c r="B10" s="2556" t="s">
        <v>514</v>
      </c>
      <c r="C10" s="828" t="s">
        <v>515</v>
      </c>
      <c r="D10" s="497">
        <v>100</v>
      </c>
      <c r="E10" s="502" t="s">
        <v>3380</v>
      </c>
      <c r="F10" s="499">
        <f>SUMIF(74:74,E10,75:75)-SUMIF(74:74,C10,75:75)+100</f>
        <v>100</v>
      </c>
      <c r="G10" s="3472" t="s">
        <v>3385</v>
      </c>
      <c r="H10" s="497">
        <f>SUMIF(74:74,G10,75:75)-SUMIF(74:74,C10,75:75)+100</f>
        <v>100</v>
      </c>
      <c r="I10" s="3472" t="s">
        <v>3390</v>
      </c>
      <c r="J10" s="497">
        <f>SUMIF(74:74,I10,75:75)-SUMIF(74:74,C10,75:75)+100</f>
        <v>100</v>
      </c>
      <c r="K10" s="501"/>
      <c r="L10" s="1969"/>
      <c r="M10" s="1966"/>
      <c r="N10" s="1966"/>
      <c r="O10" s="1970"/>
      <c r="P10" s="3676" t="s">
        <v>516</v>
      </c>
      <c r="Q10" s="3677"/>
      <c r="R10" s="1456" t="s">
        <v>8</v>
      </c>
      <c r="S10" s="1457">
        <f t="shared" si="0"/>
        <v>100</v>
      </c>
      <c r="T10" s="1456" t="s">
        <v>8</v>
      </c>
      <c r="U10" s="1457">
        <f t="shared" si="1"/>
        <v>100</v>
      </c>
      <c r="V10" s="1456" t="s">
        <v>8</v>
      </c>
      <c r="W10" s="1457">
        <f t="shared" si="2"/>
        <v>100</v>
      </c>
      <c r="X10" s="1458"/>
      <c r="Y10" s="3676" t="s">
        <v>516</v>
      </c>
      <c r="Z10" s="3677"/>
      <c r="AA10" s="1459">
        <f t="shared" ref="AA10:AA47" si="3">D10/F10</f>
        <v>1</v>
      </c>
      <c r="AB10" s="1459">
        <f t="shared" ref="AB10:AB47" si="4">D10/H10</f>
        <v>1</v>
      </c>
      <c r="AC10" s="1459">
        <f t="shared" ref="AC10:AC47" si="5">D10/J10</f>
        <v>1</v>
      </c>
    </row>
    <row r="11" spans="1:30" s="1165" customFormat="1" ht="20.25">
      <c r="A11" s="2550"/>
      <c r="B11" s="2557" t="s">
        <v>2472</v>
      </c>
      <c r="C11" s="3477" t="s">
        <v>3399</v>
      </c>
      <c r="D11" s="252">
        <v>100</v>
      </c>
      <c r="E11" s="3478" t="s">
        <v>901</v>
      </c>
      <c r="F11" s="252">
        <f>SUMIF(76:76,E11,77:77)-SUMIF(76:76,C11,77:77)+100</f>
        <v>105</v>
      </c>
      <c r="G11" s="3478" t="s">
        <v>3401</v>
      </c>
      <c r="H11" s="252">
        <f>SUMIF(76:76,G11,77:77)-SUMIF(76:76,C11,77:77)+100</f>
        <v>100</v>
      </c>
      <c r="I11" s="3478" t="s">
        <v>3402</v>
      </c>
      <c r="J11" s="252">
        <f>SUMIF(76:76,I11,77:77)-SUMIF(76:76,C11,77:77)+100</f>
        <v>100</v>
      </c>
      <c r="K11" s="501"/>
      <c r="L11" s="1969"/>
      <c r="M11" s="1966"/>
      <c r="N11" s="1966"/>
      <c r="O11" s="1971"/>
      <c r="P11" s="3684" t="s">
        <v>518</v>
      </c>
      <c r="Q11" s="1096" t="str">
        <f t="shared" ref="Q11:Q17" si="6">B11</f>
        <v>用途</v>
      </c>
      <c r="R11" s="1456" t="s">
        <v>8</v>
      </c>
      <c r="S11" s="1457">
        <f t="shared" si="0"/>
        <v>105</v>
      </c>
      <c r="T11" s="1456" t="s">
        <v>8</v>
      </c>
      <c r="U11" s="1457">
        <f t="shared" si="1"/>
        <v>100</v>
      </c>
      <c r="V11" s="1456" t="s">
        <v>8</v>
      </c>
      <c r="W11" s="1457">
        <f t="shared" si="2"/>
        <v>100</v>
      </c>
      <c r="X11" s="1458"/>
      <c r="Y11" s="3636" t="s">
        <v>519</v>
      </c>
      <c r="Z11" s="1095" t="str">
        <f t="shared" ref="Z11:Z17" si="7">Q11</f>
        <v>用途</v>
      </c>
      <c r="AA11" s="1459">
        <f t="shared" si="3"/>
        <v>0.95238095238095233</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84"/>
      <c r="Q12" s="1096" t="str">
        <f t="shared" si="6"/>
        <v>土地使用年限（年）</v>
      </c>
      <c r="R12" s="1456" t="s">
        <v>8</v>
      </c>
      <c r="S12" s="1457">
        <f t="shared" si="0"/>
        <v>102</v>
      </c>
      <c r="T12" s="1456" t="s">
        <v>8</v>
      </c>
      <c r="U12" s="1457">
        <f t="shared" si="1"/>
        <v>102</v>
      </c>
      <c r="V12" s="1456" t="s">
        <v>8</v>
      </c>
      <c r="W12" s="1457">
        <f t="shared" si="2"/>
        <v>102</v>
      </c>
      <c r="X12" s="1458"/>
      <c r="Y12" s="3636"/>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3.51</v>
      </c>
      <c r="D13" s="253">
        <v>100</v>
      </c>
      <c r="E13" s="510">
        <v>3.65</v>
      </c>
      <c r="F13" s="253">
        <f>LOOKUP(E13,81:81,82:82)-LOOKUP(C13,81:81,82:82)+100</f>
        <v>100</v>
      </c>
      <c r="G13" s="511">
        <v>3.6</v>
      </c>
      <c r="H13" s="253">
        <f>LOOKUP(G13,81:81,82:82)-LOOKUP(C13,81:81,82:82)+100</f>
        <v>100</v>
      </c>
      <c r="I13" s="510">
        <v>4.2</v>
      </c>
      <c r="J13" s="253">
        <f>LOOKUP(I13,81:81,82:82)-LOOKUP(C13,81:81,82:82)+100</f>
        <v>98</v>
      </c>
      <c r="K13" s="512">
        <v>2</v>
      </c>
      <c r="L13" s="1974"/>
      <c r="M13" s="1966"/>
      <c r="N13" s="1966"/>
      <c r="O13" s="1975"/>
      <c r="P13" s="3684"/>
      <c r="Q13" s="1096" t="str">
        <f t="shared" si="6"/>
        <v>容积率</v>
      </c>
      <c r="R13" s="1456" t="s">
        <v>8</v>
      </c>
      <c r="S13" s="1457">
        <f t="shared" si="0"/>
        <v>100</v>
      </c>
      <c r="T13" s="1456" t="s">
        <v>8</v>
      </c>
      <c r="U13" s="1457">
        <f t="shared" si="1"/>
        <v>100</v>
      </c>
      <c r="V13" s="1456" t="s">
        <v>8</v>
      </c>
      <c r="W13" s="1457">
        <f t="shared" si="2"/>
        <v>98</v>
      </c>
      <c r="X13" s="1458"/>
      <c r="Y13" s="3636"/>
      <c r="Z13" s="1095" t="str">
        <f t="shared" si="7"/>
        <v>容积率</v>
      </c>
      <c r="AA13" s="1459">
        <f t="shared" si="3"/>
        <v>1</v>
      </c>
      <c r="AB13" s="1459">
        <f t="shared" si="4"/>
        <v>1</v>
      </c>
      <c r="AC13" s="1459">
        <f t="shared" si="5"/>
        <v>1.0204081632653061</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84"/>
      <c r="Q14" s="1096" t="str">
        <f t="shared" si="6"/>
        <v>配建</v>
      </c>
      <c r="R14" s="1456" t="s">
        <v>8</v>
      </c>
      <c r="S14" s="1457">
        <f t="shared" si="0"/>
        <v>100</v>
      </c>
      <c r="T14" s="1456" t="s">
        <v>8</v>
      </c>
      <c r="U14" s="1457">
        <f t="shared" si="1"/>
        <v>100</v>
      </c>
      <c r="V14" s="1456" t="s">
        <v>8</v>
      </c>
      <c r="W14" s="1457">
        <f t="shared" si="2"/>
        <v>100</v>
      </c>
      <c r="X14" s="1458"/>
      <c r="Y14" s="3636"/>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84"/>
      <c r="Q15" s="1096">
        <f t="shared" si="6"/>
        <v>111</v>
      </c>
      <c r="R15" s="1456" t="s">
        <v>8</v>
      </c>
      <c r="S15" s="1457">
        <f t="shared" si="0"/>
        <v>100</v>
      </c>
      <c r="T15" s="1456" t="s">
        <v>8</v>
      </c>
      <c r="U15" s="1457">
        <f t="shared" si="1"/>
        <v>100</v>
      </c>
      <c r="V15" s="1456" t="s">
        <v>8</v>
      </c>
      <c r="W15" s="1457">
        <f t="shared" si="2"/>
        <v>100</v>
      </c>
      <c r="X15" s="1458"/>
      <c r="Y15" s="3636"/>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84"/>
      <c r="Q16" s="1096">
        <f t="shared" si="6"/>
        <v>111</v>
      </c>
      <c r="R16" s="1456" t="s">
        <v>8</v>
      </c>
      <c r="S16" s="1457">
        <f t="shared" si="0"/>
        <v>100</v>
      </c>
      <c r="T16" s="1456" t="s">
        <v>8</v>
      </c>
      <c r="U16" s="1457">
        <f t="shared" si="1"/>
        <v>100</v>
      </c>
      <c r="V16" s="1456" t="s">
        <v>8</v>
      </c>
      <c r="W16" s="1457">
        <f t="shared" si="2"/>
        <v>100</v>
      </c>
      <c r="X16" s="1458"/>
      <c r="Y16" s="3636"/>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86" t="s">
        <v>523</v>
      </c>
      <c r="Q17" s="1460" t="str">
        <f t="shared" si="6"/>
        <v>居住社区成熟度</v>
      </c>
      <c r="R17" s="1461" t="s">
        <v>8</v>
      </c>
      <c r="S17" s="1462">
        <f t="shared" si="0"/>
        <v>100</v>
      </c>
      <c r="T17" s="1461" t="s">
        <v>8</v>
      </c>
      <c r="U17" s="1462">
        <f t="shared" si="1"/>
        <v>100</v>
      </c>
      <c r="V17" s="1461" t="s">
        <v>8</v>
      </c>
      <c r="W17" s="1462">
        <f t="shared" si="2"/>
        <v>100</v>
      </c>
      <c r="X17" s="1455"/>
      <c r="Y17" s="3686" t="s">
        <v>523</v>
      </c>
      <c r="Z17" s="1463" t="str">
        <f t="shared" si="7"/>
        <v>居住社区成熟度</v>
      </c>
      <c r="AA17" s="1464">
        <f t="shared" si="3"/>
        <v>1</v>
      </c>
      <c r="AB17" s="1464">
        <f t="shared" si="4"/>
        <v>1</v>
      </c>
      <c r="AC17" s="1464">
        <f t="shared" si="5"/>
        <v>1</v>
      </c>
    </row>
    <row r="18" spans="1:29" ht="20.25">
      <c r="A18" s="509"/>
      <c r="B18" s="530"/>
      <c r="C18" s="3469" t="s">
        <v>3382</v>
      </c>
      <c r="D18" s="534"/>
      <c r="E18" s="3463" t="s">
        <v>3382</v>
      </c>
      <c r="F18" s="532"/>
      <c r="G18" s="3473" t="s">
        <v>3382</v>
      </c>
      <c r="H18" s="536"/>
      <c r="I18" s="3463" t="s">
        <v>3382</v>
      </c>
      <c r="J18" s="532"/>
      <c r="K18" s="508"/>
      <c r="L18" s="1976"/>
      <c r="M18" s="1966"/>
      <c r="N18" s="1966"/>
      <c r="O18" s="1975"/>
      <c r="P18" s="3687"/>
      <c r="Q18" s="1460"/>
      <c r="R18" s="1461"/>
      <c r="S18" s="1462"/>
      <c r="T18" s="1461"/>
      <c r="U18" s="1462"/>
      <c r="V18" s="1461"/>
      <c r="W18" s="1462"/>
      <c r="X18" s="1455"/>
      <c r="Y18" s="3687"/>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87"/>
      <c r="Q19" s="1460" t="str">
        <f>B19</f>
        <v>商业繁华度</v>
      </c>
      <c r="R19" s="1461" t="s">
        <v>8</v>
      </c>
      <c r="S19" s="1462">
        <f>F19</f>
        <v>100</v>
      </c>
      <c r="T19" s="1461" t="s">
        <v>8</v>
      </c>
      <c r="U19" s="1462">
        <f>H19</f>
        <v>100</v>
      </c>
      <c r="V19" s="1461" t="s">
        <v>8</v>
      </c>
      <c r="W19" s="1462">
        <f>J19</f>
        <v>100</v>
      </c>
      <c r="X19" s="1455"/>
      <c r="Y19" s="3687"/>
      <c r="Z19" s="1463" t="str">
        <f>Q19</f>
        <v>商业繁华度</v>
      </c>
      <c r="AA19" s="1464">
        <f t="shared" si="3"/>
        <v>1</v>
      </c>
      <c r="AB19" s="1464">
        <f t="shared" si="4"/>
        <v>1</v>
      </c>
      <c r="AC19" s="1464">
        <f t="shared" si="5"/>
        <v>1</v>
      </c>
    </row>
    <row r="20" spans="1:29" ht="20.25">
      <c r="A20" s="509"/>
      <c r="B20" s="543"/>
      <c r="C20" s="3470" t="s">
        <v>3382</v>
      </c>
      <c r="D20" s="540"/>
      <c r="E20" s="3464" t="s">
        <v>3382</v>
      </c>
      <c r="F20" s="536"/>
      <c r="G20" s="3474" t="s">
        <v>3382</v>
      </c>
      <c r="H20" s="532"/>
      <c r="I20" s="3464" t="s">
        <v>3382</v>
      </c>
      <c r="J20" s="532"/>
      <c r="K20" s="508"/>
      <c r="L20" s="1976"/>
      <c r="M20" s="1966"/>
      <c r="N20" s="1966"/>
      <c r="O20" s="1975"/>
      <c r="P20" s="3687"/>
      <c r="Q20" s="1460"/>
      <c r="R20" s="1461"/>
      <c r="S20" s="1462"/>
      <c r="T20" s="1461"/>
      <c r="U20" s="1462"/>
      <c r="V20" s="1461"/>
      <c r="W20" s="1462"/>
      <c r="X20" s="1455"/>
      <c r="Y20" s="3687"/>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87"/>
      <c r="Q21" s="1460" t="str">
        <f>B21</f>
        <v>办公集聚程度</v>
      </c>
      <c r="R21" s="1461" t="s">
        <v>8</v>
      </c>
      <c r="S21" s="1462">
        <f>F21</f>
        <v>100</v>
      </c>
      <c r="T21" s="1461" t="s">
        <v>8</v>
      </c>
      <c r="U21" s="1462">
        <f>H21</f>
        <v>100</v>
      </c>
      <c r="V21" s="1461" t="s">
        <v>8</v>
      </c>
      <c r="W21" s="1462">
        <f>J21</f>
        <v>100</v>
      </c>
      <c r="X21" s="1455"/>
      <c r="Y21" s="3687"/>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687"/>
      <c r="Q22" s="1460"/>
      <c r="R22" s="1461"/>
      <c r="S22" s="1462"/>
      <c r="T22" s="1461"/>
      <c r="U22" s="1462"/>
      <c r="V22" s="1461"/>
      <c r="W22" s="1462"/>
      <c r="X22" s="1455"/>
      <c r="Y22" s="3687"/>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87"/>
      <c r="Q23" s="1460" t="str">
        <f>B23</f>
        <v>交通便捷度</v>
      </c>
      <c r="R23" s="1461" t="s">
        <v>8</v>
      </c>
      <c r="S23" s="1462">
        <f>F23</f>
        <v>100</v>
      </c>
      <c r="T23" s="1461" t="s">
        <v>8</v>
      </c>
      <c r="U23" s="1462">
        <f>H23</f>
        <v>100</v>
      </c>
      <c r="V23" s="1461" t="s">
        <v>8</v>
      </c>
      <c r="W23" s="1462">
        <f>J23</f>
        <v>100</v>
      </c>
      <c r="X23" s="1455"/>
      <c r="Y23" s="3687"/>
      <c r="Z23" s="1463" t="str">
        <f>Q23</f>
        <v>交通便捷度</v>
      </c>
      <c r="AA23" s="1464">
        <f t="shared" si="3"/>
        <v>1</v>
      </c>
      <c r="AB23" s="1464">
        <f t="shared" si="4"/>
        <v>1</v>
      </c>
      <c r="AC23" s="1464">
        <f t="shared" si="5"/>
        <v>1</v>
      </c>
    </row>
    <row r="24" spans="1:29" ht="20.25">
      <c r="A24" s="509"/>
      <c r="B24" s="555"/>
      <c r="C24" s="3469" t="s">
        <v>3382</v>
      </c>
      <c r="D24" s="534"/>
      <c r="E24" s="535" t="s">
        <v>3381</v>
      </c>
      <c r="F24" s="532"/>
      <c r="G24" s="3473" t="s">
        <v>3382</v>
      </c>
      <c r="H24" s="532"/>
      <c r="I24" s="3463" t="s">
        <v>3382</v>
      </c>
      <c r="J24" s="532"/>
      <c r="K24" s="508"/>
      <c r="L24" s="1976"/>
      <c r="M24" s="1966"/>
      <c r="N24" s="1966"/>
      <c r="O24" s="1975"/>
      <c r="P24" s="3687"/>
      <c r="Q24" s="1460"/>
      <c r="R24" s="1461"/>
      <c r="S24" s="1462"/>
      <c r="T24" s="1461"/>
      <c r="U24" s="1462"/>
      <c r="V24" s="1461"/>
      <c r="W24" s="1462"/>
      <c r="X24" s="1455"/>
      <c r="Y24" s="3687"/>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87"/>
      <c r="Q25" s="1460" t="str">
        <f t="shared" ref="Q25:Q39" si="8">B25</f>
        <v>区域土地利用方向</v>
      </c>
      <c r="R25" s="1461" t="s">
        <v>8</v>
      </c>
      <c r="S25" s="1462">
        <f>F25</f>
        <v>100</v>
      </c>
      <c r="T25" s="1461" t="s">
        <v>8</v>
      </c>
      <c r="U25" s="1462">
        <f>H25</f>
        <v>100</v>
      </c>
      <c r="V25" s="1461" t="s">
        <v>8</v>
      </c>
      <c r="W25" s="1462">
        <f>J25</f>
        <v>100</v>
      </c>
      <c r="X25" s="1455"/>
      <c r="Y25" s="3687"/>
      <c r="Z25" s="1463" t="str">
        <f>Q25</f>
        <v>区域土地利用方向</v>
      </c>
      <c r="AA25" s="1464">
        <f t="shared" si="3"/>
        <v>1</v>
      </c>
      <c r="AB25" s="1464">
        <f t="shared" si="4"/>
        <v>1</v>
      </c>
      <c r="AC25" s="1464">
        <f t="shared" si="5"/>
        <v>1</v>
      </c>
    </row>
    <row r="26" spans="1:29" ht="20.25">
      <c r="A26" s="492"/>
      <c r="B26" s="975"/>
      <c r="C26" s="3469" t="s">
        <v>3382</v>
      </c>
      <c r="D26" s="534"/>
      <c r="E26" s="3463" t="s">
        <v>3382</v>
      </c>
      <c r="F26" s="532"/>
      <c r="G26" s="3473" t="s">
        <v>3382</v>
      </c>
      <c r="H26" s="532"/>
      <c r="I26" s="3463" t="s">
        <v>3382</v>
      </c>
      <c r="J26" s="532"/>
      <c r="K26" s="508"/>
      <c r="L26" s="1976"/>
      <c r="M26" s="1966"/>
      <c r="N26" s="1966"/>
      <c r="O26" s="1975"/>
      <c r="P26" s="3687"/>
      <c r="Q26" s="1460"/>
      <c r="R26" s="1461"/>
      <c r="S26" s="1462"/>
      <c r="T26" s="1461"/>
      <c r="U26" s="1462"/>
      <c r="V26" s="1461"/>
      <c r="W26" s="1462"/>
      <c r="X26" s="1455"/>
      <c r="Y26" s="3687"/>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87"/>
      <c r="Q27" s="1460" t="str">
        <f t="shared" si="8"/>
        <v>自然及人文环境状况</v>
      </c>
      <c r="R27" s="1461" t="s">
        <v>8</v>
      </c>
      <c r="S27" s="1462">
        <f>F27</f>
        <v>100</v>
      </c>
      <c r="T27" s="1461" t="s">
        <v>8</v>
      </c>
      <c r="U27" s="1462">
        <f>H27</f>
        <v>100</v>
      </c>
      <c r="V27" s="1461" t="s">
        <v>8</v>
      </c>
      <c r="W27" s="1462">
        <f>J27</f>
        <v>100</v>
      </c>
      <c r="X27" s="1455"/>
      <c r="Y27" s="3687"/>
      <c r="Z27" s="1463" t="str">
        <f>Q27</f>
        <v>自然及人文环境状况</v>
      </c>
      <c r="AA27" s="1464">
        <f t="shared" si="3"/>
        <v>1</v>
      </c>
      <c r="AB27" s="1464">
        <f t="shared" si="4"/>
        <v>1</v>
      </c>
      <c r="AC27" s="1464">
        <f t="shared" si="5"/>
        <v>1</v>
      </c>
    </row>
    <row r="28" spans="1:29" ht="20.25">
      <c r="A28" s="492"/>
      <c r="B28" s="543"/>
      <c r="C28" s="3469" t="s">
        <v>3382</v>
      </c>
      <c r="D28" s="534"/>
      <c r="E28" s="3465" t="s">
        <v>3382</v>
      </c>
      <c r="F28" s="532"/>
      <c r="G28" s="3469" t="s">
        <v>3382</v>
      </c>
      <c r="H28" s="532"/>
      <c r="I28" s="3465" t="s">
        <v>3391</v>
      </c>
      <c r="J28" s="532"/>
      <c r="K28" s="508"/>
      <c r="L28" s="1976"/>
      <c r="M28" s="1966"/>
      <c r="N28" s="1966"/>
      <c r="O28" s="1975"/>
      <c r="P28" s="3687"/>
      <c r="Q28" s="1460"/>
      <c r="R28" s="1461"/>
      <c r="S28" s="1462"/>
      <c r="T28" s="1461"/>
      <c r="U28" s="1462"/>
      <c r="V28" s="1461"/>
      <c r="W28" s="1462"/>
      <c r="X28" s="1455"/>
      <c r="Y28" s="3687"/>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87"/>
      <c r="Q29" s="1096" t="str">
        <f t="shared" si="8"/>
        <v>公共配套设施</v>
      </c>
      <c r="R29" s="1456" t="s">
        <v>8</v>
      </c>
      <c r="S29" s="1457">
        <f>F29</f>
        <v>100</v>
      </c>
      <c r="T29" s="1456" t="s">
        <v>8</v>
      </c>
      <c r="U29" s="1457">
        <f>H29</f>
        <v>100</v>
      </c>
      <c r="V29" s="1456" t="s">
        <v>8</v>
      </c>
      <c r="W29" s="1457">
        <f>J29</f>
        <v>100</v>
      </c>
      <c r="X29" s="1458"/>
      <c r="Y29" s="3687"/>
      <c r="Z29" s="1095" t="str">
        <f>Q29</f>
        <v>公共配套设施</v>
      </c>
      <c r="AA29" s="1464">
        <f>D29/F29</f>
        <v>1</v>
      </c>
      <c r="AB29" s="1464">
        <f>D29/H29</f>
        <v>1</v>
      </c>
      <c r="AC29" s="1464">
        <f>D29/J29</f>
        <v>1</v>
      </c>
    </row>
    <row r="30" spans="1:29" s="1165" customFormat="1" ht="20.25">
      <c r="A30" s="554"/>
      <c r="B30" s="543"/>
      <c r="C30" s="3471" t="s">
        <v>3382</v>
      </c>
      <c r="D30" s="534"/>
      <c r="E30" s="3465" t="s">
        <v>3382</v>
      </c>
      <c r="F30" s="532"/>
      <c r="G30" s="3469" t="s">
        <v>3382</v>
      </c>
      <c r="H30" s="532"/>
      <c r="I30" s="3465" t="s">
        <v>3382</v>
      </c>
      <c r="J30" s="532"/>
      <c r="K30" s="508"/>
      <c r="L30" s="1969"/>
      <c r="M30" s="1966"/>
      <c r="N30" s="1966"/>
      <c r="O30" s="1971"/>
      <c r="P30" s="3687"/>
      <c r="Q30" s="1096"/>
      <c r="R30" s="1456"/>
      <c r="S30" s="1457"/>
      <c r="T30" s="1456"/>
      <c r="U30" s="1457"/>
      <c r="V30" s="1456"/>
      <c r="W30" s="1457"/>
      <c r="X30" s="1458"/>
      <c r="Y30" s="3687"/>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87"/>
      <c r="Q31" s="2348" t="str">
        <f t="shared" ref="Q31" si="9">B31</f>
        <v>基础设施水平</v>
      </c>
      <c r="R31" s="1456" t="s">
        <v>8</v>
      </c>
      <c r="S31" s="1457">
        <f>F31</f>
        <v>100</v>
      </c>
      <c r="T31" s="1456" t="s">
        <v>8</v>
      </c>
      <c r="U31" s="1457">
        <f>H31</f>
        <v>100</v>
      </c>
      <c r="V31" s="1456" t="s">
        <v>8</v>
      </c>
      <c r="W31" s="1457">
        <f>J31</f>
        <v>100</v>
      </c>
      <c r="X31" s="1458"/>
      <c r="Y31" s="3687"/>
      <c r="Z31" s="2347" t="str">
        <f>Q31</f>
        <v>基础设施水平</v>
      </c>
      <c r="AA31" s="1464">
        <f>D31/F31</f>
        <v>1</v>
      </c>
      <c r="AB31" s="1464">
        <f>D31/H31</f>
        <v>1</v>
      </c>
      <c r="AC31" s="1464">
        <f>D31/J31</f>
        <v>1</v>
      </c>
    </row>
    <row r="32" spans="1:29" s="1165" customFormat="1" ht="20.25">
      <c r="A32" s="554"/>
      <c r="B32" s="543"/>
      <c r="C32" s="3471" t="s">
        <v>3383</v>
      </c>
      <c r="D32" s="534"/>
      <c r="E32" s="3466" t="s">
        <v>3383</v>
      </c>
      <c r="F32" s="532"/>
      <c r="G32" s="3471" t="s">
        <v>3383</v>
      </c>
      <c r="H32" s="532"/>
      <c r="I32" s="3471" t="s">
        <v>3392</v>
      </c>
      <c r="J32" s="532"/>
      <c r="K32" s="508"/>
      <c r="L32" s="1969"/>
      <c r="M32" s="1966"/>
      <c r="N32" s="1966"/>
      <c r="O32" s="1971"/>
      <c r="P32" s="3687"/>
      <c r="Q32" s="2348"/>
      <c r="R32" s="1456"/>
      <c r="S32" s="1457"/>
      <c r="T32" s="1456"/>
      <c r="U32" s="1457"/>
      <c r="V32" s="1456"/>
      <c r="W32" s="1457"/>
      <c r="X32" s="1458"/>
      <c r="Y32" s="3687"/>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87"/>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87"/>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87"/>
      <c r="Q34" s="1460" t="str">
        <f t="shared" si="8"/>
        <v>毗邻道路的类型与等级</v>
      </c>
      <c r="R34" s="1461" t="s">
        <v>8</v>
      </c>
      <c r="S34" s="1462">
        <f t="shared" si="10"/>
        <v>100</v>
      </c>
      <c r="T34" s="1461" t="s">
        <v>8</v>
      </c>
      <c r="U34" s="1462">
        <f t="shared" si="11"/>
        <v>100</v>
      </c>
      <c r="V34" s="1461" t="s">
        <v>8</v>
      </c>
      <c r="W34" s="1462">
        <f t="shared" si="12"/>
        <v>100</v>
      </c>
      <c r="X34" s="1455"/>
      <c r="Y34" s="3687"/>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687"/>
      <c r="Q35" s="1460"/>
      <c r="R35" s="1461"/>
      <c r="S35" s="1462"/>
      <c r="T35" s="1461"/>
      <c r="U35" s="1462"/>
      <c r="V35" s="1461"/>
      <c r="W35" s="1462"/>
      <c r="X35" s="1455"/>
      <c r="Y35" s="3687"/>
      <c r="Z35" s="1463"/>
      <c r="AA35" s="1464">
        <v>1</v>
      </c>
      <c r="AB35" s="1464">
        <v>1</v>
      </c>
      <c r="AC35" s="1464">
        <v>1</v>
      </c>
    </row>
    <row r="36" spans="1:29" ht="20.25">
      <c r="A36" s="509"/>
      <c r="B36" s="559" t="s">
        <v>532</v>
      </c>
      <c r="C36" s="3468" t="s">
        <v>3384</v>
      </c>
      <c r="D36" s="552">
        <v>100</v>
      </c>
      <c r="E36" s="3467" t="s">
        <v>1385</v>
      </c>
      <c r="F36" s="517">
        <f>SUMIF(109:109,E36,110:110)-SUMIF(109:109,C36,110:110)+100</f>
        <v>98</v>
      </c>
      <c r="G36" s="3468" t="s">
        <v>3386</v>
      </c>
      <c r="H36" s="517">
        <f>SUMIF(109:109,G36,110:110)-SUMIF(109:109,C36,110:110)+100</f>
        <v>96</v>
      </c>
      <c r="I36" s="3467" t="s">
        <v>3393</v>
      </c>
      <c r="J36" s="517">
        <f>SUMIF(109:109,I36,110:110)-SUMIF(109:109,C36,110:110)+100</f>
        <v>98</v>
      </c>
      <c r="K36" s="561">
        <v>2</v>
      </c>
      <c r="L36" s="1976"/>
      <c r="M36" s="1966"/>
      <c r="N36" s="1966"/>
      <c r="O36" s="1975"/>
      <c r="P36" s="3687"/>
      <c r="Q36" s="1460" t="str">
        <f t="shared" si="8"/>
        <v>土地级别</v>
      </c>
      <c r="R36" s="1461" t="s">
        <v>8</v>
      </c>
      <c r="S36" s="1462">
        <f t="shared" si="10"/>
        <v>98</v>
      </c>
      <c r="T36" s="1461" t="s">
        <v>8</v>
      </c>
      <c r="U36" s="1462">
        <f t="shared" si="11"/>
        <v>96</v>
      </c>
      <c r="V36" s="1461" t="s">
        <v>8</v>
      </c>
      <c r="W36" s="1462">
        <f t="shared" si="12"/>
        <v>98</v>
      </c>
      <c r="X36" s="1455"/>
      <c r="Y36" s="3687"/>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87"/>
      <c r="Q37" s="1460">
        <f t="shared" si="8"/>
        <v>111</v>
      </c>
      <c r="R37" s="1461" t="s">
        <v>8</v>
      </c>
      <c r="S37" s="1462">
        <f t="shared" si="10"/>
        <v>100</v>
      </c>
      <c r="T37" s="1461" t="s">
        <v>8</v>
      </c>
      <c r="U37" s="1462">
        <f t="shared" si="11"/>
        <v>100</v>
      </c>
      <c r="V37" s="1461" t="s">
        <v>8</v>
      </c>
      <c r="W37" s="1462">
        <f t="shared" si="12"/>
        <v>100</v>
      </c>
      <c r="X37" s="1455"/>
      <c r="Y37" s="3687"/>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88" t="s">
        <v>533</v>
      </c>
      <c r="Q38" s="1460">
        <f t="shared" si="8"/>
        <v>111</v>
      </c>
      <c r="R38" s="1461" t="s">
        <v>8</v>
      </c>
      <c r="S38" s="1462">
        <f t="shared" si="10"/>
        <v>100</v>
      </c>
      <c r="T38" s="1461" t="s">
        <v>8</v>
      </c>
      <c r="U38" s="1462">
        <f t="shared" si="11"/>
        <v>100</v>
      </c>
      <c r="V38" s="1461" t="s">
        <v>8</v>
      </c>
      <c r="W38" s="1462">
        <f t="shared" si="12"/>
        <v>100</v>
      </c>
      <c r="X38" s="1455"/>
      <c r="Y38" s="3689"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89"/>
      <c r="Q39" s="1460">
        <f t="shared" si="8"/>
        <v>111</v>
      </c>
      <c r="R39" s="1465" t="s">
        <v>8</v>
      </c>
      <c r="S39" s="1466">
        <f t="shared" si="10"/>
        <v>100</v>
      </c>
      <c r="T39" s="1465" t="s">
        <v>8</v>
      </c>
      <c r="U39" s="1466">
        <f t="shared" si="11"/>
        <v>100</v>
      </c>
      <c r="V39" s="1465" t="s">
        <v>8</v>
      </c>
      <c r="W39" s="1466">
        <f t="shared" si="12"/>
        <v>100</v>
      </c>
      <c r="X39" s="1467"/>
      <c r="Y39" s="3689"/>
      <c r="Z39" s="1468">
        <f t="shared" si="13"/>
        <v>111</v>
      </c>
      <c r="AA39" s="1464">
        <f t="shared" si="3"/>
        <v>1</v>
      </c>
      <c r="AB39" s="1464">
        <f t="shared" si="4"/>
        <v>1</v>
      </c>
      <c r="AC39" s="1464">
        <f t="shared" si="5"/>
        <v>1</v>
      </c>
    </row>
    <row r="40" spans="1:29" ht="20.25">
      <c r="A40" s="2544" t="s">
        <v>2471</v>
      </c>
      <c r="B40" s="572" t="s">
        <v>535</v>
      </c>
      <c r="C40" s="573">
        <f>'数据-基础表'!A3</f>
        <v>4855.7</v>
      </c>
      <c r="D40" s="574">
        <v>100</v>
      </c>
      <c r="E40" s="573">
        <f>土地案例!D9</f>
        <v>26176.63</v>
      </c>
      <c r="F40" s="574">
        <f>LOOKUP(E40,118:118,119:119)-LOOKUP(C40,118:118,119:119)+100</f>
        <v>104</v>
      </c>
      <c r="G40" s="573">
        <f>土地案例!D31</f>
        <v>33558.800000000003</v>
      </c>
      <c r="H40" s="574">
        <f>LOOKUP(G40,118:118,119:119)-LOOKUP(C40,118:118,119:119)+100</f>
        <v>106</v>
      </c>
      <c r="I40" s="575">
        <f>土地案例!D18</f>
        <v>25523.57</v>
      </c>
      <c r="J40" s="574">
        <f>LOOKUP(I40,118:118,119:119)-LOOKUP(C40,118:118,119:119)+100</f>
        <v>104</v>
      </c>
      <c r="K40" s="558"/>
      <c r="L40" s="1976"/>
      <c r="M40" s="1966"/>
      <c r="N40" s="1966"/>
      <c r="O40" s="1975"/>
      <c r="P40" s="3689"/>
      <c r="Q40" s="1460" t="str">
        <f>B40</f>
        <v>宗地面积</v>
      </c>
      <c r="R40" s="1461" t="s">
        <v>8</v>
      </c>
      <c r="S40" s="1462">
        <f t="shared" si="10"/>
        <v>104</v>
      </c>
      <c r="T40" s="1461" t="s">
        <v>8</v>
      </c>
      <c r="U40" s="1462">
        <f t="shared" si="11"/>
        <v>106</v>
      </c>
      <c r="V40" s="1461" t="s">
        <v>8</v>
      </c>
      <c r="W40" s="1462">
        <f t="shared" si="12"/>
        <v>104</v>
      </c>
      <c r="X40" s="1455"/>
      <c r="Y40" s="3689"/>
      <c r="Z40" s="1463" t="str">
        <f t="shared" si="13"/>
        <v>宗地面积</v>
      </c>
      <c r="AA40" s="1464">
        <f t="shared" si="3"/>
        <v>0.96153846153846156</v>
      </c>
      <c r="AB40" s="1464">
        <f t="shared" si="4"/>
        <v>0.94339622641509435</v>
      </c>
      <c r="AC40" s="1464">
        <f t="shared" si="5"/>
        <v>0.96153846153846156</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689"/>
      <c r="Q41" s="1460" t="str">
        <f t="shared" ref="Q41:Q47" si="14">B41</f>
        <v>宗地形状</v>
      </c>
      <c r="R41" s="1461" t="s">
        <v>8</v>
      </c>
      <c r="S41" s="1462">
        <f t="shared" si="10"/>
        <v>100</v>
      </c>
      <c r="T41" s="1461" t="s">
        <v>8</v>
      </c>
      <c r="U41" s="1462">
        <f t="shared" si="11"/>
        <v>100</v>
      </c>
      <c r="V41" s="1461" t="s">
        <v>8</v>
      </c>
      <c r="W41" s="1462">
        <f t="shared" si="12"/>
        <v>100</v>
      </c>
      <c r="X41" s="1455"/>
      <c r="Y41" s="3689"/>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689"/>
      <c r="Q42" s="1460" t="str">
        <f t="shared" si="14"/>
        <v>临街宽度及深度</v>
      </c>
      <c r="R42" s="1461" t="s">
        <v>8</v>
      </c>
      <c r="S42" s="1462">
        <f t="shared" si="10"/>
        <v>100</v>
      </c>
      <c r="T42" s="1461" t="s">
        <v>8</v>
      </c>
      <c r="U42" s="1462">
        <f t="shared" si="11"/>
        <v>100</v>
      </c>
      <c r="V42" s="1461" t="s">
        <v>8</v>
      </c>
      <c r="W42" s="1462">
        <f t="shared" si="12"/>
        <v>100</v>
      </c>
      <c r="X42" s="1455"/>
      <c r="Y42" s="3689"/>
      <c r="Z42" s="1463" t="str">
        <f t="shared" si="13"/>
        <v>临街宽度及深度</v>
      </c>
      <c r="AA42" s="1464">
        <f t="shared" si="3"/>
        <v>1</v>
      </c>
      <c r="AB42" s="1464">
        <f t="shared" si="4"/>
        <v>1</v>
      </c>
      <c r="AC42" s="1464">
        <f t="shared" si="5"/>
        <v>1</v>
      </c>
    </row>
    <row r="43" spans="1:29" s="1165" customFormat="1" ht="20.25">
      <c r="A43" s="577"/>
      <c r="B43" s="1762" t="s">
        <v>2210</v>
      </c>
      <c r="C43" s="3475" t="s">
        <v>3387</v>
      </c>
      <c r="D43" s="253">
        <v>100</v>
      </c>
      <c r="E43" s="3475" t="s">
        <v>3388</v>
      </c>
      <c r="F43" s="517">
        <f>SUMIF(124:124,E43,125:125)-SUMIF(124:124,C43,125:125)+100</f>
        <v>96</v>
      </c>
      <c r="G43" s="3475" t="s">
        <v>3389</v>
      </c>
      <c r="H43" s="517">
        <f>SUMIF(124:124,G43,125:125)-SUMIF(124:124,C43,125:125)+100</f>
        <v>100</v>
      </c>
      <c r="I43" s="3475" t="s">
        <v>3482</v>
      </c>
      <c r="J43" s="517">
        <f>SUMIF(124:124,I43,125:125)-SUMIF(124:124,C43,125:125)+100</f>
        <v>104</v>
      </c>
      <c r="K43" s="561">
        <v>2</v>
      </c>
      <c r="L43" s="1969"/>
      <c r="M43" s="1966"/>
      <c r="N43" s="1966"/>
      <c r="O43" s="1971"/>
      <c r="P43" s="3689"/>
      <c r="Q43" s="1460" t="str">
        <f t="shared" si="14"/>
        <v>宗地开发程度</v>
      </c>
      <c r="R43" s="1456" t="s">
        <v>8</v>
      </c>
      <c r="S43" s="1457">
        <f t="shared" si="10"/>
        <v>96</v>
      </c>
      <c r="T43" s="1456" t="s">
        <v>8</v>
      </c>
      <c r="U43" s="1457">
        <f t="shared" si="11"/>
        <v>100</v>
      </c>
      <c r="V43" s="1456" t="s">
        <v>8</v>
      </c>
      <c r="W43" s="1457">
        <f t="shared" si="12"/>
        <v>104</v>
      </c>
      <c r="X43" s="1458"/>
      <c r="Y43" s="3689"/>
      <c r="Z43" s="1095" t="str">
        <f t="shared" si="13"/>
        <v>宗地开发程度</v>
      </c>
      <c r="AA43" s="1459">
        <f t="shared" si="3"/>
        <v>1.0416666666666667</v>
      </c>
      <c r="AB43" s="1459">
        <f t="shared" si="4"/>
        <v>1</v>
      </c>
      <c r="AC43" s="1459">
        <f t="shared" si="5"/>
        <v>0.96153846153846156</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689" t="s">
        <v>533</v>
      </c>
      <c r="Q44" s="1460" t="str">
        <f t="shared" si="14"/>
        <v>工程地质条件</v>
      </c>
      <c r="R44" s="1461" t="s">
        <v>8</v>
      </c>
      <c r="S44" s="1462">
        <f t="shared" si="10"/>
        <v>100</v>
      </c>
      <c r="T44" s="1461" t="s">
        <v>8</v>
      </c>
      <c r="U44" s="1462">
        <f t="shared" si="11"/>
        <v>100</v>
      </c>
      <c r="V44" s="1461" t="s">
        <v>8</v>
      </c>
      <c r="W44" s="1462">
        <f t="shared" si="12"/>
        <v>100</v>
      </c>
      <c r="X44" s="1455"/>
      <c r="Y44" s="3689"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89"/>
      <c r="Q45" s="1460">
        <f t="shared" si="14"/>
        <v>111</v>
      </c>
      <c r="R45" s="1461" t="s">
        <v>8</v>
      </c>
      <c r="S45" s="1462">
        <f t="shared" si="10"/>
        <v>100</v>
      </c>
      <c r="T45" s="1461" t="s">
        <v>8</v>
      </c>
      <c r="U45" s="1462">
        <f t="shared" si="11"/>
        <v>100</v>
      </c>
      <c r="V45" s="1461" t="s">
        <v>8</v>
      </c>
      <c r="W45" s="1462">
        <f t="shared" si="12"/>
        <v>100</v>
      </c>
      <c r="X45" s="1455"/>
      <c r="Y45" s="3689"/>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89"/>
      <c r="Q46" s="1460">
        <f t="shared" si="14"/>
        <v>111</v>
      </c>
      <c r="R46" s="1461" t="s">
        <v>8</v>
      </c>
      <c r="S46" s="1462">
        <f t="shared" si="10"/>
        <v>100</v>
      </c>
      <c r="T46" s="1461" t="s">
        <v>8</v>
      </c>
      <c r="U46" s="1462">
        <f t="shared" si="11"/>
        <v>100</v>
      </c>
      <c r="V46" s="1461" t="s">
        <v>8</v>
      </c>
      <c r="W46" s="1462">
        <f t="shared" si="12"/>
        <v>100</v>
      </c>
      <c r="X46" s="1455"/>
      <c r="Y46" s="3689"/>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89"/>
      <c r="Q47" s="1460">
        <f t="shared" si="14"/>
        <v>111</v>
      </c>
      <c r="R47" s="1465" t="s">
        <v>8</v>
      </c>
      <c r="S47" s="1466">
        <f t="shared" si="10"/>
        <v>100</v>
      </c>
      <c r="T47" s="1465" t="s">
        <v>8</v>
      </c>
      <c r="U47" s="1466">
        <f t="shared" si="11"/>
        <v>100</v>
      </c>
      <c r="V47" s="1465" t="s">
        <v>8</v>
      </c>
      <c r="W47" s="1466">
        <f t="shared" si="12"/>
        <v>100</v>
      </c>
      <c r="X47" s="1467"/>
      <c r="Y47" s="3689"/>
      <c r="Z47" s="1468">
        <f t="shared" si="13"/>
        <v>111</v>
      </c>
      <c r="AA47" s="1464">
        <f t="shared" si="3"/>
        <v>1</v>
      </c>
      <c r="AB47" s="1464">
        <f t="shared" si="4"/>
        <v>1</v>
      </c>
      <c r="AC47" s="1464">
        <f t="shared" si="5"/>
        <v>1</v>
      </c>
    </row>
    <row r="48" spans="1:29" ht="20.25">
      <c r="A48" s="584" t="s">
        <v>539</v>
      </c>
      <c r="B48" s="585" t="s">
        <v>3464</v>
      </c>
      <c r="C48" s="586" t="s">
        <v>1</v>
      </c>
      <c r="D48" s="587"/>
      <c r="E48" s="588">
        <v>3875</v>
      </c>
      <c r="F48" s="589"/>
      <c r="G48" s="590">
        <v>3778</v>
      </c>
      <c r="H48" s="591"/>
      <c r="I48" s="588">
        <v>3642</v>
      </c>
      <c r="J48" s="591"/>
      <c r="K48" s="1248"/>
      <c r="L48" s="1978"/>
      <c r="M48" s="1966"/>
      <c r="N48" s="1966"/>
      <c r="O48" s="1979"/>
      <c r="P48" s="3684" t="str">
        <f>A48</f>
        <v>成交单价</v>
      </c>
      <c r="Q48" s="3684"/>
      <c r="R48" s="3700">
        <f>E48</f>
        <v>3875</v>
      </c>
      <c r="S48" s="3700"/>
      <c r="T48" s="3700">
        <f>G48</f>
        <v>3778</v>
      </c>
      <c r="U48" s="3700"/>
      <c r="V48" s="3700">
        <f>I48</f>
        <v>3642</v>
      </c>
      <c r="W48" s="3700"/>
      <c r="X48" s="1450"/>
      <c r="Y48" s="1469"/>
      <c r="Z48" s="1450"/>
      <c r="AA48" s="1450"/>
      <c r="AB48" s="1450"/>
      <c r="AC48" s="1450"/>
    </row>
    <row r="49" spans="1:29" ht="21" thickBot="1">
      <c r="A49" s="592" t="s">
        <v>2409</v>
      </c>
      <c r="B49" s="593"/>
      <c r="C49" s="594">
        <f>R50</f>
        <v>3665</v>
      </c>
      <c r="D49" s="2919" t="s">
        <v>2700</v>
      </c>
      <c r="E49" s="594">
        <f>R49</f>
        <v>3716</v>
      </c>
      <c r="F49" s="2920"/>
      <c r="G49" s="595">
        <f>T49</f>
        <v>3772</v>
      </c>
      <c r="H49" s="2920"/>
      <c r="I49" s="594">
        <f>V49</f>
        <v>3507</v>
      </c>
      <c r="J49" s="2920"/>
      <c r="K49" s="2921">
        <f>F49+H49+J49</f>
        <v>0</v>
      </c>
      <c r="L49" s="1978"/>
      <c r="M49" s="1966"/>
      <c r="N49" s="1966"/>
      <c r="O49" s="1979"/>
      <c r="P49" s="3684" t="str">
        <f>A49</f>
        <v>比较价格（元/平方米）</v>
      </c>
      <c r="Q49" s="3684"/>
      <c r="R49" s="3708">
        <f>ROUND(PRODUCT(R48,AA9:AA47),0)</f>
        <v>3716</v>
      </c>
      <c r="S49" s="3708"/>
      <c r="T49" s="3708">
        <f>ROUND(PRODUCT(T48,AB9:AB47),0)</f>
        <v>3772</v>
      </c>
      <c r="U49" s="3708"/>
      <c r="V49" s="3708">
        <f>ROUND(PRODUCT(V48,AC9:AC47),0)</f>
        <v>3507</v>
      </c>
      <c r="W49" s="3708"/>
      <c r="X49" s="1450"/>
      <c r="Y49" s="1450"/>
      <c r="Z49" s="1450"/>
      <c r="AA49" s="1450"/>
      <c r="AB49" s="1450"/>
      <c r="AC49" s="1450"/>
    </row>
    <row r="50" spans="1:29" ht="21" thickBot="1">
      <c r="A50" s="596" t="s">
        <v>2636</v>
      </c>
      <c r="B50" s="597"/>
      <c r="C50" s="598">
        <f>R50</f>
        <v>3665</v>
      </c>
      <c r="D50" s="598"/>
      <c r="E50" s="598"/>
      <c r="F50" s="598"/>
      <c r="G50" s="598"/>
      <c r="H50" s="598"/>
      <c r="I50" s="598"/>
      <c r="J50" s="598"/>
      <c r="K50" s="1249"/>
      <c r="L50" s="1978"/>
      <c r="M50" s="1966"/>
      <c r="N50" s="1966"/>
      <c r="O50" s="1979"/>
      <c r="P50" s="3690" t="str">
        <f>A50</f>
        <v>估价对象XX用房的比较价格（楼面单价，元/平方米）</v>
      </c>
      <c r="Q50" s="3691"/>
      <c r="R50" s="3707">
        <f>ROUND(IF(D49="简单平均",AVERAGE(R49:W49),R49*F49+T49*H49+V49*J49),0)</f>
        <v>3665</v>
      </c>
      <c r="S50" s="3707"/>
      <c r="T50" s="3707"/>
      <c r="U50" s="3707"/>
      <c r="V50" s="3707"/>
      <c r="W50" s="3707"/>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4.2787944025834301E-2</v>
      </c>
      <c r="F53" s="602" t="str">
        <f>IF(OR(E53&gt;=0.3,E53&lt;=-0.3),"超过30%","")</f>
        <v/>
      </c>
      <c r="G53" s="601">
        <f>IF(G48&lt;G49,G49/G48-1,G48/G49-1)</f>
        <v>1.5906680805939377E-3</v>
      </c>
      <c r="H53" s="602" t="str">
        <f>IF(OR(G53&gt;=0.3,G53&lt;=-0.3),"超过30%","")</f>
        <v/>
      </c>
      <c r="I53" s="601">
        <f>IF(I48&lt;I49,I49/I48-1,I48/I49-1)</f>
        <v>3.849443969204458E-2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1.506996770721214E-2</v>
      </c>
      <c r="F54" s="602" t="str">
        <f>IF(OR(E54&gt;=0.2,E54&lt;=-0.2),"超过20%","")</f>
        <v/>
      </c>
      <c r="G54" s="601">
        <f>IF(G49&lt;I49,I49/G49-1,G49/I49-1)</f>
        <v>7.5563159395494628E-2</v>
      </c>
      <c r="H54" s="602" t="str">
        <f>IF(OR(G54&gt;=0.2,G54&lt;=-0.2),"超过20%","")</f>
        <v/>
      </c>
      <c r="I54" s="601">
        <f>IF(I49&lt;E49,E49/I49-1,I49/E49-1)</f>
        <v>5.9595095523239161E-2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69" t="s">
        <v>2071</v>
      </c>
      <c r="H57" s="3670"/>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3665</v>
      </c>
      <c r="C58" s="610">
        <v>1</v>
      </c>
      <c r="D58" s="2060">
        <v>1</v>
      </c>
      <c r="E58" s="610">
        <f>'数据-汇总表'!E8+'数据-汇总表'!E9</f>
        <v>16609.36</v>
      </c>
      <c r="F58" s="611">
        <f t="shared" ref="F58:F66" si="15">ROUND(B58*E58/10000,0)</f>
        <v>6087</v>
      </c>
      <c r="G58" s="3671"/>
      <c r="H58" s="3672"/>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6185.36</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22794.720000000001</v>
      </c>
      <c r="F67" s="619">
        <f>IF(B48="楼面地价",SUM(F58:F66),ROUND(C50*E67/10000,0))</f>
        <v>6087</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2022-12-1</v>
      </c>
      <c r="D69" s="2436">
        <f>EDATE(C69,-3)</f>
        <v>44805</v>
      </c>
      <c r="E69" s="2436">
        <f t="shared" ref="E69:N69" si="18">EDATE(D69,-3)</f>
        <v>44713</v>
      </c>
      <c r="F69" s="2436">
        <f t="shared" si="18"/>
        <v>44621</v>
      </c>
      <c r="G69" s="2436">
        <f t="shared" si="18"/>
        <v>44531</v>
      </c>
      <c r="H69" s="2436">
        <f t="shared" si="18"/>
        <v>44440</v>
      </c>
      <c r="I69" s="2436">
        <f t="shared" si="18"/>
        <v>44348</v>
      </c>
      <c r="J69" s="2436">
        <f t="shared" si="18"/>
        <v>44256</v>
      </c>
      <c r="K69" s="2436">
        <f t="shared" si="18"/>
        <v>44166</v>
      </c>
      <c r="L69" s="2436">
        <f t="shared" si="18"/>
        <v>44075</v>
      </c>
      <c r="M69" s="2436">
        <f t="shared" si="18"/>
        <v>43983</v>
      </c>
      <c r="N69" s="2436">
        <f t="shared" si="18"/>
        <v>43891</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79" t="s">
        <v>3400</v>
      </c>
      <c r="D76" s="3479" t="s">
        <v>3403</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6" t="s">
        <v>3397</v>
      </c>
      <c r="D109" s="3476" t="s">
        <v>3384</v>
      </c>
      <c r="E109" s="3476" t="s">
        <v>3393</v>
      </c>
      <c r="F109" s="3476" t="s">
        <v>3386</v>
      </c>
      <c r="G109" s="3476" t="s">
        <v>3398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3392</v>
      </c>
      <c r="D124" s="1280" t="s">
        <v>3394</v>
      </c>
      <c r="E124" s="1280" t="s">
        <v>3387</v>
      </c>
      <c r="F124" s="1280" t="s">
        <v>3395</v>
      </c>
      <c r="G124" s="1280" t="s">
        <v>3396</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3" t="str">
        <f>项目基本情况!B1</f>
        <v>出让国有建设用地使用权市场价格预评估</v>
      </c>
      <c r="C37" s="3493"/>
      <c r="D37" s="3493"/>
      <c r="E37" s="3493"/>
      <c r="F37" s="3493"/>
      <c r="G37" s="3493"/>
      <c r="H37" s="3493"/>
      <c r="I37" s="3493"/>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9" sqref="N29"/>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9659</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4161</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19892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1326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SUM(C10:K10)</f>
        <v>20645</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3121</v>
      </c>
      <c r="E7" s="430" t="s">
        <v>3150</v>
      </c>
      <c r="F7" s="430" t="s">
        <v>35</v>
      </c>
      <c r="G7" s="430"/>
      <c r="H7" s="430"/>
      <c r="I7" s="430"/>
      <c r="J7" s="430"/>
      <c r="K7" s="431"/>
      <c r="AA7" s="1946"/>
      <c r="AB7" s="1946"/>
      <c r="AC7" s="1946"/>
      <c r="AD7" s="1946"/>
      <c r="AE7" s="1946"/>
    </row>
    <row r="8" spans="1:31" s="1949" customFormat="1" ht="13.5" customHeight="1">
      <c r="A8" s="776" t="s">
        <v>1644</v>
      </c>
      <c r="B8" s="259" t="s">
        <v>466</v>
      </c>
      <c r="C8" s="2471">
        <f>'[2]剩余法-待开发'!$C$8</f>
        <v>11631</v>
      </c>
      <c r="D8" s="2471">
        <f>'[2]剩余法-待开发'!$D$8</f>
        <v>18924</v>
      </c>
      <c r="E8" s="2471">
        <f>'[2]剩余法-待开发'!$E$8</f>
        <v>7472</v>
      </c>
      <c r="F8" s="2471">
        <f>'[2]剩余法-待开发'!$F$8</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14019.95</v>
      </c>
      <c r="D9" s="435">
        <f>SUMIF('数据-汇总表'!$C19:$C33,'剩余法-待开发'!D7,'数据-汇总表'!$E19:$E33)</f>
        <v>815.17</v>
      </c>
      <c r="E9" s="435">
        <f>SUMIF('数据-汇总表'!$C19:$C33,'剩余法-待开发'!E7,'数据-汇总表'!$E19:$E33)</f>
        <v>1774.24</v>
      </c>
      <c r="F9" s="435">
        <f>SUMIF('数据-汇总表'!$C19:$C33,'剩余法-待开发'!F7,'数据-汇总表'!$E19:$E33)</f>
        <v>6185.36</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ROUND(C8*C9/10000,0)</f>
        <v>16307</v>
      </c>
      <c r="D10" s="2660">
        <f t="shared" ref="D10:F10" si="0">ROUND(D8*D9/10000,0)</f>
        <v>1543</v>
      </c>
      <c r="E10" s="2660">
        <f t="shared" si="0"/>
        <v>1326</v>
      </c>
      <c r="F10" s="2660">
        <f t="shared" si="0"/>
        <v>1469</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5732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172</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175</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464</v>
      </c>
      <c r="D16" s="2481">
        <f ca="1">IF(B1="",'数据-汇总表'!E3,INDIRECT("'数据-取费表'!K"&amp;$K$1)+INDIRECT("'数据-取费表'!S"&amp;$K$1))</f>
        <v>23212.99</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86</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6629</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116</v>
      </c>
      <c r="D19" s="2491">
        <f ca="1">D16</f>
        <v>23212.99</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394</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238</v>
      </c>
      <c r="D21" s="2481">
        <f ca="1">IF(B1="",'数据-汇总表'!E5,IF(INDIRECT("'数据-取费表'!c"&amp;$K$1)="住宅",INDIRECT("'数据-取费表'!k"&amp;$K$1),0))</f>
        <v>14019.95</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156</v>
      </c>
      <c r="D22" s="2481">
        <f ca="1">IF(B1="",'数据-汇总表'!E6,IF(INDIRECT("'数据-取费表'!c"&amp;$K$1)="住宅",INDIRECT("'数据-取费表'!s"&amp;$K$1),INDIRECT("'数据-取费表'!k"&amp;$K$1)+INDIRECT("'数据-取费表'!s"&amp;$K$1)))</f>
        <v>9193.0400000000009</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143</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ROUND(C6*F24,0)</f>
        <v>413</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160</v>
      </c>
      <c r="D26" s="460">
        <f ca="1">C27</f>
        <v>4.3099999999999999E-2</v>
      </c>
      <c r="E26" s="462" t="s">
        <v>489</v>
      </c>
      <c r="F26" s="464">
        <f ca="1">'数据-取费表'!B40</f>
        <v>4.1499999999999995E-2</v>
      </c>
      <c r="G26" s="2344" t="str">
        <f>IF('数据-取费表'!B22&lt;=1,"单利计息。","复利计息。")&amp;"后续开发成本、管理费用及销售费用产生的利息。"</f>
        <v>单利计息。后续开发成本、管理费用及销售费用产生的利息。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4.3099999999999999E-2</v>
      </c>
      <c r="D27" s="465"/>
      <c r="E27" s="466"/>
      <c r="F27" s="467"/>
      <c r="G27" s="2344" t="str">
        <f>IF('数据-取费表'!B22&lt;=1,"（1+取得税费率/(1+5%)）×年利率×建设期","（1+取得税费率）/(1+5%)×((1+年利率)^建设期-1)")</f>
        <v>（1+取得税费率/(1+5%)）×年利率×建设期</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160</v>
      </c>
      <c r="D28" s="465"/>
      <c r="E28" s="466"/>
      <c r="F28" s="467"/>
      <c r="G28" s="2344" t="str">
        <f>IF('数据-取费表'!B22&lt;=1,"（1）-（4）项×年利率×建设期÷2","（1）-（4）项×((1+年利率)^(建设期÷2)-1)")</f>
        <v>（1）-（4）项×年利率×建设期÷2</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ROUND(C6*F29/(1+'数据-取费表'!C42),0)</f>
        <v>1101</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8956</v>
      </c>
      <c r="D30" s="470">
        <f ca="1">C32</f>
        <v>8.1699999999999995E-2</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8956</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8.1699999999999995E-2</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539</v>
      </c>
      <c r="D33" s="460">
        <f ca="1">C34</f>
        <v>7.2700000000000001E-2</v>
      </c>
      <c r="E33" s="462" t="s">
        <v>489</v>
      </c>
      <c r="F33" s="472">
        <f ca="1">IF(B1="",'数据-取费表'!Q16,INDIRECT("'数据-取费表'!q"&amp;$K$1))</f>
        <v>7.0000000000000007E-2</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7.2700000000000001E-2</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539</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9659</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5732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172</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175</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464</v>
      </c>
      <c r="D16" s="444">
        <f ca="1">IF(B1="",'数据-汇总表'!E3,INDIRECT("'数据-取费表'!K"&amp;$K$1)+INDIRECT("'数据-取费表'!S"&amp;$K$1))</f>
        <v>23212.99</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86</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6629</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133</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140</v>
      </c>
      <c r="D20" s="455">
        <f ca="1">ROUND(((1+F20)^'数据-取费表'!B20)-1,4)</f>
        <v>4.1500000000000002E-2</v>
      </c>
      <c r="E20" s="455"/>
      <c r="F20" s="464">
        <f ca="1">'数据-取费表'!B40</f>
        <v>4.1499999999999995E-2</v>
      </c>
      <c r="G20" s="1242" t="str">
        <f>IF('数据-取费表'!B22&lt;=1,"单利计息。","复利计息。")&amp;"建造成本、管理费用产生的利息 / 地价及税费产生的利息。"</f>
        <v>单利计息。建造成本、管理费用产生的利息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473</v>
      </c>
      <c r="D21" s="3192"/>
      <c r="E21" s="455"/>
      <c r="F21" s="472">
        <f ca="1">IF(B1="",'数据-取费表'!Q16,INDIRECT("'数据-取费表'!q"&amp;$K$1))</f>
        <v>7.0000000000000007E-2</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09" t="s">
        <v>1664</v>
      </c>
      <c r="B24" s="3710"/>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09" t="s">
        <v>2736</v>
      </c>
      <c r="B25" s="3710"/>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09" t="s">
        <v>2737</v>
      </c>
      <c r="B26" s="3710"/>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1" t="s">
        <v>2735</v>
      </c>
      <c r="B27" s="3712"/>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92" t="s">
        <v>505</v>
      </c>
      <c r="D6" s="3693"/>
      <c r="E6" s="3718" t="s">
        <v>506</v>
      </c>
      <c r="F6" s="3719"/>
      <c r="G6" s="3692" t="s">
        <v>507</v>
      </c>
      <c r="H6" s="3693"/>
      <c r="I6" s="3692" t="s">
        <v>508</v>
      </c>
      <c r="J6" s="3693"/>
      <c r="K6" s="491" t="s">
        <v>509</v>
      </c>
      <c r="L6" s="1967"/>
      <c r="M6" s="1968"/>
      <c r="N6" s="1968"/>
      <c r="O6" s="1968"/>
      <c r="P6" s="3694" t="s">
        <v>510</v>
      </c>
      <c r="Q6" s="3695"/>
      <c r="R6" s="3678" t="s">
        <v>506</v>
      </c>
      <c r="S6" s="3679"/>
      <c r="T6" s="3678" t="s">
        <v>507</v>
      </c>
      <c r="U6" s="3679"/>
      <c r="V6" s="3700" t="s">
        <v>508</v>
      </c>
      <c r="W6" s="3700"/>
      <c r="X6" s="1455"/>
      <c r="Y6" s="3678" t="s">
        <v>510</v>
      </c>
      <c r="Z6" s="3679"/>
      <c r="AA6" s="3673" t="s">
        <v>506</v>
      </c>
      <c r="AB6" s="3674" t="s">
        <v>507</v>
      </c>
      <c r="AC6" s="3673" t="s">
        <v>508</v>
      </c>
    </row>
    <row r="7" spans="1:29" ht="15">
      <c r="A7" s="492"/>
      <c r="B7" s="493"/>
      <c r="C7" s="3703" t="s">
        <v>2630</v>
      </c>
      <c r="D7" s="3704"/>
      <c r="E7" s="3720" t="s">
        <v>2631</v>
      </c>
      <c r="F7" s="3721"/>
      <c r="G7" s="3703" t="s">
        <v>2632</v>
      </c>
      <c r="H7" s="3704"/>
      <c r="I7" s="3703" t="s">
        <v>2633</v>
      </c>
      <c r="J7" s="3704"/>
      <c r="K7" s="491"/>
      <c r="L7" s="1967"/>
      <c r="M7" s="1968"/>
      <c r="N7" s="1968"/>
      <c r="O7" s="1968"/>
      <c r="P7" s="3696"/>
      <c r="Q7" s="3697"/>
      <c r="R7" s="3680"/>
      <c r="S7" s="3681"/>
      <c r="T7" s="3680"/>
      <c r="U7" s="3681"/>
      <c r="V7" s="3700"/>
      <c r="W7" s="3700"/>
      <c r="X7" s="1455"/>
      <c r="Y7" s="3680"/>
      <c r="Z7" s="3681"/>
      <c r="AA7" s="3674"/>
      <c r="AB7" s="3674"/>
      <c r="AC7" s="3674"/>
    </row>
    <row r="8" spans="1:29" ht="15.75" thickBot="1">
      <c r="A8" s="494"/>
      <c r="B8" s="495"/>
      <c r="C8" s="3701" t="s">
        <v>2634</v>
      </c>
      <c r="D8" s="3702"/>
      <c r="E8" s="3722" t="s">
        <v>2634</v>
      </c>
      <c r="F8" s="3723"/>
      <c r="G8" s="3701" t="s">
        <v>2634</v>
      </c>
      <c r="H8" s="3702"/>
      <c r="I8" s="3701" t="s">
        <v>2634</v>
      </c>
      <c r="J8" s="3702"/>
      <c r="K8" s="491" t="s">
        <v>511</v>
      </c>
      <c r="L8" s="1967"/>
      <c r="M8" s="1968"/>
      <c r="N8" s="1968"/>
      <c r="O8" s="1968"/>
      <c r="P8" s="3698"/>
      <c r="Q8" s="3699"/>
      <c r="R8" s="3680"/>
      <c r="S8" s="3681"/>
      <c r="T8" s="3682"/>
      <c r="U8" s="3683"/>
      <c r="V8" s="3700"/>
      <c r="W8" s="3700"/>
      <c r="X8" s="1455"/>
      <c r="Y8" s="3682"/>
      <c r="Z8" s="3683"/>
      <c r="AA8" s="3675"/>
      <c r="AB8" s="3675"/>
      <c r="AC8" s="3675"/>
    </row>
    <row r="9" spans="1:29" s="1165" customFormat="1" ht="15.75" thickBot="1">
      <c r="A9" s="2548"/>
      <c r="B9" s="2555" t="s">
        <v>512</v>
      </c>
      <c r="C9" s="496">
        <f>'数据-取费表'!B2</f>
        <v>44901</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76" t="s">
        <v>513</v>
      </c>
      <c r="Q9" s="3685"/>
      <c r="R9" s="1456" t="s">
        <v>8</v>
      </c>
      <c r="S9" s="1457">
        <f t="shared" ref="S9:S17" si="0">F9</f>
        <v>0</v>
      </c>
      <c r="T9" s="1456" t="s">
        <v>8</v>
      </c>
      <c r="U9" s="1457">
        <f t="shared" ref="U9:U17" si="1">H9</f>
        <v>0</v>
      </c>
      <c r="V9" s="1456" t="s">
        <v>8</v>
      </c>
      <c r="W9" s="1457">
        <f t="shared" ref="W9:W17" si="2">J9</f>
        <v>0</v>
      </c>
      <c r="X9" s="1458"/>
      <c r="Y9" s="3676" t="s">
        <v>513</v>
      </c>
      <c r="Z9" s="3677"/>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76" t="s">
        <v>516</v>
      </c>
      <c r="Q10" s="3677"/>
      <c r="R10" s="1456" t="s">
        <v>8</v>
      </c>
      <c r="S10" s="1457">
        <f t="shared" si="0"/>
        <v>0</v>
      </c>
      <c r="T10" s="1456" t="s">
        <v>8</v>
      </c>
      <c r="U10" s="1457">
        <f t="shared" si="1"/>
        <v>0</v>
      </c>
      <c r="V10" s="1456" t="s">
        <v>8</v>
      </c>
      <c r="W10" s="1457">
        <f t="shared" si="2"/>
        <v>0</v>
      </c>
      <c r="X10" s="1458"/>
      <c r="Y10" s="3676" t="s">
        <v>516</v>
      </c>
      <c r="Z10" s="3677"/>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84" t="s">
        <v>518</v>
      </c>
      <c r="Q11" s="1096" t="str">
        <f t="shared" ref="Q11:Q17" si="6">B11</f>
        <v>用途</v>
      </c>
      <c r="R11" s="1456" t="s">
        <v>8</v>
      </c>
      <c r="S11" s="1457">
        <f t="shared" si="0"/>
        <v>100</v>
      </c>
      <c r="T11" s="1456" t="s">
        <v>8</v>
      </c>
      <c r="U11" s="1457">
        <f t="shared" si="1"/>
        <v>100</v>
      </c>
      <c r="V11" s="1456" t="s">
        <v>8</v>
      </c>
      <c r="W11" s="1457">
        <f t="shared" si="2"/>
        <v>100</v>
      </c>
      <c r="X11" s="1458"/>
      <c r="Y11" s="3636"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84"/>
      <c r="Q12" s="1096" t="str">
        <f t="shared" si="6"/>
        <v>土地使用年限（年）</v>
      </c>
      <c r="R12" s="1456" t="s">
        <v>8</v>
      </c>
      <c r="S12" s="1457">
        <f t="shared" si="0"/>
        <v>102</v>
      </c>
      <c r="T12" s="1456" t="s">
        <v>8</v>
      </c>
      <c r="U12" s="1457">
        <f t="shared" si="1"/>
        <v>102</v>
      </c>
      <c r="V12" s="1456" t="s">
        <v>8</v>
      </c>
      <c r="W12" s="1457">
        <f t="shared" si="2"/>
        <v>102</v>
      </c>
      <c r="X12" s="1458"/>
      <c r="Y12" s="3636"/>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84"/>
      <c r="Q13" s="1096" t="str">
        <f t="shared" si="6"/>
        <v>容积率</v>
      </c>
      <c r="R13" s="1456" t="s">
        <v>8</v>
      </c>
      <c r="S13" s="1457" t="e">
        <f t="shared" si="0"/>
        <v>#N/A</v>
      </c>
      <c r="T13" s="1456" t="s">
        <v>8</v>
      </c>
      <c r="U13" s="1457" t="e">
        <f t="shared" si="1"/>
        <v>#N/A</v>
      </c>
      <c r="V13" s="1456" t="s">
        <v>8</v>
      </c>
      <c r="W13" s="1457" t="e">
        <f t="shared" si="2"/>
        <v>#N/A</v>
      </c>
      <c r="X13" s="1458"/>
      <c r="Y13" s="3636"/>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84"/>
      <c r="Q14" s="1096">
        <f t="shared" si="6"/>
        <v>111</v>
      </c>
      <c r="R14" s="1456" t="s">
        <v>8</v>
      </c>
      <c r="S14" s="1457">
        <f t="shared" si="0"/>
        <v>100</v>
      </c>
      <c r="T14" s="1456" t="s">
        <v>8</v>
      </c>
      <c r="U14" s="1457">
        <f t="shared" si="1"/>
        <v>100</v>
      </c>
      <c r="V14" s="1456" t="s">
        <v>8</v>
      </c>
      <c r="W14" s="1457">
        <f t="shared" si="2"/>
        <v>100</v>
      </c>
      <c r="X14" s="1458"/>
      <c r="Y14" s="3636"/>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84"/>
      <c r="Q15" s="1096">
        <f t="shared" si="6"/>
        <v>111</v>
      </c>
      <c r="R15" s="1456" t="s">
        <v>8</v>
      </c>
      <c r="S15" s="1457">
        <f t="shared" si="0"/>
        <v>100</v>
      </c>
      <c r="T15" s="1456" t="s">
        <v>8</v>
      </c>
      <c r="U15" s="1457">
        <f t="shared" si="1"/>
        <v>100</v>
      </c>
      <c r="V15" s="1456" t="s">
        <v>8</v>
      </c>
      <c r="W15" s="1457">
        <f t="shared" si="2"/>
        <v>100</v>
      </c>
      <c r="X15" s="1458"/>
      <c r="Y15" s="3636"/>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84"/>
      <c r="Q16" s="1096">
        <f t="shared" si="6"/>
        <v>111</v>
      </c>
      <c r="R16" s="1456" t="s">
        <v>8</v>
      </c>
      <c r="S16" s="1457">
        <f t="shared" si="0"/>
        <v>100</v>
      </c>
      <c r="T16" s="1456" t="s">
        <v>8</v>
      </c>
      <c r="U16" s="1457">
        <f t="shared" si="1"/>
        <v>100</v>
      </c>
      <c r="V16" s="1456" t="s">
        <v>8</v>
      </c>
      <c r="W16" s="1457">
        <f t="shared" si="2"/>
        <v>100</v>
      </c>
      <c r="X16" s="1458"/>
      <c r="Y16" s="3636"/>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86" t="s">
        <v>523</v>
      </c>
      <c r="Q17" s="1460" t="str">
        <f t="shared" si="6"/>
        <v>产业集聚程度</v>
      </c>
      <c r="R17" s="1461" t="s">
        <v>8</v>
      </c>
      <c r="S17" s="1462">
        <f t="shared" si="0"/>
        <v>100</v>
      </c>
      <c r="T17" s="1461" t="s">
        <v>8</v>
      </c>
      <c r="U17" s="1462">
        <f t="shared" si="1"/>
        <v>100</v>
      </c>
      <c r="V17" s="1461" t="s">
        <v>8</v>
      </c>
      <c r="W17" s="1462">
        <f t="shared" si="2"/>
        <v>100</v>
      </c>
      <c r="X17" s="1455"/>
      <c r="Y17" s="3686"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687"/>
      <c r="Q18" s="1460"/>
      <c r="R18" s="1461"/>
      <c r="S18" s="1462"/>
      <c r="T18" s="1461"/>
      <c r="U18" s="1462"/>
      <c r="V18" s="1461"/>
      <c r="W18" s="1462"/>
      <c r="X18" s="1455"/>
      <c r="Y18" s="3687"/>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87"/>
      <c r="Q19" s="1460" t="str">
        <f>B19</f>
        <v>交通便捷度</v>
      </c>
      <c r="R19" s="1461" t="s">
        <v>8</v>
      </c>
      <c r="S19" s="1462">
        <f>F19</f>
        <v>100</v>
      </c>
      <c r="T19" s="1461" t="s">
        <v>8</v>
      </c>
      <c r="U19" s="1462">
        <f>H19</f>
        <v>100</v>
      </c>
      <c r="V19" s="1461" t="s">
        <v>8</v>
      </c>
      <c r="W19" s="1462">
        <f>J19</f>
        <v>100</v>
      </c>
      <c r="X19" s="1455"/>
      <c r="Y19" s="3687"/>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687"/>
      <c r="Q20" s="1460"/>
      <c r="R20" s="1461"/>
      <c r="S20" s="1462"/>
      <c r="T20" s="1461"/>
      <c r="U20" s="1462"/>
      <c r="V20" s="1461"/>
      <c r="W20" s="1462"/>
      <c r="X20" s="1455"/>
      <c r="Y20" s="3687"/>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687"/>
      <c r="Q21" s="1460" t="str">
        <f t="shared" ref="Q21:Q35" si="8">B21</f>
        <v>区域土地利用方向</v>
      </c>
      <c r="R21" s="1461" t="s">
        <v>8</v>
      </c>
      <c r="S21" s="1462">
        <f>F21</f>
        <v>100</v>
      </c>
      <c r="T21" s="1461" t="s">
        <v>8</v>
      </c>
      <c r="U21" s="1462">
        <f>H21</f>
        <v>100</v>
      </c>
      <c r="V21" s="1461" t="s">
        <v>8</v>
      </c>
      <c r="W21" s="1462">
        <f>J21</f>
        <v>100</v>
      </c>
      <c r="X21" s="1455"/>
      <c r="Y21" s="3687"/>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687"/>
      <c r="Q22" s="1460"/>
      <c r="R22" s="1461"/>
      <c r="S22" s="1462"/>
      <c r="T22" s="1461"/>
      <c r="U22" s="1462"/>
      <c r="V22" s="1461"/>
      <c r="W22" s="1462"/>
      <c r="X22" s="1455"/>
      <c r="Y22" s="3687"/>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87"/>
      <c r="Q23" s="1460" t="str">
        <f t="shared" si="8"/>
        <v>环境状况</v>
      </c>
      <c r="R23" s="1461" t="s">
        <v>8</v>
      </c>
      <c r="S23" s="1462">
        <f>F23</f>
        <v>100</v>
      </c>
      <c r="T23" s="1461" t="s">
        <v>8</v>
      </c>
      <c r="U23" s="1462">
        <f>H23</f>
        <v>100</v>
      </c>
      <c r="V23" s="1461" t="s">
        <v>8</v>
      </c>
      <c r="W23" s="1462">
        <f>J23</f>
        <v>100</v>
      </c>
      <c r="X23" s="1455"/>
      <c r="Y23" s="3687"/>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687"/>
      <c r="Q24" s="1460"/>
      <c r="R24" s="1461"/>
      <c r="S24" s="1462"/>
      <c r="T24" s="1461"/>
      <c r="U24" s="1462"/>
      <c r="V24" s="1461"/>
      <c r="W24" s="1462"/>
      <c r="X24" s="1455"/>
      <c r="Y24" s="3687"/>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87"/>
      <c r="Q25" s="1096" t="str">
        <f t="shared" si="8"/>
        <v>公共配套设施</v>
      </c>
      <c r="R25" s="1456" t="s">
        <v>8</v>
      </c>
      <c r="S25" s="1457">
        <f>F25</f>
        <v>100</v>
      </c>
      <c r="T25" s="1456" t="s">
        <v>8</v>
      </c>
      <c r="U25" s="1457">
        <f>H25</f>
        <v>100</v>
      </c>
      <c r="V25" s="1456" t="s">
        <v>8</v>
      </c>
      <c r="W25" s="1457">
        <f>J25</f>
        <v>100</v>
      </c>
      <c r="X25" s="1458"/>
      <c r="Y25" s="3687"/>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687"/>
      <c r="Q26" s="1096"/>
      <c r="R26" s="1456"/>
      <c r="S26" s="1457"/>
      <c r="T26" s="1456"/>
      <c r="U26" s="1457"/>
      <c r="V26" s="1456"/>
      <c r="W26" s="1457"/>
      <c r="X26" s="1458"/>
      <c r="Y26" s="3687"/>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87"/>
      <c r="Q27" s="2348" t="str">
        <f t="shared" ref="Q27" si="9">B27</f>
        <v>基础设施水平</v>
      </c>
      <c r="R27" s="1456" t="s">
        <v>8</v>
      </c>
      <c r="S27" s="1457">
        <f>F27</f>
        <v>100</v>
      </c>
      <c r="T27" s="1456" t="s">
        <v>8</v>
      </c>
      <c r="U27" s="1457">
        <f>H27</f>
        <v>100</v>
      </c>
      <c r="V27" s="1456" t="s">
        <v>8</v>
      </c>
      <c r="W27" s="1457">
        <f>J27</f>
        <v>100</v>
      </c>
      <c r="X27" s="1458"/>
      <c r="Y27" s="3687"/>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687"/>
      <c r="Q28" s="2348"/>
      <c r="R28" s="1456"/>
      <c r="S28" s="1457"/>
      <c r="T28" s="1456"/>
      <c r="U28" s="1457"/>
      <c r="V28" s="1456"/>
      <c r="W28" s="1457"/>
      <c r="X28" s="1458"/>
      <c r="Y28" s="3687"/>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87"/>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87"/>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87"/>
      <c r="Q30" s="1460" t="str">
        <f t="shared" si="8"/>
        <v>毗邻道路的类型与等级</v>
      </c>
      <c r="R30" s="1461" t="s">
        <v>8</v>
      </c>
      <c r="S30" s="1462">
        <f t="shared" si="10"/>
        <v>100</v>
      </c>
      <c r="T30" s="1461" t="s">
        <v>8</v>
      </c>
      <c r="U30" s="1462">
        <f t="shared" si="11"/>
        <v>100</v>
      </c>
      <c r="V30" s="1461" t="s">
        <v>8</v>
      </c>
      <c r="W30" s="1462">
        <f t="shared" si="12"/>
        <v>100</v>
      </c>
      <c r="X30" s="1455"/>
      <c r="Y30" s="3687"/>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687"/>
      <c r="Q31" s="1460"/>
      <c r="R31" s="1461"/>
      <c r="S31" s="1462"/>
      <c r="T31" s="1461"/>
      <c r="U31" s="1462"/>
      <c r="V31" s="1461"/>
      <c r="W31" s="1462"/>
      <c r="X31" s="1455"/>
      <c r="Y31" s="3687"/>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87"/>
      <c r="Q32" s="1460" t="str">
        <f t="shared" si="8"/>
        <v>土地级别</v>
      </c>
      <c r="R32" s="1461" t="s">
        <v>8</v>
      </c>
      <c r="S32" s="1462">
        <f t="shared" si="10"/>
        <v>100</v>
      </c>
      <c r="T32" s="1461" t="s">
        <v>8</v>
      </c>
      <c r="U32" s="1462">
        <f t="shared" si="11"/>
        <v>100</v>
      </c>
      <c r="V32" s="1461" t="s">
        <v>8</v>
      </c>
      <c r="W32" s="1462">
        <f t="shared" si="12"/>
        <v>100</v>
      </c>
      <c r="X32" s="1455"/>
      <c r="Y32" s="3687"/>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87"/>
      <c r="Q33" s="1460">
        <f t="shared" si="8"/>
        <v>111</v>
      </c>
      <c r="R33" s="1461" t="s">
        <v>8</v>
      </c>
      <c r="S33" s="1462">
        <f t="shared" si="10"/>
        <v>100</v>
      </c>
      <c r="T33" s="1461" t="s">
        <v>8</v>
      </c>
      <c r="U33" s="1462">
        <f t="shared" si="11"/>
        <v>100</v>
      </c>
      <c r="V33" s="1461" t="s">
        <v>8</v>
      </c>
      <c r="W33" s="1462">
        <f t="shared" si="12"/>
        <v>100</v>
      </c>
      <c r="X33" s="1455"/>
      <c r="Y33" s="3687"/>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88" t="s">
        <v>533</v>
      </c>
      <c r="Q34" s="1460">
        <f t="shared" si="8"/>
        <v>111</v>
      </c>
      <c r="R34" s="1461" t="s">
        <v>8</v>
      </c>
      <c r="S34" s="1462">
        <f t="shared" si="10"/>
        <v>100</v>
      </c>
      <c r="T34" s="1461" t="s">
        <v>8</v>
      </c>
      <c r="U34" s="1462">
        <f t="shared" si="11"/>
        <v>100</v>
      </c>
      <c r="V34" s="1461" t="s">
        <v>8</v>
      </c>
      <c r="W34" s="1462">
        <f t="shared" si="12"/>
        <v>100</v>
      </c>
      <c r="X34" s="1455"/>
      <c r="Y34" s="3689"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89"/>
      <c r="Q35" s="1460">
        <f t="shared" si="8"/>
        <v>111</v>
      </c>
      <c r="R35" s="1465" t="s">
        <v>8</v>
      </c>
      <c r="S35" s="1466">
        <f t="shared" si="10"/>
        <v>100</v>
      </c>
      <c r="T35" s="1465" t="s">
        <v>8</v>
      </c>
      <c r="U35" s="1466">
        <f t="shared" si="11"/>
        <v>100</v>
      </c>
      <c r="V35" s="1465" t="s">
        <v>8</v>
      </c>
      <c r="W35" s="1466">
        <f t="shared" si="12"/>
        <v>100</v>
      </c>
      <c r="X35" s="1467"/>
      <c r="Y35" s="3689"/>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89"/>
      <c r="Q36" s="1460" t="str">
        <f>B36</f>
        <v>宗地面积</v>
      </c>
      <c r="R36" s="1461" t="s">
        <v>8</v>
      </c>
      <c r="S36" s="1462" t="e">
        <f t="shared" si="10"/>
        <v>#N/A</v>
      </c>
      <c r="T36" s="1461" t="s">
        <v>8</v>
      </c>
      <c r="U36" s="1462" t="e">
        <f t="shared" si="11"/>
        <v>#N/A</v>
      </c>
      <c r="V36" s="1461" t="s">
        <v>8</v>
      </c>
      <c r="W36" s="1462" t="e">
        <f t="shared" si="12"/>
        <v>#N/A</v>
      </c>
      <c r="X36" s="1455"/>
      <c r="Y36" s="3689"/>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89"/>
      <c r="Q37" s="1460" t="str">
        <f t="shared" ref="Q37:Q42" si="14">B37</f>
        <v>宗地形状</v>
      </c>
      <c r="R37" s="1461" t="s">
        <v>8</v>
      </c>
      <c r="S37" s="1462">
        <f t="shared" si="10"/>
        <v>100</v>
      </c>
      <c r="T37" s="1461" t="s">
        <v>8</v>
      </c>
      <c r="U37" s="1462">
        <f t="shared" si="11"/>
        <v>100</v>
      </c>
      <c r="V37" s="1461" t="s">
        <v>8</v>
      </c>
      <c r="W37" s="1462">
        <f t="shared" si="12"/>
        <v>100</v>
      </c>
      <c r="X37" s="1455"/>
      <c r="Y37" s="3689"/>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89"/>
      <c r="Q38" s="1460" t="str">
        <f t="shared" si="14"/>
        <v>宗地开发程度</v>
      </c>
      <c r="R38" s="1456" t="s">
        <v>8</v>
      </c>
      <c r="S38" s="1457">
        <f t="shared" si="10"/>
        <v>100</v>
      </c>
      <c r="T38" s="1456" t="s">
        <v>8</v>
      </c>
      <c r="U38" s="1457">
        <f t="shared" si="11"/>
        <v>100</v>
      </c>
      <c r="V38" s="1456" t="s">
        <v>8</v>
      </c>
      <c r="W38" s="1457">
        <f t="shared" si="12"/>
        <v>100</v>
      </c>
      <c r="X38" s="1458"/>
      <c r="Y38" s="3689"/>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89" t="s">
        <v>583</v>
      </c>
      <c r="Q39" s="1460" t="str">
        <f t="shared" si="14"/>
        <v>工程地质条件</v>
      </c>
      <c r="R39" s="1461" t="s">
        <v>8</v>
      </c>
      <c r="S39" s="1462">
        <f t="shared" si="10"/>
        <v>100</v>
      </c>
      <c r="T39" s="1461" t="s">
        <v>8</v>
      </c>
      <c r="U39" s="1462">
        <f t="shared" si="11"/>
        <v>100</v>
      </c>
      <c r="V39" s="1461" t="s">
        <v>8</v>
      </c>
      <c r="W39" s="1462">
        <f t="shared" si="12"/>
        <v>100</v>
      </c>
      <c r="X39" s="1455"/>
      <c r="Y39" s="3689"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89"/>
      <c r="Q40" s="1460">
        <f t="shared" si="14"/>
        <v>111</v>
      </c>
      <c r="R40" s="1461" t="s">
        <v>8</v>
      </c>
      <c r="S40" s="1462">
        <f t="shared" si="10"/>
        <v>100</v>
      </c>
      <c r="T40" s="1461" t="s">
        <v>8</v>
      </c>
      <c r="U40" s="1462">
        <f t="shared" si="11"/>
        <v>100</v>
      </c>
      <c r="V40" s="1461" t="s">
        <v>8</v>
      </c>
      <c r="W40" s="1462">
        <f t="shared" si="12"/>
        <v>100</v>
      </c>
      <c r="X40" s="1455"/>
      <c r="Y40" s="3689"/>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89"/>
      <c r="Q41" s="1460">
        <f t="shared" si="14"/>
        <v>111</v>
      </c>
      <c r="R41" s="1461" t="s">
        <v>8</v>
      </c>
      <c r="S41" s="1462">
        <f t="shared" si="10"/>
        <v>100</v>
      </c>
      <c r="T41" s="1461" t="s">
        <v>8</v>
      </c>
      <c r="U41" s="1462">
        <f t="shared" si="11"/>
        <v>100</v>
      </c>
      <c r="V41" s="1461" t="s">
        <v>8</v>
      </c>
      <c r="W41" s="1462">
        <f t="shared" si="12"/>
        <v>100</v>
      </c>
      <c r="X41" s="1455"/>
      <c r="Y41" s="3689"/>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89"/>
      <c r="Q42" s="1460">
        <f t="shared" si="14"/>
        <v>111</v>
      </c>
      <c r="R42" s="1465" t="s">
        <v>8</v>
      </c>
      <c r="S42" s="1466">
        <f t="shared" si="10"/>
        <v>100</v>
      </c>
      <c r="T42" s="1465" t="s">
        <v>8</v>
      </c>
      <c r="U42" s="1466">
        <f t="shared" si="11"/>
        <v>100</v>
      </c>
      <c r="V42" s="1465" t="s">
        <v>8</v>
      </c>
      <c r="W42" s="1466">
        <f t="shared" si="12"/>
        <v>100</v>
      </c>
      <c r="X42" s="1467"/>
      <c r="Y42" s="3689"/>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84" t="str">
        <f>A43</f>
        <v>成交单价</v>
      </c>
      <c r="Q43" s="3684"/>
      <c r="R43" s="3700">
        <f>E43</f>
        <v>0</v>
      </c>
      <c r="S43" s="3700"/>
      <c r="T43" s="3700">
        <f>G43</f>
        <v>0</v>
      </c>
      <c r="U43" s="3700"/>
      <c r="V43" s="3700">
        <f>I43</f>
        <v>0</v>
      </c>
      <c r="W43" s="3700"/>
      <c r="X43" s="1450"/>
      <c r="Y43" s="1469"/>
      <c r="Z43" s="1450"/>
      <c r="AA43" s="1450"/>
      <c r="AB43" s="1450"/>
      <c r="AC43" s="1450"/>
    </row>
    <row r="44" spans="1:29" ht="15.7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84" t="str">
        <f>A44</f>
        <v>比较价格（元/平方米）</v>
      </c>
      <c r="Q44" s="3684"/>
      <c r="R44" s="3708" t="e">
        <f>ROUND(PRODUCT(R43,AA9:AA42),0)</f>
        <v>#DIV/0!</v>
      </c>
      <c r="S44" s="3708"/>
      <c r="T44" s="3708" t="e">
        <f>ROUND(PRODUCT(T43,AB9:AB42),0)</f>
        <v>#DIV/0!</v>
      </c>
      <c r="U44" s="3708"/>
      <c r="V44" s="3708" t="e">
        <f>ROUND(PRODUCT(V43,AC9:AC42),0)</f>
        <v>#DIV/0!</v>
      </c>
      <c r="W44" s="3708"/>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690" t="str">
        <f>A45</f>
        <v>估价对象XX用房的比较价格（楼面单价，元/平方米）</v>
      </c>
      <c r="Q45" s="3691"/>
      <c r="R45" s="3717" t="e">
        <f>ROUND(IF(D44="简单平均",AVERAGE(R44:W44),R44*F44+T44*H44+V44*J44),0)</f>
        <v>#DIV/0!</v>
      </c>
      <c r="S45" s="3717"/>
      <c r="T45" s="3717"/>
      <c r="U45" s="3717"/>
      <c r="V45" s="3717"/>
      <c r="W45" s="3717"/>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13" t="s">
        <v>2074</v>
      </c>
      <c r="H52" s="3714"/>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16609.36</v>
      </c>
      <c r="F53" s="1817" t="e">
        <f t="shared" ref="F53:F61" si="15">ROUND(B53*E53/10000,0)</f>
        <v>#DIV/0!</v>
      </c>
      <c r="G53" s="3715"/>
      <c r="H53" s="3716"/>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6185.36</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4855.7</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2022-12-1</v>
      </c>
      <c r="D64" s="2436">
        <f>EDATE(C64,-3)</f>
        <v>44805</v>
      </c>
      <c r="E64" s="2436">
        <f t="shared" ref="E64:N64" si="18">EDATE(D64,-3)</f>
        <v>44713</v>
      </c>
      <c r="F64" s="2436">
        <f t="shared" si="18"/>
        <v>44621</v>
      </c>
      <c r="G64" s="2436">
        <f t="shared" si="18"/>
        <v>44531</v>
      </c>
      <c r="H64" s="2436">
        <f t="shared" si="18"/>
        <v>44440</v>
      </c>
      <c r="I64" s="2436">
        <f t="shared" si="18"/>
        <v>44348</v>
      </c>
      <c r="J64" s="2436">
        <f t="shared" si="18"/>
        <v>44256</v>
      </c>
      <c r="K64" s="2436">
        <f t="shared" si="18"/>
        <v>44166</v>
      </c>
      <c r="L64" s="2436">
        <f t="shared" si="18"/>
        <v>44075</v>
      </c>
      <c r="M64" s="2436">
        <f t="shared" si="18"/>
        <v>43983</v>
      </c>
      <c r="N64" s="2436">
        <f t="shared" si="18"/>
        <v>43891</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25"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26"/>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36" t="s">
        <v>2498</v>
      </c>
      <c r="X8" s="3737"/>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26"/>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35"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26"/>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35"/>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26"/>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35"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25"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35"/>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27"/>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35"/>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27"/>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28"/>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25" t="s">
        <v>1637</v>
      </c>
      <c r="B16" s="1329" t="s">
        <v>928</v>
      </c>
      <c r="C16" s="1020" t="e">
        <f>ROUND(IF(F17="与级别开发程度一致",0,(G17-E17)/C17),0)</f>
        <v>#DIV/0!</v>
      </c>
      <c r="D16" s="3743" t="s">
        <v>932</v>
      </c>
      <c r="E16" s="3744"/>
      <c r="F16" s="3743" t="s">
        <v>929</v>
      </c>
      <c r="G16" s="3744"/>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29"/>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44901</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2718</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2"/>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2"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3"/>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3"/>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3"/>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3"/>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4"/>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4"/>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30" t="s">
        <v>1433</v>
      </c>
      <c r="B90" s="3730"/>
      <c r="C90" s="3730"/>
      <c r="D90" s="3730"/>
      <c r="E90" s="3730"/>
      <c r="F90" s="3730"/>
      <c r="G90" s="3730"/>
      <c r="H90" s="3730"/>
      <c r="I90" s="3730"/>
      <c r="J90" s="3730"/>
      <c r="K90" s="2257"/>
      <c r="L90" s="2257"/>
      <c r="M90" s="2257"/>
      <c r="N90" s="2257"/>
    </row>
    <row r="91" spans="1:40">
      <c r="A91" s="3731" t="s">
        <v>1421</v>
      </c>
      <c r="B91" s="3731" t="s">
        <v>1434</v>
      </c>
      <c r="C91" s="1085" t="s">
        <v>1435</v>
      </c>
      <c r="D91" s="1086"/>
      <c r="E91" s="1086"/>
      <c r="F91" s="1086"/>
      <c r="G91" s="1086"/>
      <c r="H91" s="1086"/>
      <c r="I91" s="1086"/>
      <c r="J91" s="1087"/>
      <c r="K91" s="1079"/>
      <c r="L91" s="1079"/>
      <c r="M91" s="1079"/>
      <c r="N91" s="1079"/>
    </row>
    <row r="92" spans="1:40">
      <c r="A92" s="3731"/>
      <c r="B92" s="3731"/>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38"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39"/>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39"/>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39"/>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39"/>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39"/>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39"/>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40"/>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38"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39"/>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39"/>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39"/>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39"/>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39"/>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39"/>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39"/>
      <c r="B108" s="3741"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40"/>
      <c r="B109" s="3742"/>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24" t="s">
        <v>1439</v>
      </c>
      <c r="B110" s="3724"/>
      <c r="C110" s="3724"/>
      <c r="D110" s="3724"/>
      <c r="E110" s="3724"/>
      <c r="F110" s="3724"/>
      <c r="G110" s="3724"/>
      <c r="H110" s="3724"/>
      <c r="I110" s="3724"/>
      <c r="J110" s="3724"/>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2898</v>
      </c>
      <c r="B19" s="3420" t="s">
        <v>2899</v>
      </c>
      <c r="C19" s="3421" t="s">
        <v>2900</v>
      </c>
      <c r="D19" s="3422"/>
      <c r="E19" s="3416" t="s">
        <v>2901</v>
      </c>
      <c r="F19" s="1077"/>
      <c r="G19" s="1077"/>
    </row>
    <row r="20" spans="1:13" s="1483" customFormat="1">
      <c r="A20" s="3748" t="s">
        <v>2892</v>
      </c>
      <c r="B20" s="3751" t="s">
        <v>2902</v>
      </c>
      <c r="C20" s="3423" t="s">
        <v>2903</v>
      </c>
      <c r="D20" s="3424"/>
      <c r="E20" s="3425">
        <v>1</v>
      </c>
      <c r="F20" s="3426" t="s">
        <v>2904</v>
      </c>
      <c r="G20" s="1079"/>
      <c r="H20" s="1069"/>
      <c r="I20" s="1069"/>
    </row>
    <row r="21" spans="1:13" s="1483" customFormat="1">
      <c r="A21" s="3749"/>
      <c r="B21" s="3752"/>
      <c r="C21" s="3427" t="s">
        <v>2905</v>
      </c>
      <c r="D21" s="3428"/>
      <c r="E21" s="3429">
        <v>1</v>
      </c>
      <c r="F21" s="3426" t="s">
        <v>2906</v>
      </c>
      <c r="G21" s="1079"/>
      <c r="H21" s="1069"/>
      <c r="I21" s="1069"/>
    </row>
    <row r="22" spans="1:13" s="1483" customFormat="1">
      <c r="A22" s="3749"/>
      <c r="B22" s="3752"/>
      <c r="C22" s="3427" t="s">
        <v>2907</v>
      </c>
      <c r="D22" s="3428"/>
      <c r="E22" s="3429">
        <v>0.9</v>
      </c>
      <c r="F22" s="3426" t="s">
        <v>2908</v>
      </c>
      <c r="G22" s="1079"/>
      <c r="H22" s="1069"/>
      <c r="I22" s="1069"/>
    </row>
    <row r="23" spans="1:13" s="1483" customFormat="1">
      <c r="A23" s="3749"/>
      <c r="B23" s="3752"/>
      <c r="C23" s="3427" t="s">
        <v>2909</v>
      </c>
      <c r="D23" s="3428"/>
      <c r="E23" s="3429">
        <v>0.9</v>
      </c>
      <c r="F23" s="3426" t="s">
        <v>2910</v>
      </c>
      <c r="G23" s="1079"/>
      <c r="H23" s="1069"/>
      <c r="I23" s="1069"/>
    </row>
    <row r="24" spans="1:13" s="1483" customFormat="1">
      <c r="A24" s="3749"/>
      <c r="B24" s="3752"/>
      <c r="C24" s="3427" t="s">
        <v>2911</v>
      </c>
      <c r="D24" s="3428"/>
      <c r="E24" s="3429">
        <v>0.8</v>
      </c>
      <c r="F24" s="3426" t="s">
        <v>2912</v>
      </c>
      <c r="G24" s="1079"/>
      <c r="H24" s="1069"/>
      <c r="I24" s="1069"/>
    </row>
    <row r="25" spans="1:13" s="1483" customFormat="1" ht="14.25" thickBot="1">
      <c r="A25" s="3750"/>
      <c r="B25" s="3753"/>
      <c r="C25" s="3430" t="s">
        <v>2913</v>
      </c>
      <c r="D25" s="3431"/>
      <c r="E25" s="3432">
        <v>0.8</v>
      </c>
      <c r="F25" s="3426" t="s">
        <v>2914</v>
      </c>
      <c r="G25" s="1079"/>
      <c r="H25" s="1069"/>
      <c r="I25" s="1069"/>
    </row>
    <row r="26" spans="1:13" s="1483" customFormat="1" ht="14.25" thickBot="1">
      <c r="A26" s="3433" t="s">
        <v>2893</v>
      </c>
      <c r="B26" s="3434" t="s">
        <v>2902</v>
      </c>
      <c r="C26" s="3435" t="s">
        <v>2915</v>
      </c>
      <c r="D26" s="3436"/>
      <c r="E26" s="3437">
        <v>1</v>
      </c>
      <c r="F26" s="3426" t="s">
        <v>2916</v>
      </c>
      <c r="G26" s="1079"/>
      <c r="H26" s="1069"/>
      <c r="I26" s="1069"/>
    </row>
    <row r="27" spans="1:13" s="1483" customFormat="1">
      <c r="A27" s="3754" t="s">
        <v>2897</v>
      </c>
      <c r="B27" s="3751" t="s">
        <v>2897</v>
      </c>
      <c r="C27" s="3423" t="s">
        <v>2917</v>
      </c>
      <c r="D27" s="3424"/>
      <c r="E27" s="3425">
        <v>1</v>
      </c>
      <c r="F27" s="3426" t="s">
        <v>2918</v>
      </c>
      <c r="G27" s="1079"/>
      <c r="H27" s="1069"/>
      <c r="I27" s="1069"/>
    </row>
    <row r="28" spans="1:13" s="1483" customFormat="1">
      <c r="A28" s="3755"/>
      <c r="B28" s="3752"/>
      <c r="C28" s="3427" t="s">
        <v>2919</v>
      </c>
      <c r="D28" s="3428"/>
      <c r="E28" s="3429">
        <v>1</v>
      </c>
      <c r="F28" s="3426" t="s">
        <v>2920</v>
      </c>
      <c r="G28" s="1079"/>
      <c r="H28" s="1069"/>
      <c r="I28" s="1069"/>
    </row>
    <row r="29" spans="1:13" s="1483" customFormat="1">
      <c r="A29" s="3755"/>
      <c r="B29" s="3752"/>
      <c r="C29" s="3427" t="s">
        <v>2921</v>
      </c>
      <c r="D29" s="3428"/>
      <c r="E29" s="3429">
        <v>0.8</v>
      </c>
      <c r="F29" s="3426" t="s">
        <v>2922</v>
      </c>
      <c r="G29" s="1079"/>
      <c r="H29" s="1069"/>
      <c r="I29" s="1069"/>
    </row>
    <row r="30" spans="1:13" s="1483" customFormat="1">
      <c r="A30" s="3755"/>
      <c r="B30" s="3752"/>
      <c r="C30" s="3427" t="s">
        <v>2923</v>
      </c>
      <c r="D30" s="3428"/>
      <c r="E30" s="3429">
        <v>0.8</v>
      </c>
      <c r="F30" s="3426" t="s">
        <v>2924</v>
      </c>
      <c r="G30" s="1079"/>
      <c r="H30" s="1069"/>
      <c r="I30" s="1069"/>
    </row>
    <row r="31" spans="1:13" s="1483" customFormat="1">
      <c r="A31" s="3755"/>
      <c r="B31" s="3752"/>
      <c r="C31" s="3427" t="s">
        <v>2925</v>
      </c>
      <c r="D31" s="3428"/>
      <c r="E31" s="3429">
        <v>0.8</v>
      </c>
      <c r="F31" s="3426" t="s">
        <v>2926</v>
      </c>
      <c r="G31" s="1079"/>
      <c r="H31" s="1069"/>
      <c r="I31" s="1069"/>
    </row>
    <row r="32" spans="1:13" s="1483" customFormat="1">
      <c r="A32" s="3755"/>
      <c r="B32" s="3752"/>
      <c r="C32" s="3427" t="s">
        <v>2927</v>
      </c>
      <c r="D32" s="3428"/>
      <c r="E32" s="3429">
        <v>0.7</v>
      </c>
      <c r="F32" s="3426" t="s">
        <v>2928</v>
      </c>
      <c r="G32" s="1079"/>
      <c r="H32" s="1069"/>
      <c r="I32" s="1069"/>
    </row>
    <row r="33" spans="1:9" s="1483" customFormat="1">
      <c r="A33" s="3755"/>
      <c r="B33" s="3752"/>
      <c r="C33" s="3427" t="s">
        <v>2929</v>
      </c>
      <c r="D33" s="3428"/>
      <c r="E33" s="3429">
        <v>0.8</v>
      </c>
      <c r="F33" s="3426" t="s">
        <v>2930</v>
      </c>
      <c r="G33" s="1079"/>
      <c r="H33" s="1069"/>
      <c r="I33" s="1069"/>
    </row>
    <row r="34" spans="1:9" s="1483" customFormat="1">
      <c r="A34" s="3755"/>
      <c r="B34" s="3752"/>
      <c r="C34" s="3427" t="s">
        <v>2931</v>
      </c>
      <c r="D34" s="3428"/>
      <c r="E34" s="3429">
        <v>0.6</v>
      </c>
      <c r="F34" s="3426" t="s">
        <v>2932</v>
      </c>
      <c r="G34" s="1079"/>
      <c r="H34" s="1069"/>
      <c r="I34" s="1069"/>
    </row>
    <row r="35" spans="1:9" s="1483" customFormat="1">
      <c r="A35" s="3755"/>
      <c r="B35" s="3752"/>
      <c r="C35" s="3427" t="s">
        <v>2933</v>
      </c>
      <c r="D35" s="3428"/>
      <c r="E35" s="3429">
        <v>0.2</v>
      </c>
      <c r="F35" s="3426" t="s">
        <v>2934</v>
      </c>
      <c r="G35" s="1079"/>
      <c r="H35" s="1069"/>
      <c r="I35" s="1069"/>
    </row>
    <row r="36" spans="1:9" s="1483" customFormat="1">
      <c r="A36" s="3755"/>
      <c r="B36" s="3752"/>
      <c r="C36" s="3427" t="s">
        <v>2935</v>
      </c>
      <c r="D36" s="3428"/>
      <c r="E36" s="3429">
        <v>0.2</v>
      </c>
      <c r="F36" s="3426" t="s">
        <v>2936</v>
      </c>
      <c r="G36" s="1079"/>
      <c r="H36" s="1069"/>
      <c r="I36" s="1069"/>
    </row>
    <row r="37" spans="1:9" s="1483" customFormat="1">
      <c r="A37" s="3755"/>
      <c r="B37" s="3746" t="s">
        <v>2937</v>
      </c>
      <c r="C37" s="3427" t="s">
        <v>2938</v>
      </c>
      <c r="D37" s="3428"/>
      <c r="E37" s="3429">
        <v>0.6</v>
      </c>
      <c r="F37" s="3426" t="s">
        <v>2939</v>
      </c>
      <c r="G37" s="1079"/>
      <c r="H37" s="1069"/>
      <c r="I37" s="1069"/>
    </row>
    <row r="38" spans="1:9" s="1483" customFormat="1">
      <c r="A38" s="3755"/>
      <c r="B38" s="3752"/>
      <c r="C38" s="3427" t="s">
        <v>2940</v>
      </c>
      <c r="D38" s="3428"/>
      <c r="E38" s="3429">
        <v>0.6</v>
      </c>
      <c r="F38" s="3426" t="s">
        <v>2941</v>
      </c>
      <c r="G38" s="1079"/>
      <c r="H38" s="1069"/>
      <c r="I38" s="1069"/>
    </row>
    <row r="39" spans="1:9" s="1483" customFormat="1" ht="14.25" thickBot="1">
      <c r="A39" s="3756"/>
      <c r="B39" s="3753"/>
      <c r="C39" s="3430" t="s">
        <v>2942</v>
      </c>
      <c r="D39" s="3431"/>
      <c r="E39" s="3432">
        <v>0.6</v>
      </c>
      <c r="F39" s="3426" t="s">
        <v>2943</v>
      </c>
      <c r="G39" s="1079"/>
      <c r="H39" s="1069"/>
      <c r="I39" s="1069"/>
    </row>
    <row r="40" spans="1:9" s="1483" customFormat="1" ht="14.25" thickBot="1">
      <c r="A40" s="3433" t="s">
        <v>2894</v>
      </c>
      <c r="B40" s="3434" t="s">
        <v>2894</v>
      </c>
      <c r="C40" s="3435" t="s">
        <v>2944</v>
      </c>
      <c r="D40" s="3436"/>
      <c r="E40" s="3437">
        <v>1</v>
      </c>
      <c r="F40" s="3426" t="s">
        <v>2945</v>
      </c>
      <c r="G40" s="1079"/>
      <c r="H40" s="1069"/>
      <c r="I40" s="1069"/>
    </row>
    <row r="41" spans="1:9" s="1483" customFormat="1">
      <c r="A41" s="3748" t="s">
        <v>2895</v>
      </c>
      <c r="B41" s="3751" t="s">
        <v>2946</v>
      </c>
      <c r="C41" s="3423" t="s">
        <v>2947</v>
      </c>
      <c r="D41" s="3424"/>
      <c r="E41" s="3425">
        <v>1</v>
      </c>
      <c r="F41" s="3426" t="s">
        <v>2948</v>
      </c>
      <c r="G41" s="1079"/>
      <c r="H41" s="1069"/>
      <c r="I41" s="1069"/>
    </row>
    <row r="42" spans="1:9" s="1483" customFormat="1">
      <c r="A42" s="3749"/>
      <c r="B42" s="3752"/>
      <c r="C42" s="3427" t="s">
        <v>2949</v>
      </c>
      <c r="D42" s="3428"/>
      <c r="E42" s="3429">
        <v>1</v>
      </c>
      <c r="F42" s="3426" t="s">
        <v>2950</v>
      </c>
      <c r="G42" s="1079"/>
      <c r="H42" s="1069"/>
      <c r="I42" s="1069"/>
    </row>
    <row r="43" spans="1:9" s="1483" customFormat="1">
      <c r="A43" s="3749"/>
      <c r="B43" s="3747"/>
      <c r="C43" s="3427" t="s">
        <v>2951</v>
      </c>
      <c r="D43" s="3428"/>
      <c r="E43" s="3429">
        <v>1.5</v>
      </c>
      <c r="F43" s="3426" t="s">
        <v>2952</v>
      </c>
      <c r="G43" s="1079"/>
      <c r="H43" s="1069"/>
      <c r="I43" s="1069"/>
    </row>
    <row r="44" spans="1:9" s="1483" customFormat="1">
      <c r="A44" s="3749"/>
      <c r="B44" s="3438" t="s">
        <v>2897</v>
      </c>
      <c r="C44" s="3427" t="s">
        <v>2896</v>
      </c>
      <c r="D44" s="3428"/>
      <c r="E44" s="3429">
        <v>2</v>
      </c>
      <c r="F44" s="3426" t="s">
        <v>2953</v>
      </c>
      <c r="G44" s="1079"/>
      <c r="H44" s="1069"/>
      <c r="I44" s="1069"/>
    </row>
    <row r="45" spans="1:9" s="1483" customFormat="1">
      <c r="A45" s="3749"/>
      <c r="B45" s="3746" t="s">
        <v>2954</v>
      </c>
      <c r="C45" s="3427" t="s">
        <v>2955</v>
      </c>
      <c r="D45" s="3428"/>
      <c r="E45" s="3429">
        <v>1</v>
      </c>
      <c r="F45" s="3426" t="s">
        <v>2956</v>
      </c>
      <c r="G45" s="1079"/>
      <c r="H45" s="1069"/>
      <c r="I45" s="1069"/>
    </row>
    <row r="46" spans="1:9" s="1483" customFormat="1">
      <c r="A46" s="3749"/>
      <c r="B46" s="3752"/>
      <c r="C46" s="3427" t="s">
        <v>2957</v>
      </c>
      <c r="D46" s="3428"/>
      <c r="E46" s="3429">
        <v>1</v>
      </c>
      <c r="F46" s="3426" t="s">
        <v>2958</v>
      </c>
      <c r="G46" s="1079"/>
      <c r="H46" s="1069"/>
      <c r="I46" s="1069"/>
    </row>
    <row r="47" spans="1:9" s="1483" customFormat="1">
      <c r="A47" s="3749"/>
      <c r="B47" s="3752"/>
      <c r="C47" s="3427" t="s">
        <v>2959</v>
      </c>
      <c r="D47" s="3428"/>
      <c r="E47" s="3429">
        <v>1</v>
      </c>
      <c r="F47" s="3426" t="s">
        <v>2960</v>
      </c>
      <c r="G47" s="1079"/>
      <c r="H47" s="1069"/>
      <c r="I47" s="1069"/>
    </row>
    <row r="48" spans="1:9" s="1483" customFormat="1">
      <c r="A48" s="3749"/>
      <c r="B48" s="3752"/>
      <c r="C48" s="3427" t="s">
        <v>2961</v>
      </c>
      <c r="D48" s="3428"/>
      <c r="E48" s="3429">
        <v>1</v>
      </c>
      <c r="F48" s="3426" t="s">
        <v>2962</v>
      </c>
      <c r="G48" s="1079"/>
      <c r="H48" s="1069"/>
      <c r="I48" s="1069"/>
    </row>
    <row r="49" spans="1:9" s="1483" customFormat="1">
      <c r="A49" s="3749"/>
      <c r="B49" s="3752"/>
      <c r="C49" s="3427" t="s">
        <v>2963</v>
      </c>
      <c r="D49" s="3428"/>
      <c r="E49" s="3429">
        <v>1</v>
      </c>
      <c r="F49" s="3426" t="s">
        <v>2964</v>
      </c>
      <c r="G49" s="1079"/>
      <c r="H49" s="1069"/>
      <c r="I49" s="1069"/>
    </row>
    <row r="50" spans="1:9" s="1483" customFormat="1">
      <c r="A50" s="3749"/>
      <c r="B50" s="3752"/>
      <c r="C50" s="3427" t="s">
        <v>2965</v>
      </c>
      <c r="D50" s="3428"/>
      <c r="E50" s="3429">
        <v>1</v>
      </c>
      <c r="F50" s="3426" t="s">
        <v>2966</v>
      </c>
      <c r="G50" s="1079"/>
      <c r="H50" s="1069"/>
      <c r="I50" s="1069"/>
    </row>
    <row r="51" spans="1:9" s="1483" customFormat="1" ht="14.25" thickBot="1">
      <c r="A51" s="3750"/>
      <c r="B51" s="3753"/>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c r="A73" s="3438">
        <v>1</v>
      </c>
      <c r="B73" s="3746" t="s">
        <v>2970</v>
      </c>
      <c r="C73" s="3416" t="s">
        <v>2971</v>
      </c>
      <c r="D73" s="3416" t="s">
        <v>2972</v>
      </c>
      <c r="E73" s="3439">
        <v>0.2</v>
      </c>
      <c r="F73" s="3438">
        <v>25</v>
      </c>
      <c r="H73" s="1069">
        <f>SUMIF(C71:C139,基准地价!C8,E71:E139)</f>
        <v>0</v>
      </c>
    </row>
    <row r="74" spans="1:8" s="1069" customFormat="1" ht="24">
      <c r="A74" s="3438">
        <v>2</v>
      </c>
      <c r="B74" s="3752"/>
      <c r="C74" s="3416" t="s">
        <v>2973</v>
      </c>
      <c r="D74" s="3416" t="s">
        <v>2974</v>
      </c>
      <c r="E74" s="3439">
        <v>0.2</v>
      </c>
      <c r="F74" s="3438">
        <v>25</v>
      </c>
    </row>
    <row r="75" spans="1:8" s="1069" customFormat="1" ht="24">
      <c r="A75" s="3438">
        <v>3</v>
      </c>
      <c r="B75" s="3752"/>
      <c r="C75" s="3416" t="s">
        <v>2975</v>
      </c>
      <c r="D75" s="3416" t="s">
        <v>2976</v>
      </c>
      <c r="E75" s="3439">
        <v>0.2</v>
      </c>
      <c r="F75" s="3438">
        <v>25</v>
      </c>
    </row>
    <row r="76" spans="1:8" s="1069" customFormat="1">
      <c r="A76" s="3438">
        <v>4</v>
      </c>
      <c r="B76" s="3752"/>
      <c r="C76" s="3416" t="s">
        <v>2977</v>
      </c>
      <c r="D76" s="3416" t="s">
        <v>2978</v>
      </c>
      <c r="E76" s="3439">
        <v>0.15</v>
      </c>
      <c r="F76" s="3438">
        <v>20</v>
      </c>
    </row>
    <row r="77" spans="1:8" s="1069" customFormat="1" ht="24">
      <c r="A77" s="3438">
        <v>5</v>
      </c>
      <c r="B77" s="3752"/>
      <c r="C77" s="3416" t="s">
        <v>2979</v>
      </c>
      <c r="D77" s="3416" t="s">
        <v>2980</v>
      </c>
      <c r="E77" s="3439">
        <v>0.15</v>
      </c>
      <c r="F77" s="3438">
        <v>20</v>
      </c>
    </row>
    <row r="78" spans="1:8" s="1069" customFormat="1" ht="24">
      <c r="A78" s="3438">
        <v>6</v>
      </c>
      <c r="B78" s="3752"/>
      <c r="C78" s="3416" t="s">
        <v>2981</v>
      </c>
      <c r="D78" s="3416" t="s">
        <v>2982</v>
      </c>
      <c r="E78" s="3439">
        <v>0.15</v>
      </c>
      <c r="F78" s="3438">
        <v>20</v>
      </c>
    </row>
    <row r="79" spans="1:8" s="1069" customFormat="1" ht="24">
      <c r="A79" s="3438">
        <v>7</v>
      </c>
      <c r="B79" s="3752"/>
      <c r="C79" s="3416" t="s">
        <v>2983</v>
      </c>
      <c r="D79" s="3416" t="s">
        <v>2984</v>
      </c>
      <c r="E79" s="3439">
        <v>0.15</v>
      </c>
      <c r="F79" s="3438">
        <v>20</v>
      </c>
    </row>
    <row r="80" spans="1:8" s="1069" customFormat="1" ht="24">
      <c r="A80" s="3438">
        <v>8</v>
      </c>
      <c r="B80" s="3752"/>
      <c r="C80" s="3416" t="s">
        <v>2985</v>
      </c>
      <c r="D80" s="3416" t="s">
        <v>2986</v>
      </c>
      <c r="E80" s="3439">
        <v>0.1</v>
      </c>
      <c r="F80" s="3438">
        <v>15</v>
      </c>
    </row>
    <row r="81" spans="1:6" s="1069" customFormat="1" ht="24">
      <c r="A81" s="3438">
        <v>9</v>
      </c>
      <c r="B81" s="3752"/>
      <c r="C81" s="3416" t="s">
        <v>2987</v>
      </c>
      <c r="D81" s="3416" t="s">
        <v>2988</v>
      </c>
      <c r="E81" s="3439">
        <v>0.1</v>
      </c>
      <c r="F81" s="3438">
        <v>15</v>
      </c>
    </row>
    <row r="82" spans="1:6" s="1069" customFormat="1" ht="24">
      <c r="A82" s="3438">
        <v>10</v>
      </c>
      <c r="B82" s="3752"/>
      <c r="C82" s="3416" t="s">
        <v>2989</v>
      </c>
      <c r="D82" s="3416" t="s">
        <v>2990</v>
      </c>
      <c r="E82" s="3439">
        <v>0.1</v>
      </c>
      <c r="F82" s="3438">
        <v>15</v>
      </c>
    </row>
    <row r="83" spans="1:6" s="1069" customFormat="1" ht="24">
      <c r="A83" s="3438">
        <v>11</v>
      </c>
      <c r="B83" s="3752"/>
      <c r="C83" s="3416" t="s">
        <v>2991</v>
      </c>
      <c r="D83" s="3416" t="s">
        <v>2992</v>
      </c>
      <c r="E83" s="3439">
        <v>0.1</v>
      </c>
      <c r="F83" s="3438">
        <v>15</v>
      </c>
    </row>
    <row r="84" spans="1:6" s="1069" customFormat="1" ht="24">
      <c r="A84" s="3438">
        <v>12</v>
      </c>
      <c r="B84" s="3752"/>
      <c r="C84" s="3416" t="s">
        <v>2993</v>
      </c>
      <c r="D84" s="3416" t="s">
        <v>2994</v>
      </c>
      <c r="E84" s="3439">
        <v>0.1</v>
      </c>
      <c r="F84" s="3438">
        <v>15</v>
      </c>
    </row>
    <row r="85" spans="1:6" s="1069" customFormat="1">
      <c r="A85" s="3438">
        <v>13</v>
      </c>
      <c r="B85" s="3752"/>
      <c r="C85" s="3416" t="s">
        <v>2995</v>
      </c>
      <c r="D85" s="3416" t="s">
        <v>2996</v>
      </c>
      <c r="E85" s="3439">
        <v>0.1</v>
      </c>
      <c r="F85" s="3438">
        <v>15</v>
      </c>
    </row>
    <row r="86" spans="1:6" s="1069" customFormat="1">
      <c r="A86" s="3438">
        <v>14</v>
      </c>
      <c r="B86" s="3752"/>
      <c r="C86" s="3416" t="s">
        <v>2997</v>
      </c>
      <c r="D86" s="3416" t="s">
        <v>2998</v>
      </c>
      <c r="E86" s="3439">
        <v>0.1</v>
      </c>
      <c r="F86" s="3438">
        <v>15</v>
      </c>
    </row>
    <row r="87" spans="1:6" s="1069" customFormat="1">
      <c r="A87" s="3438">
        <v>15</v>
      </c>
      <c r="B87" s="3752"/>
      <c r="C87" s="3416" t="s">
        <v>2999</v>
      </c>
      <c r="D87" s="3416" t="s">
        <v>3000</v>
      </c>
      <c r="E87" s="3439">
        <v>0.1</v>
      </c>
      <c r="F87" s="3438">
        <v>15</v>
      </c>
    </row>
    <row r="88" spans="1:6" s="1069" customFormat="1" ht="24">
      <c r="A88" s="3438">
        <v>16</v>
      </c>
      <c r="B88" s="3752"/>
      <c r="C88" s="3416" t="s">
        <v>3001</v>
      </c>
      <c r="D88" s="3416" t="s">
        <v>3002</v>
      </c>
      <c r="E88" s="3439">
        <v>0.1</v>
      </c>
      <c r="F88" s="3438">
        <v>15</v>
      </c>
    </row>
    <row r="89" spans="1:6" s="1069" customFormat="1" ht="24">
      <c r="A89" s="3438">
        <v>17</v>
      </c>
      <c r="B89" s="3747"/>
      <c r="C89" s="3416" t="s">
        <v>3003</v>
      </c>
      <c r="D89" s="3416" t="s">
        <v>3004</v>
      </c>
      <c r="E89" s="3439">
        <v>0.1</v>
      </c>
      <c r="F89" s="3438">
        <v>15</v>
      </c>
    </row>
    <row r="90" spans="1:6" s="1069" customFormat="1">
      <c r="A90" s="3438">
        <v>18</v>
      </c>
      <c r="B90" s="3746" t="s">
        <v>3005</v>
      </c>
      <c r="C90" s="3416" t="s">
        <v>3006</v>
      </c>
      <c r="D90" s="3416" t="s">
        <v>3007</v>
      </c>
      <c r="E90" s="3439">
        <v>0.2</v>
      </c>
      <c r="F90" s="3438">
        <v>25</v>
      </c>
    </row>
    <row r="91" spans="1:6" s="1069" customFormat="1" ht="24">
      <c r="A91" s="3438">
        <v>19</v>
      </c>
      <c r="B91" s="3752"/>
      <c r="C91" s="3416" t="s">
        <v>3008</v>
      </c>
      <c r="D91" s="3416" t="s">
        <v>3009</v>
      </c>
      <c r="E91" s="3439">
        <v>0.2</v>
      </c>
      <c r="F91" s="3438">
        <v>25</v>
      </c>
    </row>
    <row r="92" spans="1:6" s="1069" customFormat="1">
      <c r="A92" s="3438">
        <v>20</v>
      </c>
      <c r="B92" s="3752"/>
      <c r="C92" s="3416" t="s">
        <v>3010</v>
      </c>
      <c r="D92" s="3416" t="s">
        <v>3011</v>
      </c>
      <c r="E92" s="3439">
        <v>0.15</v>
      </c>
      <c r="F92" s="3438">
        <v>20</v>
      </c>
    </row>
    <row r="93" spans="1:6" s="1069" customFormat="1" ht="24">
      <c r="A93" s="3438">
        <v>21</v>
      </c>
      <c r="B93" s="3752"/>
      <c r="C93" s="3416" t="s">
        <v>3012</v>
      </c>
      <c r="D93" s="3416" t="s">
        <v>3013</v>
      </c>
      <c r="E93" s="3439">
        <v>0.15</v>
      </c>
      <c r="F93" s="3438">
        <v>20</v>
      </c>
    </row>
    <row r="94" spans="1:6" s="1069" customFormat="1" ht="24">
      <c r="A94" s="3438">
        <v>22</v>
      </c>
      <c r="B94" s="3752"/>
      <c r="C94" s="3416" t="s">
        <v>3014</v>
      </c>
      <c r="D94" s="3416" t="s">
        <v>3015</v>
      </c>
      <c r="E94" s="3439">
        <v>0.15</v>
      </c>
      <c r="F94" s="3438">
        <v>20</v>
      </c>
    </row>
    <row r="95" spans="1:6" s="1069" customFormat="1" ht="36">
      <c r="A95" s="3438">
        <v>23</v>
      </c>
      <c r="B95" s="3752"/>
      <c r="C95" s="3416" t="s">
        <v>3016</v>
      </c>
      <c r="D95" s="3416" t="s">
        <v>3017</v>
      </c>
      <c r="E95" s="3439">
        <v>0.15</v>
      </c>
      <c r="F95" s="3438">
        <v>20</v>
      </c>
    </row>
    <row r="96" spans="1:6" s="1069" customFormat="1">
      <c r="A96" s="3438">
        <v>24</v>
      </c>
      <c r="B96" s="3752"/>
      <c r="C96" s="3416" t="s">
        <v>3018</v>
      </c>
      <c r="D96" s="3416" t="s">
        <v>3019</v>
      </c>
      <c r="E96" s="3439">
        <v>0.1</v>
      </c>
      <c r="F96" s="3438">
        <v>15</v>
      </c>
    </row>
    <row r="97" spans="1:6" s="1069" customFormat="1" ht="24">
      <c r="A97" s="3438">
        <v>25</v>
      </c>
      <c r="B97" s="3752"/>
      <c r="C97" s="3416" t="s">
        <v>3020</v>
      </c>
      <c r="D97" s="3416" t="s">
        <v>3021</v>
      </c>
      <c r="E97" s="3439">
        <v>0.1</v>
      </c>
      <c r="F97" s="3438">
        <v>15</v>
      </c>
    </row>
    <row r="98" spans="1:6" s="1069" customFormat="1" ht="24">
      <c r="A98" s="3438">
        <v>26</v>
      </c>
      <c r="B98" s="3752"/>
      <c r="C98" s="3416" t="s">
        <v>3022</v>
      </c>
      <c r="D98" s="3416" t="s">
        <v>3023</v>
      </c>
      <c r="E98" s="3439">
        <v>0.1</v>
      </c>
      <c r="F98" s="3438">
        <v>15</v>
      </c>
    </row>
    <row r="99" spans="1:6" s="1069" customFormat="1" ht="24">
      <c r="A99" s="3438">
        <v>27</v>
      </c>
      <c r="B99" s="3752"/>
      <c r="C99" s="3416" t="s">
        <v>3024</v>
      </c>
      <c r="D99" s="3416" t="s">
        <v>3025</v>
      </c>
      <c r="E99" s="3439">
        <v>0.1</v>
      </c>
      <c r="F99" s="3438">
        <v>15</v>
      </c>
    </row>
    <row r="100" spans="1:6" s="1069" customFormat="1" ht="24">
      <c r="A100" s="3438">
        <v>28</v>
      </c>
      <c r="B100" s="3752"/>
      <c r="C100" s="3416" t="s">
        <v>3026</v>
      </c>
      <c r="D100" s="3416" t="s">
        <v>3027</v>
      </c>
      <c r="E100" s="3439">
        <v>0.1</v>
      </c>
      <c r="F100" s="3438">
        <v>15</v>
      </c>
    </row>
    <row r="101" spans="1:6" s="1069" customFormat="1" ht="24">
      <c r="A101" s="3438">
        <v>29</v>
      </c>
      <c r="B101" s="3752"/>
      <c r="C101" s="3416" t="s">
        <v>3028</v>
      </c>
      <c r="D101" s="3416" t="s">
        <v>3029</v>
      </c>
      <c r="E101" s="3439">
        <v>0.1</v>
      </c>
      <c r="F101" s="3438">
        <v>15</v>
      </c>
    </row>
    <row r="102" spans="1:6" s="1069" customFormat="1" ht="24">
      <c r="A102" s="3438">
        <v>30</v>
      </c>
      <c r="B102" s="3752"/>
      <c r="C102" s="3416" t="s">
        <v>3030</v>
      </c>
      <c r="D102" s="3416" t="s">
        <v>3031</v>
      </c>
      <c r="E102" s="3439">
        <v>0.1</v>
      </c>
      <c r="F102" s="3438">
        <v>15</v>
      </c>
    </row>
    <row r="103" spans="1:6" s="1069" customFormat="1" ht="24">
      <c r="A103" s="3438">
        <v>31</v>
      </c>
      <c r="B103" s="3752"/>
      <c r="C103" s="3416" t="s">
        <v>3032</v>
      </c>
      <c r="D103" s="3416" t="s">
        <v>3033</v>
      </c>
      <c r="E103" s="3439">
        <v>0.1</v>
      </c>
      <c r="F103" s="3438">
        <v>15</v>
      </c>
    </row>
    <row r="104" spans="1:6" s="1069" customFormat="1" ht="24">
      <c r="A104" s="3438">
        <v>32</v>
      </c>
      <c r="B104" s="3752"/>
      <c r="C104" s="3416" t="s">
        <v>3034</v>
      </c>
      <c r="D104" s="3416" t="s">
        <v>3035</v>
      </c>
      <c r="E104" s="3439">
        <v>0.1</v>
      </c>
      <c r="F104" s="3438">
        <v>15</v>
      </c>
    </row>
    <row r="105" spans="1:6" s="1069" customFormat="1" ht="24">
      <c r="A105" s="3438">
        <v>33</v>
      </c>
      <c r="B105" s="3752"/>
      <c r="C105" s="3416" t="s">
        <v>3036</v>
      </c>
      <c r="D105" s="3416" t="s">
        <v>3037</v>
      </c>
      <c r="E105" s="3439">
        <v>0.1</v>
      </c>
      <c r="F105" s="3438">
        <v>15</v>
      </c>
    </row>
    <row r="106" spans="1:6" s="1069" customFormat="1" ht="24">
      <c r="A106" s="3438">
        <v>34</v>
      </c>
      <c r="B106" s="3747"/>
      <c r="C106" s="3416" t="s">
        <v>3038</v>
      </c>
      <c r="D106" s="3416" t="s">
        <v>3039</v>
      </c>
      <c r="E106" s="3439">
        <v>0.1</v>
      </c>
      <c r="F106" s="3438">
        <v>15</v>
      </c>
    </row>
    <row r="107" spans="1:6" s="1069" customFormat="1" ht="24">
      <c r="A107" s="3438">
        <v>35</v>
      </c>
      <c r="B107" s="3746" t="s">
        <v>3040</v>
      </c>
      <c r="C107" s="3438" t="s">
        <v>3041</v>
      </c>
      <c r="D107" s="3416" t="s">
        <v>3042</v>
      </c>
      <c r="E107" s="3439">
        <v>0.15</v>
      </c>
      <c r="F107" s="3438">
        <v>20</v>
      </c>
    </row>
    <row r="108" spans="1:6" s="1069" customFormat="1" ht="24">
      <c r="A108" s="3438">
        <v>36</v>
      </c>
      <c r="B108" s="3752"/>
      <c r="C108" s="3438" t="s">
        <v>3043</v>
      </c>
      <c r="D108" s="3416" t="s">
        <v>3044</v>
      </c>
      <c r="E108" s="3439">
        <v>0.15</v>
      </c>
      <c r="F108" s="3438">
        <v>20</v>
      </c>
    </row>
    <row r="109" spans="1:6" s="1069" customFormat="1" ht="24">
      <c r="A109" s="3438">
        <v>37</v>
      </c>
      <c r="B109" s="3752"/>
      <c r="C109" s="3438" t="s">
        <v>3045</v>
      </c>
      <c r="D109" s="3416" t="s">
        <v>3046</v>
      </c>
      <c r="E109" s="3439">
        <v>0.15</v>
      </c>
      <c r="F109" s="3438">
        <v>20</v>
      </c>
    </row>
    <row r="110" spans="1:6" s="1069" customFormat="1">
      <c r="A110" s="3438">
        <v>38</v>
      </c>
      <c r="B110" s="3752"/>
      <c r="C110" s="3438" t="s">
        <v>3047</v>
      </c>
      <c r="D110" s="3416" t="s">
        <v>3048</v>
      </c>
      <c r="E110" s="3439">
        <v>0.1</v>
      </c>
      <c r="F110" s="3438">
        <v>15</v>
      </c>
    </row>
    <row r="111" spans="1:6" s="1069" customFormat="1" ht="24">
      <c r="A111" s="3438">
        <v>39</v>
      </c>
      <c r="B111" s="3752"/>
      <c r="C111" s="3438" t="s">
        <v>3049</v>
      </c>
      <c r="D111" s="3416" t="s">
        <v>3050</v>
      </c>
      <c r="E111" s="3439">
        <v>0.1</v>
      </c>
      <c r="F111" s="3438">
        <v>15</v>
      </c>
    </row>
    <row r="112" spans="1:6" s="1069" customFormat="1" ht="24">
      <c r="A112" s="3438">
        <v>40</v>
      </c>
      <c r="B112" s="3747"/>
      <c r="C112" s="3438" t="s">
        <v>3051</v>
      </c>
      <c r="D112" s="3416" t="s">
        <v>3052</v>
      </c>
      <c r="E112" s="3439">
        <v>0.1</v>
      </c>
      <c r="F112" s="3438">
        <v>15</v>
      </c>
    </row>
    <row r="113" spans="1:6" s="1069" customFormat="1" ht="24">
      <c r="A113" s="3438">
        <v>41</v>
      </c>
      <c r="B113" s="3745" t="s">
        <v>3053</v>
      </c>
      <c r="C113" s="3438" t="s">
        <v>3054</v>
      </c>
      <c r="D113" s="3416" t="s">
        <v>3055</v>
      </c>
      <c r="E113" s="3439">
        <v>0.1</v>
      </c>
      <c r="F113" s="3438">
        <v>15</v>
      </c>
    </row>
    <row r="114" spans="1:6" s="1069" customFormat="1">
      <c r="A114" s="3438">
        <v>42</v>
      </c>
      <c r="B114" s="3745"/>
      <c r="C114" s="3438" t="s">
        <v>3056</v>
      </c>
      <c r="D114" s="3416" t="s">
        <v>3057</v>
      </c>
      <c r="E114" s="3439">
        <v>0.1</v>
      </c>
      <c r="F114" s="3438">
        <v>15</v>
      </c>
    </row>
    <row r="115" spans="1:6" s="1069" customFormat="1" ht="24">
      <c r="A115" s="3438">
        <v>43</v>
      </c>
      <c r="B115" s="3745"/>
      <c r="C115" s="3438" t="s">
        <v>3058</v>
      </c>
      <c r="D115" s="3416" t="s">
        <v>3059</v>
      </c>
      <c r="E115" s="3439">
        <v>0.1</v>
      </c>
      <c r="F115" s="3438">
        <v>15</v>
      </c>
    </row>
    <row r="116" spans="1:6" s="1069" customFormat="1" ht="24">
      <c r="A116" s="3438">
        <v>44</v>
      </c>
      <c r="B116" s="3746" t="s">
        <v>3060</v>
      </c>
      <c r="C116" s="3438" t="s">
        <v>3061</v>
      </c>
      <c r="D116" s="3416" t="s">
        <v>3062</v>
      </c>
      <c r="E116" s="3439">
        <v>0.1</v>
      </c>
      <c r="F116" s="3438">
        <v>15</v>
      </c>
    </row>
    <row r="117" spans="1:6" s="1069" customFormat="1" ht="24">
      <c r="A117" s="3438">
        <v>45</v>
      </c>
      <c r="B117" s="3747"/>
      <c r="C117" s="3416" t="s">
        <v>3063</v>
      </c>
      <c r="D117" s="3416" t="s">
        <v>3064</v>
      </c>
      <c r="E117" s="3439">
        <v>0.1</v>
      </c>
      <c r="F117" s="3438">
        <v>15</v>
      </c>
    </row>
    <row r="118" spans="1:6" s="1069" customFormat="1" ht="24">
      <c r="A118" s="3438">
        <v>46</v>
      </c>
      <c r="B118" s="3746" t="s">
        <v>3065</v>
      </c>
      <c r="C118" s="3438" t="s">
        <v>3066</v>
      </c>
      <c r="D118" s="3416" t="s">
        <v>3067</v>
      </c>
      <c r="E118" s="3439">
        <v>0.1</v>
      </c>
      <c r="F118" s="3438">
        <v>15</v>
      </c>
    </row>
    <row r="119" spans="1:6" s="1069" customFormat="1" ht="24">
      <c r="A119" s="3438">
        <v>47</v>
      </c>
      <c r="B119" s="3747"/>
      <c r="C119" s="3438" t="s">
        <v>3068</v>
      </c>
      <c r="D119" s="3416" t="s">
        <v>3069</v>
      </c>
      <c r="E119" s="3439">
        <v>0.1</v>
      </c>
      <c r="F119" s="3438">
        <v>15</v>
      </c>
    </row>
    <row r="120" spans="1:6" s="1069" customFormat="1" ht="24">
      <c r="A120" s="3438">
        <v>48</v>
      </c>
      <c r="B120" s="3746" t="s">
        <v>3070</v>
      </c>
      <c r="C120" s="3438" t="s">
        <v>3071</v>
      </c>
      <c r="D120" s="3416" t="s">
        <v>3072</v>
      </c>
      <c r="E120" s="3439">
        <v>0.1</v>
      </c>
      <c r="F120" s="3438">
        <v>15</v>
      </c>
    </row>
    <row r="121" spans="1:6" s="1069" customFormat="1">
      <c r="A121" s="3438">
        <v>49</v>
      </c>
      <c r="B121" s="3747"/>
      <c r="C121" s="3438" t="s">
        <v>3073</v>
      </c>
      <c r="D121" s="3416" t="s">
        <v>3074</v>
      </c>
      <c r="E121" s="3439">
        <v>0.1</v>
      </c>
      <c r="F121" s="3438">
        <v>15</v>
      </c>
    </row>
    <row r="122" spans="1:6" s="1069" customFormat="1" ht="24">
      <c r="A122" s="3438">
        <v>50</v>
      </c>
      <c r="B122" s="3745" t="s">
        <v>3075</v>
      </c>
      <c r="C122" s="3438" t="s">
        <v>3076</v>
      </c>
      <c r="D122" s="3416" t="s">
        <v>3077</v>
      </c>
      <c r="E122" s="3439">
        <v>0.1</v>
      </c>
      <c r="F122" s="3438">
        <v>15</v>
      </c>
    </row>
    <row r="123" spans="1:6" s="1069" customFormat="1" ht="24">
      <c r="A123" s="3438">
        <v>51</v>
      </c>
      <c r="B123" s="3745"/>
      <c r="C123" s="3438" t="s">
        <v>3078</v>
      </c>
      <c r="D123" s="3416" t="s">
        <v>3079</v>
      </c>
      <c r="E123" s="3439">
        <v>0.1</v>
      </c>
      <c r="F123" s="3438">
        <v>15</v>
      </c>
    </row>
    <row r="124" spans="1:6" s="1069" customFormat="1" ht="24">
      <c r="A124" s="3438">
        <v>52</v>
      </c>
      <c r="B124" s="3745" t="s">
        <v>3080</v>
      </c>
      <c r="C124" s="3438" t="s">
        <v>3081</v>
      </c>
      <c r="D124" s="3416" t="s">
        <v>3082</v>
      </c>
      <c r="E124" s="3439">
        <v>0.1</v>
      </c>
      <c r="F124" s="3438">
        <v>15</v>
      </c>
    </row>
    <row r="125" spans="1:6" s="1069" customFormat="1" ht="24">
      <c r="A125" s="3438">
        <v>53</v>
      </c>
      <c r="B125" s="3745"/>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c r="A127" s="3438">
        <v>55</v>
      </c>
      <c r="B127" s="3745" t="s">
        <v>3088</v>
      </c>
      <c r="C127" s="3438" t="s">
        <v>3089</v>
      </c>
      <c r="D127" s="3416" t="s">
        <v>3090</v>
      </c>
      <c r="E127" s="3439">
        <v>0.1</v>
      </c>
      <c r="F127" s="3438">
        <v>15</v>
      </c>
    </row>
    <row r="128" spans="1:6">
      <c r="A128" s="3438">
        <v>56</v>
      </c>
      <c r="B128" s="3745"/>
      <c r="C128" s="3438" t="s">
        <v>3091</v>
      </c>
      <c r="D128" s="3416" t="s">
        <v>3092</v>
      </c>
      <c r="E128" s="3439">
        <v>0.1</v>
      </c>
      <c r="F128" s="3438">
        <v>15</v>
      </c>
    </row>
    <row r="129" spans="1:14" ht="24">
      <c r="A129" s="3438">
        <v>57</v>
      </c>
      <c r="B129" s="3745"/>
      <c r="C129" s="3438" t="s">
        <v>3093</v>
      </c>
      <c r="D129" s="3416" t="s">
        <v>3094</v>
      </c>
      <c r="E129" s="3439">
        <v>0.1</v>
      </c>
      <c r="F129" s="3438">
        <v>15</v>
      </c>
    </row>
    <row r="130" spans="1:14" ht="24">
      <c r="A130" s="3438">
        <v>58</v>
      </c>
      <c r="B130" s="3745" t="s">
        <v>3095</v>
      </c>
      <c r="C130" s="3438" t="s">
        <v>3096</v>
      </c>
      <c r="D130" s="3416" t="s">
        <v>3097</v>
      </c>
      <c r="E130" s="3439">
        <v>0.1</v>
      </c>
      <c r="F130" s="3438">
        <v>15</v>
      </c>
    </row>
    <row r="131" spans="1:14" ht="24">
      <c r="A131" s="3438">
        <v>59</v>
      </c>
      <c r="B131" s="3745"/>
      <c r="C131" s="3438" t="s">
        <v>3098</v>
      </c>
      <c r="D131" s="3416" t="s">
        <v>3099</v>
      </c>
      <c r="E131" s="3439">
        <v>0.1</v>
      </c>
      <c r="F131" s="3438">
        <v>15</v>
      </c>
    </row>
    <row r="132" spans="1:14" ht="24">
      <c r="A132" s="3438">
        <v>60</v>
      </c>
      <c r="B132" s="3746" t="s">
        <v>3100</v>
      </c>
      <c r="C132" s="3438" t="s">
        <v>3101</v>
      </c>
      <c r="D132" s="3416" t="s">
        <v>3102</v>
      </c>
      <c r="E132" s="3439">
        <v>0.1</v>
      </c>
      <c r="F132" s="3438">
        <v>15</v>
      </c>
    </row>
    <row r="133" spans="1:14" ht="24">
      <c r="A133" s="3438">
        <v>61</v>
      </c>
      <c r="B133" s="3747"/>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45" t="s">
        <v>3108</v>
      </c>
      <c r="C135" s="3438" t="s">
        <v>3109</v>
      </c>
      <c r="D135" s="3416" t="s">
        <v>3110</v>
      </c>
      <c r="E135" s="3439">
        <v>0.1</v>
      </c>
      <c r="F135" s="3438">
        <v>15</v>
      </c>
    </row>
    <row r="136" spans="1:14">
      <c r="A136" s="3438">
        <v>64</v>
      </c>
      <c r="B136" s="3745"/>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30" t="s">
        <v>1433</v>
      </c>
      <c r="B141" s="3730"/>
      <c r="C141" s="3730"/>
      <c r="D141" s="3730"/>
      <c r="E141" s="3730"/>
      <c r="F141" s="3730"/>
      <c r="G141" s="3730"/>
      <c r="H141" s="3730"/>
      <c r="I141" s="3730"/>
      <c r="J141" s="3730"/>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57" t="s">
        <v>1017</v>
      </c>
      <c r="B1" s="3757"/>
      <c r="C1" s="3757"/>
      <c r="D1" s="3757"/>
      <c r="E1" s="3757"/>
      <c r="F1" s="3757"/>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58" t="s">
        <v>1030</v>
      </c>
      <c r="B2" s="3758"/>
      <c r="C2" s="3758"/>
      <c r="D2" s="3758"/>
      <c r="E2" s="3758"/>
      <c r="F2" s="3758"/>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59"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0"/>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1" t="s">
        <v>1870</v>
      </c>
      <c r="B1" s="3761"/>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64" t="s">
        <v>2292</v>
      </c>
      <c r="C1" s="3764"/>
      <c r="D1" s="3764"/>
      <c r="E1" s="3764"/>
      <c r="F1" s="3764"/>
      <c r="G1" s="3763" t="s">
        <v>2293</v>
      </c>
      <c r="H1" s="3763"/>
      <c r="I1" s="3763"/>
      <c r="J1" s="3763"/>
      <c r="K1" s="3763"/>
      <c r="L1" s="3763"/>
      <c r="N1" s="3763" t="s">
        <v>2294</v>
      </c>
      <c r="O1" s="3763"/>
      <c r="P1" s="3763"/>
      <c r="Q1" s="3763"/>
      <c r="S1" s="3763" t="s">
        <v>2295</v>
      </c>
      <c r="T1" s="3763"/>
      <c r="U1" s="3763"/>
      <c r="V1" s="3763"/>
      <c r="X1" s="3762" t="s">
        <v>2355</v>
      </c>
      <c r="Y1" s="3763"/>
      <c r="Z1" s="3763"/>
      <c r="AA1" s="3763"/>
      <c r="AB1" s="3763"/>
      <c r="AD1" s="3762" t="s">
        <v>2359</v>
      </c>
      <c r="AE1" s="3763"/>
      <c r="AF1" s="3763"/>
      <c r="AG1" s="3763"/>
      <c r="AH1" s="3763"/>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6">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6"/>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6"/>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72"/>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71">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6"/>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6"/>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72"/>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71">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6"/>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6"/>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7"/>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5">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6"/>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6"/>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7"/>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5">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6"/>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6"/>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7"/>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68">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69"/>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69"/>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0"/>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5">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6"/>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6"/>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7"/>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5">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6">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6">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7">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5">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6">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6">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7">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5">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6">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6">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7">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5">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6">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6">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7">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5">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6">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6">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7">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5">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6">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6">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7">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5">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6">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6">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7">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5">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6">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6">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7">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5">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6">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6">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7">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5">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6">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6">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7">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56.25">
      <c r="A7" s="1663" t="s">
        <v>2463</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-1</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4" t="s">
        <v>2241</v>
      </c>
      <c r="C8" s="1693">
        <f ca="1">ROUND(F8*F10*F9*(1-F11)/10000,0)</f>
        <v>0</v>
      </c>
      <c r="D8" s="1690" t="s">
        <v>2251</v>
      </c>
      <c r="E8" s="61" t="s">
        <v>619</v>
      </c>
      <c r="F8" s="758">
        <f ca="1">INDIRECT("'数据-取费表'!u"&amp;$G$1)</f>
        <v>0</v>
      </c>
      <c r="G8" s="1480"/>
      <c r="H8" s="2307" t="s">
        <v>1623</v>
      </c>
      <c r="I8" s="3774" t="s">
        <v>2241</v>
      </c>
      <c r="J8" s="756">
        <f ca="1">ROUND(M8*M10*M9*(1-M11)/10000,0)</f>
        <v>0</v>
      </c>
      <c r="K8" s="339" t="s">
        <v>2251</v>
      </c>
      <c r="L8" s="757" t="s">
        <v>1537</v>
      </c>
      <c r="M8" s="758">
        <f ca="1">INDIRECT("'数据-取费表'!z"&amp;$G$1)</f>
        <v>0</v>
      </c>
    </row>
    <row r="9" spans="1:25" ht="18" customHeight="1">
      <c r="A9" s="2303"/>
      <c r="B9" s="3775"/>
      <c r="C9" s="1694"/>
      <c r="D9" s="1691"/>
      <c r="E9" s="61" t="s">
        <v>620</v>
      </c>
      <c r="F9" s="758">
        <f ca="1">IF(INDIRECT("'数据-取费表'!ah"&amp;$G$1)="",INDIRECT("'数据-取费表'!k"&amp;$G$1),INDIRECT("'数据-取费表'!ah"&amp;$G$1))</f>
        <v>0</v>
      </c>
      <c r="G9" s="1480"/>
      <c r="H9" s="2292"/>
      <c r="I9" s="3775"/>
      <c r="J9" s="761"/>
      <c r="K9" s="762"/>
      <c r="L9" s="757" t="s">
        <v>1538</v>
      </c>
      <c r="M9" s="758">
        <f ca="1">F9</f>
        <v>0</v>
      </c>
    </row>
    <row r="10" spans="1:25" ht="18" customHeight="1">
      <c r="A10" s="2296"/>
      <c r="B10" s="3776"/>
      <c r="C10" s="1694"/>
      <c r="D10" s="1691"/>
      <c r="E10" s="61" t="s">
        <v>621</v>
      </c>
      <c r="F10" s="758">
        <f ca="1">INDIRECT("'数据-取费表'!ai"&amp;$G$1)</f>
        <v>0</v>
      </c>
      <c r="G10" s="1480"/>
      <c r="H10" s="2292"/>
      <c r="I10" s="3776"/>
      <c r="J10" s="761"/>
      <c r="K10" s="762"/>
      <c r="L10" s="757" t="s">
        <v>1539</v>
      </c>
      <c r="M10" s="758">
        <f ca="1">INDIRECT("'数据-取费表'!ai"&amp;$G$1)</f>
        <v>0</v>
      </c>
    </row>
    <row r="11" spans="1:25" ht="18" customHeight="1">
      <c r="A11" s="759"/>
      <c r="B11" s="3777"/>
      <c r="C11" s="1694"/>
      <c r="D11" s="1691"/>
      <c r="E11" s="61" t="s">
        <v>622</v>
      </c>
      <c r="F11" s="767">
        <f ca="1">INDIRECT("'数据-取费表'!w"&amp;$G$1)</f>
        <v>0</v>
      </c>
      <c r="G11" s="1480"/>
      <c r="H11" s="2308"/>
      <c r="I11" s="3776"/>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单利计息。建造成本、管理费用、销售费用产生的利息。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(建造成本+管理费用)×利率×(建设周期÷2)</v>
      </c>
      <c r="E25" s="757" t="s">
        <v>660</v>
      </c>
      <c r="F25" s="615">
        <f>'数据-取费表'!B20</f>
        <v>1</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4.0000000000000002E-4</v>
      </c>
      <c r="D26" s="2343" t="str">
        <f>IF(F25&lt;=1,"销售费用×利率×(建设周期÷2)","销售费用×((1+利率)^(建设周期÷2)-1)")</f>
        <v>销售费用×利率×(建设周期÷2)</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3"/>
      <c r="J36" s="1914"/>
      <c r="K36" s="1915"/>
      <c r="L36" s="1914"/>
      <c r="M36" s="1914"/>
    </row>
    <row r="37" spans="1:18" ht="18" customHeight="1">
      <c r="A37" s="787"/>
      <c r="B37" s="766"/>
      <c r="C37" s="69"/>
      <c r="D37" s="788"/>
      <c r="E37" s="757" t="s">
        <v>656</v>
      </c>
      <c r="F37" s="758">
        <f ca="1">INDIRECT("'数据-取费表'!r"&amp;$G$1)</f>
        <v>0</v>
      </c>
      <c r="G37" s="1897"/>
      <c r="H37" s="1900"/>
      <c r="I37" s="3773"/>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-1</v>
      </c>
      <c r="K54" s="3778"/>
      <c r="L54" s="3779"/>
      <c r="O54" s="2208" t="s">
        <v>2174</v>
      </c>
      <c r="P54" s="2206" t="s">
        <v>2175</v>
      </c>
      <c r="Q54" s="2207">
        <f ca="1">J54</f>
        <v>-1</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15" customHeight="1">
      <c r="A2" s="3233" t="s">
        <v>2741</v>
      </c>
      <c r="B2" s="3234" t="e">
        <f>C40</f>
        <v>#DIV/0!</v>
      </c>
      <c r="C2" s="3235" t="s">
        <v>2742</v>
      </c>
      <c r="D2" s="3235"/>
      <c r="E2" s="3236"/>
      <c r="F2" s="3237"/>
      <c r="G2" s="3238"/>
      <c r="H2" s="3239"/>
      <c r="I2" s="3240"/>
      <c r="J2" s="3786" t="s">
        <v>2743</v>
      </c>
      <c r="K2" s="3787"/>
      <c r="L2" s="3241" t="s">
        <v>2744</v>
      </c>
      <c r="M2" s="3241" t="s">
        <v>2745</v>
      </c>
      <c r="N2" s="3241" t="s">
        <v>2746</v>
      </c>
      <c r="O2" s="3241" t="s">
        <v>2747</v>
      </c>
      <c r="P2" s="3241" t="s">
        <v>2748</v>
      </c>
      <c r="Q2" s="3242" t="s">
        <v>2749</v>
      </c>
      <c r="R2" s="3243" t="s">
        <v>2750</v>
      </c>
      <c r="S2" s="3231"/>
      <c r="T2" s="3231"/>
      <c r="U2" s="3231"/>
      <c r="V2" s="3240"/>
    </row>
    <row r="3" spans="1:22" s="3244" customFormat="1" ht="13.15" customHeight="1">
      <c r="A3" s="3245" t="s">
        <v>2751</v>
      </c>
      <c r="B3" s="3246" t="e">
        <f>ROUND(B2*10000/B4,0)</f>
        <v>#DIV/0!</v>
      </c>
      <c r="C3" s="3235" t="s">
        <v>2752</v>
      </c>
      <c r="D3" s="3235"/>
      <c r="E3" s="3236"/>
      <c r="F3" s="3237"/>
      <c r="G3" s="3238"/>
      <c r="H3" s="3239"/>
      <c r="I3" s="3240"/>
      <c r="J3" s="3788" t="s">
        <v>2753</v>
      </c>
      <c r="K3" s="3789"/>
      <c r="L3" s="3247"/>
      <c r="M3" s="3247"/>
      <c r="N3" s="3247"/>
      <c r="O3" s="3247"/>
      <c r="P3" s="3247"/>
      <c r="Q3" s="3248"/>
      <c r="R3" s="3249">
        <f>SUM(L3:Q3)</f>
        <v>0</v>
      </c>
      <c r="S3" s="3231"/>
      <c r="T3" s="3231"/>
      <c r="U3" s="3231"/>
      <c r="V3" s="3240"/>
    </row>
    <row r="4" spans="1:22" s="3244" customFormat="1" ht="13.15" customHeight="1">
      <c r="A4" s="3250" t="s">
        <v>2754</v>
      </c>
      <c r="B4" s="3251"/>
      <c r="C4" s="3235"/>
      <c r="D4" s="3235"/>
      <c r="E4" s="3236"/>
      <c r="F4" s="3237"/>
      <c r="G4" s="3238"/>
      <c r="H4" s="3239"/>
      <c r="I4" s="3240"/>
      <c r="J4" s="3788" t="s">
        <v>2755</v>
      </c>
      <c r="K4" s="3789"/>
      <c r="L4" s="3252"/>
      <c r="M4" s="3252"/>
      <c r="N4" s="3252"/>
      <c r="O4" s="3252"/>
      <c r="P4" s="3252"/>
      <c r="Q4" s="3253"/>
      <c r="R4" s="3254">
        <f>SUM(L4:Q4)</f>
        <v>0</v>
      </c>
      <c r="S4" s="3231"/>
      <c r="T4" s="3231"/>
      <c r="U4" s="3231"/>
      <c r="V4" s="3240"/>
    </row>
    <row r="5" spans="1:22" s="3244" customFormat="1" ht="13.15"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15" customHeight="1" thickBot="1">
      <c r="A6" s="3794" t="s">
        <v>2759</v>
      </c>
      <c r="B6" s="3795"/>
      <c r="C6" s="3796"/>
      <c r="D6" s="3261"/>
      <c r="E6" s="3262"/>
      <c r="F6" s="3263"/>
      <c r="G6" s="3264"/>
      <c r="H6" s="3239"/>
      <c r="I6" s="3240"/>
      <c r="J6" s="3780">
        <v>1</v>
      </c>
      <c r="K6" s="3781"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15" customHeight="1">
      <c r="A7" s="3267" t="s">
        <v>2769</v>
      </c>
      <c r="B7" s="3268"/>
      <c r="C7" s="3269"/>
      <c r="D7" s="3270">
        <f>SUM(D9,D10,D11,D17,0)</f>
        <v>0</v>
      </c>
      <c r="E7" s="3271" t="e">
        <f>E9+E10+E11+E17</f>
        <v>#DIV/0!</v>
      </c>
      <c r="F7" s="3272"/>
      <c r="G7" s="3273"/>
      <c r="H7" s="3239"/>
      <c r="I7" s="3240"/>
      <c r="J7" s="3780"/>
      <c r="K7" s="3782"/>
      <c r="L7" s="3274" t="s">
        <v>2770</v>
      </c>
      <c r="M7" s="3275"/>
      <c r="N7" s="3251"/>
      <c r="O7" s="3276"/>
      <c r="P7" s="3276"/>
      <c r="Q7" s="3277">
        <v>365</v>
      </c>
      <c r="R7" s="3278">
        <f>ROUND(M7*N7*O7*P7*Q7/10000,0)</f>
        <v>0</v>
      </c>
      <c r="S7" s="3231"/>
      <c r="T7" s="3231" t="s">
        <v>2771</v>
      </c>
      <c r="U7" s="3231"/>
      <c r="V7" s="3240"/>
    </row>
    <row r="8" spans="1:22" s="3244" customFormat="1" ht="13.15" customHeight="1">
      <c r="A8" s="3279" t="s">
        <v>2772</v>
      </c>
      <c r="B8" s="3797" t="s">
        <v>2773</v>
      </c>
      <c r="C8" s="3798"/>
      <c r="D8" s="3280" t="s">
        <v>2774</v>
      </c>
      <c r="E8" s="3281" t="s">
        <v>2775</v>
      </c>
      <c r="F8" s="3282" t="s">
        <v>2776</v>
      </c>
      <c r="G8" s="3283"/>
      <c r="H8" s="3239"/>
      <c r="I8" s="3240"/>
      <c r="J8" s="3780"/>
      <c r="K8" s="3782"/>
      <c r="L8" s="3274" t="s">
        <v>2777</v>
      </c>
      <c r="M8" s="3275"/>
      <c r="N8" s="3251"/>
      <c r="O8" s="3276"/>
      <c r="P8" s="3276"/>
      <c r="Q8" s="3277">
        <v>365</v>
      </c>
      <c r="R8" s="3278">
        <f t="shared" ref="R8:R13" si="0">ROUND(M8*N8*O8*P8*Q8/10000,0)</f>
        <v>0</v>
      </c>
      <c r="S8" s="3231"/>
      <c r="T8" s="3231" t="s">
        <v>2778</v>
      </c>
      <c r="U8" s="3231"/>
      <c r="V8" s="3240"/>
    </row>
    <row r="9" spans="1:22" s="3244" customFormat="1" ht="13.15" customHeight="1">
      <c r="A9" s="3279">
        <v>1</v>
      </c>
      <c r="B9" s="3797" t="s">
        <v>2779</v>
      </c>
      <c r="C9" s="3798"/>
      <c r="D9" s="3280">
        <f>ROUND(D6*E9,0)</f>
        <v>0</v>
      </c>
      <c r="E9" s="3284"/>
      <c r="F9" s="3285" t="s">
        <v>2780</v>
      </c>
      <c r="G9" s="3264"/>
      <c r="H9" s="3239"/>
      <c r="I9" s="3240"/>
      <c r="J9" s="3780"/>
      <c r="K9" s="3782"/>
      <c r="L9" s="3274" t="s">
        <v>2781</v>
      </c>
      <c r="M9" s="3275"/>
      <c r="N9" s="3251"/>
      <c r="O9" s="3276"/>
      <c r="P9" s="3276"/>
      <c r="Q9" s="3277">
        <v>365</v>
      </c>
      <c r="R9" s="3278">
        <f t="shared" si="0"/>
        <v>0</v>
      </c>
      <c r="S9" s="3231"/>
      <c r="T9" s="3231"/>
      <c r="U9" s="3231"/>
      <c r="V9" s="3240"/>
    </row>
    <row r="10" spans="1:22" s="3244" customFormat="1" ht="13.15" customHeight="1">
      <c r="A10" s="3279">
        <v>2</v>
      </c>
      <c r="B10" s="3797" t="s">
        <v>2782</v>
      </c>
      <c r="C10" s="3798"/>
      <c r="D10" s="3280">
        <f>ROUND(D6*E10,0)</f>
        <v>0</v>
      </c>
      <c r="E10" s="3284"/>
      <c r="F10" s="3285" t="s">
        <v>2783</v>
      </c>
      <c r="G10" s="3264"/>
      <c r="H10" s="3239"/>
      <c r="I10" s="3240"/>
      <c r="J10" s="3780"/>
      <c r="K10" s="3782"/>
      <c r="L10" s="3274" t="s">
        <v>2784</v>
      </c>
      <c r="M10" s="3275"/>
      <c r="N10" s="3251"/>
      <c r="O10" s="3276"/>
      <c r="P10" s="3276"/>
      <c r="Q10" s="3277">
        <v>365</v>
      </c>
      <c r="R10" s="3278">
        <f t="shared" si="0"/>
        <v>0</v>
      </c>
      <c r="S10" s="3231"/>
      <c r="T10" s="3231"/>
      <c r="U10" s="3231"/>
      <c r="V10" s="3240"/>
    </row>
    <row r="11" spans="1:22" s="3244" customFormat="1" ht="13.15" customHeight="1">
      <c r="A11" s="3279">
        <v>3</v>
      </c>
      <c r="B11" s="3797" t="s">
        <v>2785</v>
      </c>
      <c r="C11" s="3798"/>
      <c r="D11" s="3280">
        <f>D12+D14+D15+D16</f>
        <v>0</v>
      </c>
      <c r="E11" s="3286" t="e">
        <f>D11/D6</f>
        <v>#DIV/0!</v>
      </c>
      <c r="F11" s="3282"/>
      <c r="G11" s="3283"/>
      <c r="H11" s="3239"/>
      <c r="I11" s="3240"/>
      <c r="J11" s="3780"/>
      <c r="K11" s="3782"/>
      <c r="L11" s="3274" t="s">
        <v>2786</v>
      </c>
      <c r="M11" s="3275"/>
      <c r="N11" s="3251"/>
      <c r="O11" s="3276"/>
      <c r="P11" s="3276"/>
      <c r="Q11" s="3277">
        <v>365</v>
      </c>
      <c r="R11" s="3278">
        <f t="shared" si="0"/>
        <v>0</v>
      </c>
      <c r="S11" s="3231"/>
      <c r="T11" s="3231"/>
      <c r="U11" s="3231"/>
      <c r="V11" s="3240"/>
    </row>
    <row r="12" spans="1:22" s="3244" customFormat="1" ht="13.15" customHeight="1">
      <c r="A12" s="3287" t="s">
        <v>2787</v>
      </c>
      <c r="B12" s="3790" t="s">
        <v>2788</v>
      </c>
      <c r="C12" s="3791"/>
      <c r="D12" s="3288">
        <f>ROUND(D13*1.2%*(1-30%),0)</f>
        <v>0</v>
      </c>
      <c r="E12" s="3289">
        <v>1.2E-2</v>
      </c>
      <c r="F12" s="3282" t="s">
        <v>2789</v>
      </c>
      <c r="G12" s="3283"/>
      <c r="H12" s="3239"/>
      <c r="I12" s="3240"/>
      <c r="J12" s="3780"/>
      <c r="K12" s="3782"/>
      <c r="L12" s="3274" t="s">
        <v>2790</v>
      </c>
      <c r="M12" s="3275"/>
      <c r="N12" s="3251"/>
      <c r="O12" s="3276"/>
      <c r="P12" s="3276"/>
      <c r="Q12" s="3277">
        <v>365</v>
      </c>
      <c r="R12" s="3278">
        <f t="shared" si="0"/>
        <v>0</v>
      </c>
      <c r="S12" s="3231"/>
      <c r="T12" s="3231"/>
      <c r="U12" s="3231"/>
      <c r="V12" s="3240"/>
    </row>
    <row r="13" spans="1:22" s="3244" customFormat="1" ht="13.15" customHeight="1">
      <c r="A13" s="3287"/>
      <c r="B13" s="3290"/>
      <c r="C13" s="3291" t="s">
        <v>2791</v>
      </c>
      <c r="D13" s="3292"/>
      <c r="E13" s="3293"/>
      <c r="F13" s="3282"/>
      <c r="G13" s="3283"/>
      <c r="H13" s="3239"/>
      <c r="I13" s="3240"/>
      <c r="J13" s="3780"/>
      <c r="K13" s="3782"/>
      <c r="L13" s="3274" t="s">
        <v>2792</v>
      </c>
      <c r="M13" s="3275"/>
      <c r="N13" s="3251"/>
      <c r="O13" s="3276"/>
      <c r="P13" s="3276"/>
      <c r="Q13" s="3277">
        <v>365</v>
      </c>
      <c r="R13" s="3278">
        <f t="shared" si="0"/>
        <v>0</v>
      </c>
      <c r="S13" s="3231"/>
      <c r="T13" s="3231"/>
      <c r="U13" s="3231"/>
      <c r="V13" s="3240"/>
    </row>
    <row r="14" spans="1:22" s="3244" customFormat="1" ht="13.15" customHeight="1">
      <c r="A14" s="3287" t="s">
        <v>2793</v>
      </c>
      <c r="B14" s="3790" t="s">
        <v>2794</v>
      </c>
      <c r="C14" s="3791"/>
      <c r="D14" s="3288">
        <f>ROUND(E14*B5/10000,0)</f>
        <v>0</v>
      </c>
      <c r="E14" s="3277"/>
      <c r="F14" s="3282" t="s">
        <v>2795</v>
      </c>
      <c r="G14" s="3283"/>
      <c r="H14" s="3239"/>
      <c r="I14" s="3240"/>
      <c r="J14" s="3780"/>
      <c r="K14" s="3783"/>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2797</v>
      </c>
      <c r="B15" s="3790" t="s">
        <v>2798</v>
      </c>
      <c r="C15" s="3791"/>
      <c r="D15" s="3288">
        <f>ROUND(D6*E15,0)</f>
        <v>0</v>
      </c>
      <c r="E15" s="3289">
        <v>5.5E-2</v>
      </c>
      <c r="F15" s="3282" t="s">
        <v>2799</v>
      </c>
      <c r="G15" s="3264"/>
      <c r="H15" s="3239"/>
      <c r="I15" s="3240"/>
      <c r="J15" s="3780">
        <v>2</v>
      </c>
      <c r="K15" s="3781"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15" customHeight="1">
      <c r="A16" s="3287" t="s">
        <v>2808</v>
      </c>
      <c r="B16" s="3790" t="s">
        <v>2809</v>
      </c>
      <c r="C16" s="3791"/>
      <c r="D16" s="3299">
        <f>D6*E16</f>
        <v>0</v>
      </c>
      <c r="E16" s="3300"/>
      <c r="F16" s="3285" t="s">
        <v>2810</v>
      </c>
      <c r="G16" s="3264"/>
      <c r="H16" s="3239"/>
      <c r="I16" s="3240"/>
      <c r="J16" s="3780"/>
      <c r="K16" s="3782"/>
      <c r="L16" s="3274" t="s">
        <v>2811</v>
      </c>
      <c r="M16" s="3275"/>
      <c r="N16" s="3275"/>
      <c r="O16" s="3276"/>
      <c r="P16" s="3277">
        <v>365</v>
      </c>
      <c r="Q16" s="3251"/>
      <c r="R16" s="3298">
        <f>ROUND(M16*N16*O16*P16/10000,0)</f>
        <v>0</v>
      </c>
      <c r="S16" s="3231"/>
      <c r="T16" s="3231"/>
      <c r="U16" s="3231"/>
      <c r="V16" s="3240"/>
    </row>
    <row r="17" spans="1:22" s="3244" customFormat="1" ht="13.15" customHeight="1" thickBot="1">
      <c r="A17" s="3301">
        <v>4</v>
      </c>
      <c r="B17" s="3792" t="s">
        <v>2812</v>
      </c>
      <c r="C17" s="3793"/>
      <c r="D17" s="3302">
        <f>ROUND(D6*E17,0)</f>
        <v>0</v>
      </c>
      <c r="E17" s="3303"/>
      <c r="F17" s="3304" t="s">
        <v>2813</v>
      </c>
      <c r="G17" s="3264"/>
      <c r="H17" s="3239"/>
      <c r="I17" s="3240"/>
      <c r="J17" s="3780"/>
      <c r="K17" s="3782"/>
      <c r="L17" s="3274" t="s">
        <v>2814</v>
      </c>
      <c r="M17" s="3275"/>
      <c r="N17" s="3275"/>
      <c r="O17" s="3276"/>
      <c r="P17" s="3277">
        <v>365</v>
      </c>
      <c r="Q17" s="3251"/>
      <c r="R17" s="3298">
        <f>ROUND(M17*N17*O17*P17/10000,0)</f>
        <v>0</v>
      </c>
      <c r="S17" s="3231"/>
      <c r="T17" s="3231"/>
      <c r="U17" s="3231"/>
      <c r="V17" s="3240"/>
    </row>
    <row r="18" spans="1:22" s="3244" customFormat="1" ht="13.15" customHeight="1" thickBot="1">
      <c r="A18" s="3267" t="s">
        <v>2815</v>
      </c>
      <c r="B18" s="3268"/>
      <c r="C18" s="3268"/>
      <c r="D18" s="3305">
        <f>ROUND(D6*E18,0)</f>
        <v>0</v>
      </c>
      <c r="E18" s="3306"/>
      <c r="F18" s="3307" t="s">
        <v>2816</v>
      </c>
      <c r="G18" s="3264"/>
      <c r="H18" s="3239"/>
      <c r="I18" s="3240"/>
      <c r="J18" s="3780"/>
      <c r="K18" s="3782"/>
      <c r="L18" s="3274" t="s">
        <v>2817</v>
      </c>
      <c r="M18" s="3275"/>
      <c r="N18" s="3275"/>
      <c r="O18" s="3276"/>
      <c r="P18" s="3277">
        <v>365</v>
      </c>
      <c r="Q18" s="3251"/>
      <c r="R18" s="3298">
        <f>ROUND(M18*N18*O18*P18/10000,0)</f>
        <v>0</v>
      </c>
      <c r="S18" s="3231"/>
      <c r="T18" s="3231"/>
      <c r="U18" s="3231"/>
      <c r="V18" s="3240"/>
    </row>
    <row r="19" spans="1:22" s="3244" customFormat="1" ht="13.15" customHeight="1" thickBot="1">
      <c r="A19" s="3308" t="s">
        <v>2818</v>
      </c>
      <c r="B19" s="3262"/>
      <c r="C19" s="3262"/>
      <c r="D19" s="3262"/>
      <c r="E19" s="3262"/>
      <c r="F19" s="3263"/>
      <c r="G19" s="3283"/>
      <c r="H19" s="3239"/>
      <c r="I19" s="3240"/>
      <c r="J19" s="3780"/>
      <c r="K19" s="3783"/>
      <c r="L19" s="3294" t="s">
        <v>2796</v>
      </c>
      <c r="M19" s="3295"/>
      <c r="N19" s="3295">
        <f>SUM(N16:N18)</f>
        <v>0</v>
      </c>
      <c r="O19" s="3296"/>
      <c r="P19" s="3309" t="s">
        <v>2884</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0">
        <v>3</v>
      </c>
      <c r="K20" s="3781"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15" customHeight="1">
      <c r="A21" s="3267"/>
      <c r="B21" s="3268"/>
      <c r="C21" s="3314" t="s">
        <v>2826</v>
      </c>
      <c r="D21" s="3315" t="s">
        <v>2827</v>
      </c>
      <c r="E21" s="3316" t="s">
        <v>2828</v>
      </c>
      <c r="F21" s="3311"/>
      <c r="G21" s="3283"/>
      <c r="H21" s="3239"/>
      <c r="I21" s="3240"/>
      <c r="J21" s="3780"/>
      <c r="K21" s="3782"/>
      <c r="L21" s="3274" t="s">
        <v>2829</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2830</v>
      </c>
      <c r="D22" s="3319" t="s">
        <v>2831</v>
      </c>
      <c r="E22" s="3320" t="s">
        <v>2832</v>
      </c>
      <c r="F22" s="3311"/>
      <c r="G22" s="3321"/>
      <c r="H22" s="3239"/>
      <c r="I22" s="3240"/>
      <c r="J22" s="3780"/>
      <c r="K22" s="3782"/>
      <c r="L22" s="3274" t="s">
        <v>2833</v>
      </c>
      <c r="M22" s="3275"/>
      <c r="N22" s="3275"/>
      <c r="O22" s="3276"/>
      <c r="P22" s="3277">
        <v>365</v>
      </c>
      <c r="Q22" s="3251"/>
      <c r="R22" s="3317">
        <f>ROUND(M22*N22*O22*P22/10000,0)</f>
        <v>0</v>
      </c>
      <c r="S22" s="3313"/>
      <c r="T22" s="3313"/>
      <c r="U22" s="3313"/>
      <c r="V22" s="3240"/>
    </row>
    <row r="23" spans="1:22" s="3244" customFormat="1" ht="13.15" customHeight="1">
      <c r="A23" s="3322">
        <v>1</v>
      </c>
      <c r="B23" s="3323" t="s">
        <v>2834</v>
      </c>
      <c r="C23" s="3324">
        <f>D6</f>
        <v>0</v>
      </c>
      <c r="D23" s="3325">
        <f>C23*(1+D24)</f>
        <v>0</v>
      </c>
      <c r="E23" s="3326">
        <f>D23*(1+E24)</f>
        <v>0</v>
      </c>
      <c r="F23" s="3327"/>
      <c r="G23" s="3328"/>
      <c r="H23" s="3239"/>
      <c r="I23" s="3240"/>
      <c r="J23" s="3780"/>
      <c r="K23" s="3782"/>
      <c r="L23" s="3274" t="s">
        <v>2835</v>
      </c>
      <c r="M23" s="3275"/>
      <c r="N23" s="3275"/>
      <c r="O23" s="3276"/>
      <c r="P23" s="3277">
        <v>365</v>
      </c>
      <c r="Q23" s="3251"/>
      <c r="R23" s="3317">
        <f>ROUND(M23*N23*O23*P23/10000,0)</f>
        <v>0</v>
      </c>
      <c r="S23" s="3231"/>
      <c r="T23" s="3231"/>
      <c r="U23" s="3231"/>
      <c r="V23" s="3240"/>
    </row>
    <row r="24" spans="1:22" s="3244" customFormat="1" ht="13.15" customHeight="1">
      <c r="A24" s="3329"/>
      <c r="B24" s="3330" t="s">
        <v>2836</v>
      </c>
      <c r="C24" s="3331"/>
      <c r="D24" s="3332"/>
      <c r="E24" s="3333"/>
      <c r="F24" s="3334"/>
      <c r="G24" s="3328"/>
      <c r="H24" s="3239"/>
      <c r="I24" s="3240"/>
      <c r="J24" s="3780"/>
      <c r="K24" s="3783"/>
      <c r="L24" s="3294" t="s">
        <v>2796</v>
      </c>
      <c r="M24" s="3295">
        <f>SUM(M21:M23)</f>
        <v>0</v>
      </c>
      <c r="N24" s="3295"/>
      <c r="O24" s="3296"/>
      <c r="P24" s="3309" t="s">
        <v>2884</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15" customHeight="1">
      <c r="A26" s="3322">
        <v>2</v>
      </c>
      <c r="B26" s="3323" t="s">
        <v>2838</v>
      </c>
      <c r="C26" s="3324">
        <f>D7</f>
        <v>0</v>
      </c>
      <c r="D26" s="3325">
        <f>D23*D27</f>
        <v>0</v>
      </c>
      <c r="E26" s="3326">
        <f>E23*E27</f>
        <v>0</v>
      </c>
      <c r="F26" s="3327"/>
      <c r="G26" s="3328"/>
      <c r="H26" s="3239"/>
      <c r="I26" s="3240"/>
      <c r="J26" s="3784">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15" customHeight="1">
      <c r="A27" s="3329"/>
      <c r="B27" s="3330" t="s">
        <v>2845</v>
      </c>
      <c r="C27" s="3348" t="e">
        <f>E7</f>
        <v>#DIV/0!</v>
      </c>
      <c r="D27" s="3332"/>
      <c r="E27" s="3333"/>
      <c r="F27" s="3334"/>
      <c r="G27" s="3328"/>
      <c r="H27" s="3349"/>
      <c r="I27" s="3340"/>
      <c r="J27" s="3785"/>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15"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15" customHeight="1">
      <c r="A32" s="3322">
        <v>4</v>
      </c>
      <c r="B32" s="3323" t="s">
        <v>2854</v>
      </c>
      <c r="C32" s="3324">
        <f>C23-C26-C29</f>
        <v>0</v>
      </c>
      <c r="D32" s="3325">
        <f>D23-D26-D29</f>
        <v>0</v>
      </c>
      <c r="E32" s="3326">
        <f>E23-E26-E29</f>
        <v>0</v>
      </c>
      <c r="F32" s="3327"/>
      <c r="G32" s="3321"/>
      <c r="H32" s="3239"/>
      <c r="I32" s="3240"/>
      <c r="J32" s="3786" t="s">
        <v>2855</v>
      </c>
      <c r="K32" s="3787"/>
      <c r="L32" s="3241" t="s">
        <v>2856</v>
      </c>
      <c r="M32" s="3241" t="s">
        <v>2745</v>
      </c>
      <c r="N32" s="3241" t="s">
        <v>2746</v>
      </c>
      <c r="O32" s="3241" t="s">
        <v>2747</v>
      </c>
      <c r="P32" s="3241" t="s">
        <v>2748</v>
      </c>
      <c r="Q32" s="3242" t="s">
        <v>2857</v>
      </c>
      <c r="R32" s="3364" t="s">
        <v>2858</v>
      </c>
      <c r="S32" s="3313"/>
      <c r="T32" s="3231"/>
      <c r="U32" s="3231"/>
      <c r="V32" s="3340"/>
    </row>
    <row r="33" spans="1:23" s="3244" customFormat="1" ht="13.15" customHeight="1">
      <c r="A33" s="3322"/>
      <c r="B33" s="3323"/>
      <c r="C33" s="3324"/>
      <c r="D33" s="3365"/>
      <c r="E33" s="3366"/>
      <c r="F33" s="3327"/>
      <c r="G33" s="3321"/>
      <c r="H33" s="3349"/>
      <c r="I33" s="3340"/>
      <c r="J33" s="3788" t="s">
        <v>2859</v>
      </c>
      <c r="K33" s="3789"/>
      <c r="L33" s="3247"/>
      <c r="M33" s="3247"/>
      <c r="N33" s="3247"/>
      <c r="O33" s="3247"/>
      <c r="P33" s="3247"/>
      <c r="Q33" s="3248"/>
      <c r="R33" s="3367">
        <f>SUM(L33:Q33)</f>
        <v>0</v>
      </c>
      <c r="S33" s="3313"/>
      <c r="T33" s="3231"/>
      <c r="U33" s="3231"/>
      <c r="V33" s="3240"/>
    </row>
    <row r="34" spans="1:23" s="3244" customFormat="1" ht="13.15" customHeight="1">
      <c r="A34" s="3322">
        <v>5</v>
      </c>
      <c r="B34" s="3323" t="s">
        <v>2860</v>
      </c>
      <c r="C34" s="3368"/>
      <c r="D34" s="3369"/>
      <c r="E34" s="3370"/>
      <c r="F34" s="3327"/>
      <c r="G34" s="3321"/>
      <c r="H34" s="3349"/>
      <c r="I34" s="3340"/>
      <c r="J34" s="3788" t="s">
        <v>2861</v>
      </c>
      <c r="K34" s="3789"/>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15" customHeight="1" thickBot="1">
      <c r="A36" s="3322">
        <v>7</v>
      </c>
      <c r="B36" s="3377" t="s">
        <v>2865</v>
      </c>
      <c r="C36" s="3378"/>
      <c r="D36" s="3379"/>
      <c r="E36" s="3380"/>
      <c r="F36" s="3381">
        <f>C36+D36+E36</f>
        <v>0</v>
      </c>
      <c r="G36" s="3321"/>
      <c r="H36" s="3239"/>
      <c r="I36" s="3240"/>
      <c r="J36" s="3780">
        <v>1</v>
      </c>
      <c r="K36" s="3781" t="s">
        <v>2866</v>
      </c>
      <c r="L36" s="3265"/>
      <c r="M36" s="3266"/>
      <c r="N36" s="3266"/>
      <c r="O36" s="3266"/>
      <c r="P36" s="3266"/>
      <c r="Q36" s="3266"/>
      <c r="R36" s="3249" t="s">
        <v>2767</v>
      </c>
      <c r="S36" s="3313"/>
      <c r="T36" s="3231" t="s">
        <v>2768</v>
      </c>
      <c r="U36" s="3231"/>
      <c r="V36" s="3240"/>
    </row>
    <row r="37" spans="1:23" s="3244" customFormat="1" ht="13.15" customHeight="1">
      <c r="A37" s="3322"/>
      <c r="B37" s="3323"/>
      <c r="C37" s="3323"/>
      <c r="D37" s="3323"/>
      <c r="E37" s="3323"/>
      <c r="F37" s="3327"/>
      <c r="G37" s="3321"/>
      <c r="H37" s="3239"/>
      <c r="I37" s="3240"/>
      <c r="J37" s="3780"/>
      <c r="K37" s="3782"/>
      <c r="L37" s="3274"/>
      <c r="M37" s="3275"/>
      <c r="N37" s="3251"/>
      <c r="O37" s="3276"/>
      <c r="P37" s="3276"/>
      <c r="Q37" s="3277"/>
      <c r="R37" s="3278"/>
      <c r="S37" s="3313"/>
      <c r="T37" s="3231" t="s">
        <v>2771</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0"/>
      <c r="K38" s="3782"/>
      <c r="L38" s="3274"/>
      <c r="M38" s="3275"/>
      <c r="N38" s="3251"/>
      <c r="O38" s="3276"/>
      <c r="P38" s="3276"/>
      <c r="Q38" s="3277"/>
      <c r="R38" s="3278"/>
      <c r="S38" s="3313"/>
      <c r="T38" s="3231" t="s">
        <v>2778</v>
      </c>
      <c r="U38" s="3231"/>
      <c r="V38" s="3240"/>
    </row>
    <row r="39" spans="1:23" s="3244" customFormat="1" ht="13.15" customHeight="1">
      <c r="A39" s="3322">
        <v>9</v>
      </c>
      <c r="B39" s="3323" t="s">
        <v>2867</v>
      </c>
      <c r="C39" s="3288" t="e">
        <f>C38</f>
        <v>#DIV/0!</v>
      </c>
      <c r="D39" s="3323">
        <f>D38/(1+D34)^C36</f>
        <v>0</v>
      </c>
      <c r="E39" s="3323">
        <f>E38/(1+E34)^(C36+D36)</f>
        <v>0</v>
      </c>
      <c r="F39" s="3327"/>
      <c r="G39" s="3382"/>
      <c r="H39" s="3239"/>
      <c r="I39" s="3240"/>
      <c r="J39" s="3780"/>
      <c r="K39" s="3782"/>
      <c r="L39" s="3274"/>
      <c r="M39" s="3275"/>
      <c r="N39" s="3251"/>
      <c r="O39" s="3276"/>
      <c r="P39" s="3276"/>
      <c r="Q39" s="3277"/>
      <c r="R39" s="3278"/>
      <c r="S39" s="3313"/>
      <c r="T39" s="3231"/>
      <c r="U39" s="3231"/>
      <c r="V39" s="3240"/>
    </row>
    <row r="40" spans="1:23" s="3244" customFormat="1" ht="13.15" customHeight="1">
      <c r="A40" s="3383">
        <v>10</v>
      </c>
      <c r="B40" s="3323" t="s">
        <v>2868</v>
      </c>
      <c r="C40" s="3384" t="e">
        <f>C39+D39+E39</f>
        <v>#DIV/0!</v>
      </c>
      <c r="D40" s="3385"/>
      <c r="E40" s="3385"/>
      <c r="F40" s="3386"/>
      <c r="G40" s="3321"/>
      <c r="H40" s="3239"/>
      <c r="I40" s="3240"/>
      <c r="J40" s="3780"/>
      <c r="K40" s="3783"/>
      <c r="L40" s="3294" t="s">
        <v>2869</v>
      </c>
      <c r="M40" s="3295"/>
      <c r="N40" s="3295"/>
      <c r="O40" s="3296"/>
      <c r="P40" s="3296"/>
      <c r="Q40" s="3297"/>
      <c r="R40" s="3243">
        <f>SUM(R37:R39)</f>
        <v>0</v>
      </c>
      <c r="S40" s="3313"/>
      <c r="T40" s="3231"/>
      <c r="U40" s="3231"/>
      <c r="V40" s="3240"/>
    </row>
    <row r="41" spans="1:23" s="3244" customFormat="1" ht="13.15"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15" customHeight="1">
      <c r="G42" s="3391"/>
      <c r="H42" s="3239"/>
      <c r="I42" s="3240"/>
      <c r="J42" s="3784">
        <v>3</v>
      </c>
      <c r="K42" s="3342" t="s">
        <v>2872</v>
      </c>
      <c r="L42" s="3343"/>
      <c r="M42" s="3344"/>
      <c r="N42" s="3345" t="s">
        <v>2873</v>
      </c>
      <c r="O42" s="3345" t="s">
        <v>2874</v>
      </c>
      <c r="P42" s="3346" t="s">
        <v>2875</v>
      </c>
      <c r="Q42" s="3346" t="s">
        <v>2876</v>
      </c>
      <c r="R42" s="3249" t="s">
        <v>2877</v>
      </c>
      <c r="S42" s="3347"/>
      <c r="T42" s="3347"/>
      <c r="U42" s="3231"/>
      <c r="V42" s="3240"/>
    </row>
    <row r="43" spans="1:23" ht="13.15" customHeight="1">
      <c r="A43" s="3244"/>
      <c r="B43" s="3244"/>
      <c r="C43" s="3244"/>
      <c r="D43" s="3244"/>
      <c r="E43" s="3244"/>
      <c r="F43" s="3244"/>
      <c r="I43" s="3226"/>
      <c r="J43" s="3785"/>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238</v>
      </c>
      <c r="D12" s="3176">
        <f>'数据-汇总表'!E5</f>
        <v>14019.95</v>
      </c>
      <c r="E12" s="3176">
        <f>'数据-取费表'!B27</f>
        <v>170</v>
      </c>
      <c r="F12" s="729"/>
      <c r="G12" s="732"/>
    </row>
    <row r="13" spans="1:25" s="2016" customFormat="1" ht="13.5" customHeight="1">
      <c r="A13" s="2281" t="s">
        <v>2227</v>
      </c>
      <c r="B13" s="730" t="s">
        <v>594</v>
      </c>
      <c r="C13" s="731">
        <f>ROUND(D13*E13/10000,0)</f>
        <v>156</v>
      </c>
      <c r="D13" s="3176">
        <f>'数据-汇总表'!E6</f>
        <v>9193.0400000000009</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0.92600000000000005</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54" sqref="M5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16667</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11888</v>
      </c>
      <c r="C3" s="824" t="s">
        <v>704</v>
      </c>
      <c r="D3" s="823">
        <f>SUMIF('数据-汇总表'!$C19:$C33,D1,'数据-汇总表'!$E19:$E33)</f>
        <v>14019.95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2" t="s">
        <v>505</v>
      </c>
      <c r="D4" s="3693"/>
      <c r="E4" s="3718" t="s">
        <v>506</v>
      </c>
      <c r="F4" s="3719"/>
      <c r="G4" s="3692" t="s">
        <v>507</v>
      </c>
      <c r="H4" s="3693"/>
      <c r="I4" s="3692" t="s">
        <v>508</v>
      </c>
      <c r="J4" s="3693"/>
      <c r="K4" s="825" t="s">
        <v>509</v>
      </c>
      <c r="L4" s="1967"/>
      <c r="M4" s="1968"/>
      <c r="N4" s="1968"/>
      <c r="O4" s="1968"/>
      <c r="P4" s="3694" t="s">
        <v>510</v>
      </c>
      <c r="Q4" s="3695"/>
      <c r="R4" s="3678" t="s">
        <v>506</v>
      </c>
      <c r="S4" s="3679"/>
      <c r="T4" s="3678" t="s">
        <v>507</v>
      </c>
      <c r="U4" s="3679"/>
      <c r="V4" s="3700" t="s">
        <v>508</v>
      </c>
      <c r="W4" s="3700"/>
      <c r="X4" s="1455"/>
      <c r="Y4" s="3678" t="s">
        <v>510</v>
      </c>
      <c r="Z4" s="3679"/>
      <c r="AA4" s="3673" t="s">
        <v>506</v>
      </c>
      <c r="AB4" s="3673" t="s">
        <v>507</v>
      </c>
      <c r="AC4" s="3673" t="s">
        <v>508</v>
      </c>
    </row>
    <row r="5" spans="1:29" ht="15">
      <c r="A5" s="492"/>
      <c r="B5" s="493"/>
      <c r="C5" s="3703" t="s">
        <v>2630</v>
      </c>
      <c r="D5" s="3704"/>
      <c r="E5" s="3720" t="s">
        <v>2631</v>
      </c>
      <c r="F5" s="3721"/>
      <c r="G5" s="3703" t="s">
        <v>2632</v>
      </c>
      <c r="H5" s="3704"/>
      <c r="I5" s="3703" t="s">
        <v>2633</v>
      </c>
      <c r="J5" s="3704"/>
      <c r="K5" s="826"/>
      <c r="L5" s="1967"/>
      <c r="M5" s="1968"/>
      <c r="N5" s="1968"/>
      <c r="O5" s="1968"/>
      <c r="P5" s="3696"/>
      <c r="Q5" s="3697"/>
      <c r="R5" s="3680"/>
      <c r="S5" s="3681"/>
      <c r="T5" s="3680"/>
      <c r="U5" s="3681"/>
      <c r="V5" s="3700"/>
      <c r="W5" s="3700"/>
      <c r="X5" s="1455"/>
      <c r="Y5" s="3680"/>
      <c r="Z5" s="3681"/>
      <c r="AA5" s="3674"/>
      <c r="AB5" s="3674"/>
      <c r="AC5" s="3674"/>
    </row>
    <row r="6" spans="1:29" ht="15.75" thickBot="1">
      <c r="A6" s="494"/>
      <c r="B6" s="495"/>
      <c r="C6" s="3701" t="s">
        <v>2634</v>
      </c>
      <c r="D6" s="3702"/>
      <c r="E6" s="3722" t="s">
        <v>2634</v>
      </c>
      <c r="F6" s="3723"/>
      <c r="G6" s="3701" t="s">
        <v>2634</v>
      </c>
      <c r="H6" s="3702"/>
      <c r="I6" s="3701" t="s">
        <v>2634</v>
      </c>
      <c r="J6" s="3702"/>
      <c r="K6" s="826" t="s">
        <v>511</v>
      </c>
      <c r="L6" s="1967"/>
      <c r="M6" s="1968"/>
      <c r="N6" s="1968"/>
      <c r="O6" s="1968"/>
      <c r="P6" s="3698"/>
      <c r="Q6" s="3699"/>
      <c r="R6" s="3680"/>
      <c r="S6" s="3681"/>
      <c r="T6" s="3682"/>
      <c r="U6" s="3683"/>
      <c r="V6" s="3700"/>
      <c r="W6" s="3700"/>
      <c r="X6" s="1455"/>
      <c r="Y6" s="3682"/>
      <c r="Z6" s="3683"/>
      <c r="AA6" s="3675"/>
      <c r="AB6" s="3675"/>
      <c r="AC6" s="3675"/>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676" t="s">
        <v>513</v>
      </c>
      <c r="Q7" s="3685"/>
      <c r="R7" s="1456" t="s">
        <v>13</v>
      </c>
      <c r="S7" s="1457">
        <f t="shared" ref="S7:S15" si="0">F7</f>
        <v>100</v>
      </c>
      <c r="T7" s="1456" t="s">
        <v>13</v>
      </c>
      <c r="U7" s="1457">
        <f t="shared" ref="U7:U15" si="1">H7</f>
        <v>100</v>
      </c>
      <c r="V7" s="1456" t="s">
        <v>13</v>
      </c>
      <c r="W7" s="1457">
        <f t="shared" ref="W7:W15" si="2">J7</f>
        <v>100</v>
      </c>
      <c r="X7" s="1458"/>
      <c r="Y7" s="3676" t="s">
        <v>513</v>
      </c>
      <c r="Z7" s="3677"/>
      <c r="AA7" s="1459">
        <f>D7/F7</f>
        <v>1</v>
      </c>
      <c r="AB7" s="1459">
        <f>D7/H7</f>
        <v>1</v>
      </c>
      <c r="AC7" s="1459">
        <f>D7/J7</f>
        <v>1</v>
      </c>
    </row>
    <row r="8" spans="1:29" s="1165" customFormat="1" ht="15.75" thickBot="1">
      <c r="A8" s="2549"/>
      <c r="B8" s="2556" t="s">
        <v>514</v>
      </c>
      <c r="C8" s="502" t="s">
        <v>558</v>
      </c>
      <c r="D8" s="497">
        <v>100</v>
      </c>
      <c r="E8" s="3480" t="s">
        <v>3416</v>
      </c>
      <c r="F8" s="499">
        <f>SUMIF(61:61,E8,62:62)-SUMIF(61:61,C8,62:62)+100</f>
        <v>100</v>
      </c>
      <c r="G8" s="3472" t="s">
        <v>3416</v>
      </c>
      <c r="H8" s="497">
        <f>SUMIF(61:61,G8,62:62)-SUMIF(61:61,C8,62:62)+100</f>
        <v>100</v>
      </c>
      <c r="I8" s="3480" t="s">
        <v>3417</v>
      </c>
      <c r="J8" s="497">
        <f>SUMIF(61:61,I8,62:62)-SUMIF(61:61,C8,62:62)+100</f>
        <v>100</v>
      </c>
      <c r="K8" s="827"/>
      <c r="L8" s="1969"/>
      <c r="M8" s="1970"/>
      <c r="N8" s="1970"/>
      <c r="O8" s="1970"/>
      <c r="P8" s="3676" t="s">
        <v>516</v>
      </c>
      <c r="Q8" s="3677"/>
      <c r="R8" s="1456" t="s">
        <v>13</v>
      </c>
      <c r="S8" s="1457">
        <f t="shared" si="0"/>
        <v>100</v>
      </c>
      <c r="T8" s="1456" t="s">
        <v>13</v>
      </c>
      <c r="U8" s="1457">
        <f t="shared" si="1"/>
        <v>100</v>
      </c>
      <c r="V8" s="1456" t="s">
        <v>13</v>
      </c>
      <c r="W8" s="1457">
        <f t="shared" si="2"/>
        <v>100</v>
      </c>
      <c r="X8" s="1458"/>
      <c r="Y8" s="3676" t="s">
        <v>516</v>
      </c>
      <c r="Z8" s="3677"/>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4" t="s">
        <v>518</v>
      </c>
      <c r="Q9" s="1096" t="str">
        <f t="shared" ref="Q9:Q15" si="6">B9</f>
        <v>用途</v>
      </c>
      <c r="R9" s="1456" t="s">
        <v>8</v>
      </c>
      <c r="S9" s="1457">
        <f t="shared" si="0"/>
        <v>100</v>
      </c>
      <c r="T9" s="1456" t="s">
        <v>8</v>
      </c>
      <c r="U9" s="1457">
        <f t="shared" si="1"/>
        <v>100</v>
      </c>
      <c r="V9" s="1456" t="s">
        <v>8</v>
      </c>
      <c r="W9" s="1457">
        <f t="shared" si="2"/>
        <v>100</v>
      </c>
      <c r="X9" s="1458"/>
      <c r="Y9" s="3636"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f>住宅案例!E137</f>
        <v>6.49</v>
      </c>
      <c r="F11" s="835">
        <f>LOOKUP(E11,68:68,69:69)-LOOKUP(C11,68:68,69:69)+100</f>
        <v>94</v>
      </c>
      <c r="G11" s="510">
        <f>住宅案例!E138</f>
        <v>4.1900000000000004</v>
      </c>
      <c r="H11" s="253">
        <f>LOOKUP(G11,68:68,69:69)-LOOKUP(C11,68:68,69:69)+100</f>
        <v>98</v>
      </c>
      <c r="I11" s="510">
        <f>住宅案例!E139</f>
        <v>6.38</v>
      </c>
      <c r="J11" s="253">
        <f>LOOKUP(I11,68:68,69:69)-LOOKUP(C11,68:68,69:69)+100</f>
        <v>94</v>
      </c>
      <c r="K11" s="836">
        <v>2</v>
      </c>
      <c r="L11" s="1974"/>
      <c r="M11" s="1968"/>
      <c r="N11" s="1968"/>
      <c r="O11" s="1975"/>
      <c r="P11" s="3684"/>
      <c r="Q11" s="1096" t="str">
        <f t="shared" si="6"/>
        <v>容积率</v>
      </c>
      <c r="R11" s="1456" t="s">
        <v>11</v>
      </c>
      <c r="S11" s="1457">
        <f t="shared" si="0"/>
        <v>94</v>
      </c>
      <c r="T11" s="1456" t="s">
        <v>11</v>
      </c>
      <c r="U11" s="1457">
        <f t="shared" si="1"/>
        <v>98</v>
      </c>
      <c r="V11" s="1456" t="s">
        <v>11</v>
      </c>
      <c r="W11" s="1457">
        <f t="shared" si="2"/>
        <v>94</v>
      </c>
      <c r="X11" s="1458"/>
      <c r="Y11" s="3636"/>
      <c r="Z11" s="1095" t="str">
        <f t="shared" si="7"/>
        <v>容积率</v>
      </c>
      <c r="AA11" s="1459">
        <f t="shared" si="3"/>
        <v>1.0638297872340425</v>
      </c>
      <c r="AB11" s="1459">
        <f t="shared" si="4"/>
        <v>1.0204081632653061</v>
      </c>
      <c r="AC11" s="1459">
        <f t="shared" si="5"/>
        <v>1.0638297872340425</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4"/>
      <c r="Q12" s="1096">
        <f t="shared" si="6"/>
        <v>111</v>
      </c>
      <c r="R12" s="1456" t="s">
        <v>11</v>
      </c>
      <c r="S12" s="1457">
        <f t="shared" si="0"/>
        <v>100</v>
      </c>
      <c r="T12" s="1456" t="s">
        <v>11</v>
      </c>
      <c r="U12" s="1457">
        <f t="shared" si="1"/>
        <v>100</v>
      </c>
      <c r="V12" s="1456" t="s">
        <v>11</v>
      </c>
      <c r="W12" s="1457">
        <f t="shared" si="2"/>
        <v>100</v>
      </c>
      <c r="X12" s="1458"/>
      <c r="Y12" s="3636"/>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4"/>
      <c r="Q13" s="1096">
        <f t="shared" si="6"/>
        <v>111</v>
      </c>
      <c r="R13" s="1456" t="s">
        <v>11</v>
      </c>
      <c r="S13" s="1457">
        <f t="shared" si="0"/>
        <v>100</v>
      </c>
      <c r="T13" s="1456" t="s">
        <v>11</v>
      </c>
      <c r="U13" s="1457">
        <f t="shared" si="1"/>
        <v>100</v>
      </c>
      <c r="V13" s="1456" t="s">
        <v>11</v>
      </c>
      <c r="W13" s="1457">
        <f t="shared" si="2"/>
        <v>100</v>
      </c>
      <c r="X13" s="1458"/>
      <c r="Y13" s="3636"/>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4"/>
      <c r="Q14" s="1096">
        <f t="shared" si="6"/>
        <v>111</v>
      </c>
      <c r="R14" s="1456" t="s">
        <v>11</v>
      </c>
      <c r="S14" s="1457">
        <f t="shared" si="0"/>
        <v>100</v>
      </c>
      <c r="T14" s="1456" t="s">
        <v>11</v>
      </c>
      <c r="U14" s="1457">
        <f t="shared" si="1"/>
        <v>100</v>
      </c>
      <c r="V14" s="1456" t="s">
        <v>11</v>
      </c>
      <c r="W14" s="1457">
        <f t="shared" si="2"/>
        <v>100</v>
      </c>
      <c r="X14" s="1458"/>
      <c r="Y14" s="3636"/>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6" t="s">
        <v>523</v>
      </c>
      <c r="Q15" s="1460" t="str">
        <f t="shared" si="6"/>
        <v>居住社区成熟度</v>
      </c>
      <c r="R15" s="1461" t="s">
        <v>11</v>
      </c>
      <c r="S15" s="1462">
        <f t="shared" si="0"/>
        <v>100</v>
      </c>
      <c r="T15" s="1461" t="s">
        <v>11</v>
      </c>
      <c r="U15" s="1462">
        <f t="shared" si="1"/>
        <v>100</v>
      </c>
      <c r="V15" s="1461" t="s">
        <v>11</v>
      </c>
      <c r="W15" s="1462">
        <f t="shared" si="2"/>
        <v>100</v>
      </c>
      <c r="X15" s="1455"/>
      <c r="Y15" s="3686" t="s">
        <v>523</v>
      </c>
      <c r="Z15" s="1463" t="str">
        <f t="shared" si="7"/>
        <v>居住社区成熟度</v>
      </c>
      <c r="AA15" s="1464">
        <f t="shared" si="3"/>
        <v>1</v>
      </c>
      <c r="AB15" s="1464">
        <f t="shared" si="4"/>
        <v>1</v>
      </c>
      <c r="AC15" s="1464">
        <f t="shared" si="5"/>
        <v>1</v>
      </c>
    </row>
    <row r="16" spans="1:29" ht="15">
      <c r="A16" s="509"/>
      <c r="B16" s="841"/>
      <c r="C16" s="3465" t="s">
        <v>3414</v>
      </c>
      <c r="D16" s="532"/>
      <c r="E16" s="3473" t="s">
        <v>3415</v>
      </c>
      <c r="F16" s="534"/>
      <c r="G16" s="3463" t="s">
        <v>3414</v>
      </c>
      <c r="H16" s="536"/>
      <c r="I16" s="3473" t="s">
        <v>3414</v>
      </c>
      <c r="J16" s="532"/>
      <c r="K16" s="842"/>
      <c r="L16" s="1976"/>
      <c r="M16" s="1968"/>
      <c r="N16" s="1968"/>
      <c r="O16" s="1975"/>
      <c r="P16" s="3687"/>
      <c r="Q16" s="1460"/>
      <c r="R16" s="1461"/>
      <c r="S16" s="1462"/>
      <c r="T16" s="1461"/>
      <c r="U16" s="1462"/>
      <c r="V16" s="1461"/>
      <c r="W16" s="1462"/>
      <c r="X16" s="1455"/>
      <c r="Y16" s="3687"/>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7"/>
      <c r="Q17" s="1460" t="str">
        <f>B17</f>
        <v>交通便捷度</v>
      </c>
      <c r="R17" s="1461" t="s">
        <v>11</v>
      </c>
      <c r="S17" s="1462">
        <f>F17</f>
        <v>100</v>
      </c>
      <c r="T17" s="1461" t="s">
        <v>11</v>
      </c>
      <c r="U17" s="1462">
        <f>H17</f>
        <v>100</v>
      </c>
      <c r="V17" s="1461" t="s">
        <v>11</v>
      </c>
      <c r="W17" s="1462">
        <f>J17</f>
        <v>100</v>
      </c>
      <c r="X17" s="1455"/>
      <c r="Y17" s="3687"/>
      <c r="Z17" s="1463" t="str">
        <f>Q17</f>
        <v>交通便捷度</v>
      </c>
      <c r="AA17" s="1464">
        <f t="shared" si="3"/>
        <v>1</v>
      </c>
      <c r="AB17" s="1464">
        <f t="shared" si="4"/>
        <v>1</v>
      </c>
      <c r="AC17" s="1464">
        <f t="shared" si="5"/>
        <v>1</v>
      </c>
    </row>
    <row r="18" spans="1:29" ht="15">
      <c r="A18" s="509"/>
      <c r="B18" s="572"/>
      <c r="C18" s="3481" t="s">
        <v>3414</v>
      </c>
      <c r="D18" s="536"/>
      <c r="E18" s="3474" t="s">
        <v>3414</v>
      </c>
      <c r="F18" s="540"/>
      <c r="G18" s="3464" t="s">
        <v>3415</v>
      </c>
      <c r="H18" s="532"/>
      <c r="I18" s="3474" t="s">
        <v>3414</v>
      </c>
      <c r="J18" s="532"/>
      <c r="K18" s="842"/>
      <c r="L18" s="1976"/>
      <c r="M18" s="1968"/>
      <c r="N18" s="1968"/>
      <c r="O18" s="1975"/>
      <c r="P18" s="3687"/>
      <c r="Q18" s="1460"/>
      <c r="R18" s="1461"/>
      <c r="S18" s="1462"/>
      <c r="T18" s="1461"/>
      <c r="U18" s="1462"/>
      <c r="V18" s="1461"/>
      <c r="W18" s="1462"/>
      <c r="X18" s="1455"/>
      <c r="Y18" s="3687"/>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7"/>
      <c r="Q19" s="1460" t="str">
        <f>B19</f>
        <v>公共配套设施</v>
      </c>
      <c r="R19" s="1461" t="s">
        <v>11</v>
      </c>
      <c r="S19" s="1462">
        <f>F19</f>
        <v>100</v>
      </c>
      <c r="T19" s="1461" t="s">
        <v>11</v>
      </c>
      <c r="U19" s="1462">
        <f>H19</f>
        <v>100</v>
      </c>
      <c r="V19" s="1461" t="s">
        <v>11</v>
      </c>
      <c r="W19" s="1462">
        <f>J19</f>
        <v>100</v>
      </c>
      <c r="X19" s="1455"/>
      <c r="Y19" s="3687"/>
      <c r="Z19" s="1463" t="str">
        <f>Q19</f>
        <v>公共配套设施</v>
      </c>
      <c r="AA19" s="1464">
        <f t="shared" si="3"/>
        <v>1</v>
      </c>
      <c r="AB19" s="1464">
        <f t="shared" si="4"/>
        <v>1</v>
      </c>
      <c r="AC19" s="1464">
        <f t="shared" si="5"/>
        <v>1</v>
      </c>
    </row>
    <row r="20" spans="1:29" ht="15">
      <c r="A20" s="509"/>
      <c r="B20" s="572"/>
      <c r="C20" s="3465" t="s">
        <v>3414</v>
      </c>
      <c r="D20" s="532"/>
      <c r="E20" s="3473" t="s">
        <v>3415</v>
      </c>
      <c r="F20" s="534"/>
      <c r="G20" s="3463" t="s">
        <v>3415</v>
      </c>
      <c r="H20" s="532"/>
      <c r="I20" s="3473" t="s">
        <v>3414</v>
      </c>
      <c r="J20" s="532"/>
      <c r="K20" s="842"/>
      <c r="L20" s="1976"/>
      <c r="M20" s="1968"/>
      <c r="N20" s="1968"/>
      <c r="O20" s="1975"/>
      <c r="P20" s="3687"/>
      <c r="Q20" s="1460"/>
      <c r="R20" s="1461"/>
      <c r="S20" s="1462"/>
      <c r="T20" s="1461"/>
      <c r="U20" s="1462"/>
      <c r="V20" s="1461"/>
      <c r="W20" s="1462"/>
      <c r="X20" s="1455"/>
      <c r="Y20" s="3687"/>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7"/>
      <c r="Q21" s="2349" t="str">
        <f>B21</f>
        <v>基础设施水平</v>
      </c>
      <c r="R21" s="1461" t="s">
        <v>11</v>
      </c>
      <c r="S21" s="1462">
        <f>F21</f>
        <v>100</v>
      </c>
      <c r="T21" s="1461" t="s">
        <v>11</v>
      </c>
      <c r="U21" s="1462">
        <f>H21</f>
        <v>100</v>
      </c>
      <c r="V21" s="1461" t="s">
        <v>11</v>
      </c>
      <c r="W21" s="1462">
        <f>J21</f>
        <v>100</v>
      </c>
      <c r="X21" s="2351"/>
      <c r="Y21" s="3687"/>
      <c r="Z21" s="2350" t="str">
        <f>Q21</f>
        <v>基础设施水平</v>
      </c>
      <c r="AA21" s="1464">
        <f t="shared" ref="AA21" si="8">D21/F21</f>
        <v>1</v>
      </c>
      <c r="AB21" s="1464">
        <f t="shared" ref="AB21" si="9">D21/H21</f>
        <v>1</v>
      </c>
      <c r="AC21" s="1464">
        <f t="shared" ref="AC21" si="10">D21/J21</f>
        <v>1</v>
      </c>
    </row>
    <row r="22" spans="1:29" ht="15">
      <c r="A22" s="509"/>
      <c r="B22" s="892"/>
      <c r="C22" s="3481" t="s">
        <v>3418</v>
      </c>
      <c r="D22" s="532"/>
      <c r="E22" s="3465" t="s">
        <v>3419</v>
      </c>
      <c r="F22" s="534"/>
      <c r="G22" s="3465" t="s">
        <v>3418</v>
      </c>
      <c r="H22" s="532"/>
      <c r="I22" s="3465" t="s">
        <v>3420</v>
      </c>
      <c r="J22" s="532"/>
      <c r="K22" s="2363"/>
      <c r="L22" s="1976"/>
      <c r="M22" s="1968"/>
      <c r="N22" s="1968"/>
      <c r="O22" s="1975"/>
      <c r="P22" s="3687"/>
      <c r="Q22" s="2349"/>
      <c r="R22" s="1461"/>
      <c r="S22" s="1462"/>
      <c r="T22" s="1461"/>
      <c r="U22" s="1462"/>
      <c r="V22" s="1461"/>
      <c r="W22" s="1462"/>
      <c r="X22" s="2351"/>
      <c r="Y22" s="3687"/>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7"/>
      <c r="Q23" s="1460" t="str">
        <f>B23</f>
        <v>自然及人文环境</v>
      </c>
      <c r="R23" s="1461" t="s">
        <v>11</v>
      </c>
      <c r="S23" s="1462">
        <f>F23</f>
        <v>100</v>
      </c>
      <c r="T23" s="1461" t="s">
        <v>11</v>
      </c>
      <c r="U23" s="1462">
        <f>H23</f>
        <v>100</v>
      </c>
      <c r="V23" s="1461" t="s">
        <v>11</v>
      </c>
      <c r="W23" s="1462">
        <f>J23</f>
        <v>100</v>
      </c>
      <c r="X23" s="1455"/>
      <c r="Y23" s="3687"/>
      <c r="Z23" s="1463" t="str">
        <f>Q23</f>
        <v>自然及人文环境</v>
      </c>
      <c r="AA23" s="1464">
        <f t="shared" si="3"/>
        <v>1</v>
      </c>
      <c r="AB23" s="1464">
        <f t="shared" si="4"/>
        <v>1</v>
      </c>
      <c r="AC23" s="1464">
        <f t="shared" si="5"/>
        <v>1</v>
      </c>
    </row>
    <row r="24" spans="1:29" ht="15">
      <c r="A24" s="509"/>
      <c r="B24" s="572"/>
      <c r="C24" s="3465" t="s">
        <v>3414</v>
      </c>
      <c r="D24" s="532"/>
      <c r="E24" s="3473" t="s">
        <v>3414</v>
      </c>
      <c r="F24" s="534"/>
      <c r="G24" s="3463" t="s">
        <v>3414</v>
      </c>
      <c r="H24" s="532"/>
      <c r="I24" s="3473" t="s">
        <v>3415</v>
      </c>
      <c r="J24" s="532"/>
      <c r="K24" s="842"/>
      <c r="L24" s="1976"/>
      <c r="M24" s="1968"/>
      <c r="N24" s="1968"/>
      <c r="O24" s="1975"/>
      <c r="P24" s="3687"/>
      <c r="Q24" s="1460"/>
      <c r="R24" s="1461"/>
      <c r="S24" s="1462"/>
      <c r="T24" s="1461"/>
      <c r="U24" s="1462"/>
      <c r="V24" s="1461"/>
      <c r="W24" s="1462"/>
      <c r="X24" s="1455"/>
      <c r="Y24" s="3687"/>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7"/>
      <c r="Q25" s="1460" t="str">
        <f t="shared" ref="Q25:Q46" si="11">B25</f>
        <v>楼层-1</v>
      </c>
      <c r="R25" s="1461" t="s">
        <v>11</v>
      </c>
      <c r="S25" s="1462">
        <f>F25</f>
        <v>100</v>
      </c>
      <c r="T25" s="1461" t="s">
        <v>11</v>
      </c>
      <c r="U25" s="1462">
        <f>H25</f>
        <v>100</v>
      </c>
      <c r="V25" s="1461" t="s">
        <v>11</v>
      </c>
      <c r="W25" s="1462">
        <f>J25</f>
        <v>100</v>
      </c>
      <c r="X25" s="1455"/>
      <c r="Y25" s="3687"/>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7"/>
      <c r="Q26" s="1460" t="str">
        <f t="shared" si="11"/>
        <v>朝向</v>
      </c>
      <c r="R26" s="1461" t="s">
        <v>11</v>
      </c>
      <c r="S26" s="1462">
        <f>F26</f>
        <v>100</v>
      </c>
      <c r="T26" s="1461" t="s">
        <v>11</v>
      </c>
      <c r="U26" s="1462">
        <f>H26</f>
        <v>100</v>
      </c>
      <c r="V26" s="1461" t="s">
        <v>11</v>
      </c>
      <c r="W26" s="1462">
        <f>J26</f>
        <v>100</v>
      </c>
      <c r="X26" s="1455"/>
      <c r="Y26" s="3687"/>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7"/>
      <c r="Q27" s="1096" t="str">
        <f t="shared" si="11"/>
        <v>道路级别</v>
      </c>
      <c r="R27" s="1456" t="s">
        <v>11</v>
      </c>
      <c r="S27" s="1457">
        <f>F27</f>
        <v>100</v>
      </c>
      <c r="T27" s="1456" t="s">
        <v>11</v>
      </c>
      <c r="U27" s="1457">
        <f>H27</f>
        <v>100</v>
      </c>
      <c r="V27" s="1456" t="s">
        <v>11</v>
      </c>
      <c r="W27" s="1457">
        <f>J27</f>
        <v>100</v>
      </c>
      <c r="X27" s="1458"/>
      <c r="Y27" s="3687"/>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7"/>
      <c r="Q28" s="1460">
        <f t="shared" si="11"/>
        <v>111</v>
      </c>
      <c r="R28" s="1461" t="s">
        <v>11</v>
      </c>
      <c r="S28" s="1462">
        <f t="shared" ref="S28:S46" si="12">F28</f>
        <v>100</v>
      </c>
      <c r="T28" s="1461" t="s">
        <v>11</v>
      </c>
      <c r="U28" s="1462">
        <f t="shared" ref="U28:U46" si="13">H28</f>
        <v>100</v>
      </c>
      <c r="V28" s="1461" t="s">
        <v>11</v>
      </c>
      <c r="W28" s="1462">
        <f t="shared" ref="W28:W46" si="14">J28</f>
        <v>100</v>
      </c>
      <c r="X28" s="1455"/>
      <c r="Y28" s="3687"/>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7"/>
      <c r="Q29" s="1460">
        <f t="shared" si="11"/>
        <v>111</v>
      </c>
      <c r="R29" s="1461" t="s">
        <v>11</v>
      </c>
      <c r="S29" s="1462">
        <f t="shared" si="12"/>
        <v>100</v>
      </c>
      <c r="T29" s="1461" t="s">
        <v>11</v>
      </c>
      <c r="U29" s="1462">
        <f t="shared" si="13"/>
        <v>100</v>
      </c>
      <c r="V29" s="1461" t="s">
        <v>11</v>
      </c>
      <c r="W29" s="1462">
        <f t="shared" si="14"/>
        <v>100</v>
      </c>
      <c r="X29" s="1455"/>
      <c r="Y29" s="3687"/>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7"/>
      <c r="Q30" s="1460">
        <f t="shared" si="11"/>
        <v>111</v>
      </c>
      <c r="R30" s="1461" t="s">
        <v>11</v>
      </c>
      <c r="S30" s="1462">
        <f t="shared" si="12"/>
        <v>100</v>
      </c>
      <c r="T30" s="1461" t="s">
        <v>11</v>
      </c>
      <c r="U30" s="1462">
        <f t="shared" si="13"/>
        <v>100</v>
      </c>
      <c r="V30" s="1461" t="s">
        <v>11</v>
      </c>
      <c r="W30" s="1462">
        <f t="shared" si="14"/>
        <v>100</v>
      </c>
      <c r="X30" s="1455"/>
      <c r="Y30" s="3687"/>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7"/>
      <c r="Q31" s="1460">
        <f t="shared" si="11"/>
        <v>111</v>
      </c>
      <c r="R31" s="1461" t="s">
        <v>11</v>
      </c>
      <c r="S31" s="1462">
        <f t="shared" si="12"/>
        <v>100</v>
      </c>
      <c r="T31" s="1461" t="s">
        <v>11</v>
      </c>
      <c r="U31" s="1462">
        <f t="shared" si="13"/>
        <v>100</v>
      </c>
      <c r="V31" s="1461" t="s">
        <v>11</v>
      </c>
      <c r="W31" s="1462">
        <f t="shared" si="14"/>
        <v>100</v>
      </c>
      <c r="X31" s="1455"/>
      <c r="Y31" s="3687"/>
      <c r="Z31" s="1463">
        <f t="shared" si="15"/>
        <v>111</v>
      </c>
      <c r="AA31" s="1464">
        <f t="shared" si="3"/>
        <v>1</v>
      </c>
      <c r="AB31" s="1464">
        <f t="shared" si="4"/>
        <v>1</v>
      </c>
      <c r="AC31" s="1464">
        <f t="shared" si="5"/>
        <v>1</v>
      </c>
    </row>
    <row r="32" spans="1:29" ht="15">
      <c r="A32" s="2544" t="s">
        <v>2471</v>
      </c>
      <c r="B32" s="170" t="s">
        <v>707</v>
      </c>
      <c r="C32" s="3482" t="s">
        <v>3421</v>
      </c>
      <c r="D32" s="574">
        <v>100</v>
      </c>
      <c r="E32" s="3483" t="s">
        <v>3421</v>
      </c>
      <c r="F32" s="552">
        <f>SUMIF(100:100,E32,101:101)-SUMIF(100:100,C32,101:101)+100</f>
        <v>100</v>
      </c>
      <c r="G32" s="3482" t="s">
        <v>3421</v>
      </c>
      <c r="H32" s="574">
        <f>SUMIF(100:100,G32,101:101)-SUMIF(100:100,C32,101:101)+100</f>
        <v>100</v>
      </c>
      <c r="I32" s="3483" t="s">
        <v>3421</v>
      </c>
      <c r="J32" s="517">
        <f>SUMIF(100:100,I32,101:101)-SUMIF(100:100,C32,101:101)+100</f>
        <v>100</v>
      </c>
      <c r="K32" s="836"/>
      <c r="L32" s="1976"/>
      <c r="M32" s="1968"/>
      <c r="N32" s="1968"/>
      <c r="O32" s="1975"/>
      <c r="P32" s="3688" t="s">
        <v>533</v>
      </c>
      <c r="Q32" s="1460" t="str">
        <f t="shared" si="11"/>
        <v>建筑类型</v>
      </c>
      <c r="R32" s="1461" t="s">
        <v>11</v>
      </c>
      <c r="S32" s="1462">
        <f t="shared" si="12"/>
        <v>100</v>
      </c>
      <c r="T32" s="1461" t="s">
        <v>11</v>
      </c>
      <c r="U32" s="1462">
        <f t="shared" si="13"/>
        <v>100</v>
      </c>
      <c r="V32" s="1461" t="s">
        <v>11</v>
      </c>
      <c r="W32" s="1462">
        <f t="shared" si="14"/>
        <v>100</v>
      </c>
      <c r="X32" s="1455"/>
      <c r="Y32" s="3689" t="s">
        <v>533</v>
      </c>
      <c r="Z32" s="1463" t="str">
        <f t="shared" si="15"/>
        <v>建筑类型</v>
      </c>
      <c r="AA32" s="1464">
        <f t="shared" si="3"/>
        <v>1</v>
      </c>
      <c r="AB32" s="1464">
        <f t="shared" si="4"/>
        <v>1</v>
      </c>
      <c r="AC32" s="1464">
        <f t="shared" si="5"/>
        <v>1</v>
      </c>
    </row>
    <row r="33" spans="1:29" s="1247" customFormat="1" ht="15">
      <c r="A33" s="580"/>
      <c r="B33" s="504" t="s">
        <v>708</v>
      </c>
      <c r="C33" s="850">
        <f>'数据-汇总表'!E3</f>
        <v>23212.99</v>
      </c>
      <c r="D33" s="253">
        <v>100</v>
      </c>
      <c r="E33" s="511">
        <f>住宅案例!F137</f>
        <v>361115</v>
      </c>
      <c r="F33" s="835">
        <f>LOOKUP(E33,103:103,104:104)-LOOKUP(C33,103:103,104:104)+100</f>
        <v>106</v>
      </c>
      <c r="G33" s="510">
        <f>住宅案例!F138</f>
        <v>2700000</v>
      </c>
      <c r="H33" s="253">
        <f>LOOKUP(G33,103:103,104:104)-LOOKUP(C33,103:103,104:104)+100</f>
        <v>108</v>
      </c>
      <c r="I33" s="511">
        <f>住宅案例!F139</f>
        <v>44200</v>
      </c>
      <c r="J33" s="253">
        <f>LOOKUP(I33,103:103,104:104)-LOOKUP(C33,103:103,104:104)+100</f>
        <v>100</v>
      </c>
      <c r="K33" s="837"/>
      <c r="L33" s="1974"/>
      <c r="M33" s="2004"/>
      <c r="N33" s="2004"/>
      <c r="O33" s="1977"/>
      <c r="P33" s="3689"/>
      <c r="Q33" s="1489" t="str">
        <f t="shared" si="11"/>
        <v>项目建筑规模</v>
      </c>
      <c r="R33" s="1465" t="s">
        <v>11</v>
      </c>
      <c r="S33" s="1466">
        <f t="shared" si="12"/>
        <v>106</v>
      </c>
      <c r="T33" s="1465" t="s">
        <v>11</v>
      </c>
      <c r="U33" s="1466">
        <f t="shared" si="13"/>
        <v>108</v>
      </c>
      <c r="V33" s="1465" t="s">
        <v>11</v>
      </c>
      <c r="W33" s="1466">
        <f t="shared" si="14"/>
        <v>100</v>
      </c>
      <c r="X33" s="1467"/>
      <c r="Y33" s="3689"/>
      <c r="Z33" s="1468" t="str">
        <f t="shared" si="15"/>
        <v>项目建筑规模</v>
      </c>
      <c r="AA33" s="1464">
        <f t="shared" si="3"/>
        <v>0.94339622641509435</v>
      </c>
      <c r="AB33" s="1464">
        <f t="shared" si="4"/>
        <v>0.92592592592592593</v>
      </c>
      <c r="AC33" s="1464">
        <f t="shared" si="5"/>
        <v>1</v>
      </c>
    </row>
    <row r="34" spans="1:29" ht="15">
      <c r="A34" s="571"/>
      <c r="B34" s="504" t="s">
        <v>709</v>
      </c>
      <c r="C34" s="3484" t="s">
        <v>3423</v>
      </c>
      <c r="D34" s="517">
        <v>100</v>
      </c>
      <c r="E34" s="3485" t="s">
        <v>3423</v>
      </c>
      <c r="F34" s="552">
        <f>SUMIF(105:105,E34,106:106)-SUMIF(105:105,C34,106:106)+100</f>
        <v>100</v>
      </c>
      <c r="G34" s="3484" t="s">
        <v>3423</v>
      </c>
      <c r="H34" s="517">
        <f>SUMIF(105:105,G34,106:106)-SUMIF(105:105,C34,106:106)+100</f>
        <v>100</v>
      </c>
      <c r="I34" s="3485" t="s">
        <v>3423</v>
      </c>
      <c r="J34" s="517">
        <f>SUMIF(105:105,I34,106:106)-SUMIF(105:105,C34,106:106)+100</f>
        <v>100</v>
      </c>
      <c r="K34" s="836"/>
      <c r="L34" s="1976"/>
      <c r="M34" s="1968"/>
      <c r="N34" s="1968"/>
      <c r="O34" s="1975"/>
      <c r="P34" s="3689"/>
      <c r="Q34" s="1460" t="str">
        <f t="shared" si="11"/>
        <v>建筑结构</v>
      </c>
      <c r="R34" s="1461" t="s">
        <v>11</v>
      </c>
      <c r="S34" s="1462">
        <f t="shared" si="12"/>
        <v>100</v>
      </c>
      <c r="T34" s="1461" t="s">
        <v>11</v>
      </c>
      <c r="U34" s="1462">
        <f t="shared" si="13"/>
        <v>100</v>
      </c>
      <c r="V34" s="1461" t="s">
        <v>11</v>
      </c>
      <c r="W34" s="1462">
        <f t="shared" si="14"/>
        <v>100</v>
      </c>
      <c r="X34" s="1455"/>
      <c r="Y34" s="3689"/>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89"/>
      <c r="Q35" s="1460" t="str">
        <f t="shared" si="11"/>
        <v>建筑品质</v>
      </c>
      <c r="R35" s="1461" t="s">
        <v>11</v>
      </c>
      <c r="S35" s="1462">
        <f t="shared" si="12"/>
        <v>100</v>
      </c>
      <c r="T35" s="1461" t="s">
        <v>11</v>
      </c>
      <c r="U35" s="1462">
        <f t="shared" si="13"/>
        <v>100</v>
      </c>
      <c r="V35" s="1461" t="s">
        <v>11</v>
      </c>
      <c r="W35" s="1462">
        <f t="shared" si="14"/>
        <v>100</v>
      </c>
      <c r="X35" s="1455"/>
      <c r="Y35" s="3689"/>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89"/>
      <c r="Q36" s="1460" t="str">
        <f t="shared" si="11"/>
        <v>公共部分装修</v>
      </c>
      <c r="R36" s="1461" t="s">
        <v>11</v>
      </c>
      <c r="S36" s="1462">
        <f t="shared" si="12"/>
        <v>100</v>
      </c>
      <c r="T36" s="1461" t="s">
        <v>11</v>
      </c>
      <c r="U36" s="1462">
        <f t="shared" si="13"/>
        <v>100</v>
      </c>
      <c r="V36" s="1461" t="s">
        <v>11</v>
      </c>
      <c r="W36" s="1462">
        <f t="shared" si="14"/>
        <v>100</v>
      </c>
      <c r="X36" s="1455"/>
      <c r="Y36" s="3689"/>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89"/>
      <c r="Q37" s="1096" t="str">
        <f t="shared" si="11"/>
        <v>成新度</v>
      </c>
      <c r="R37" s="1456" t="s">
        <v>11</v>
      </c>
      <c r="S37" s="1457">
        <f t="shared" si="12"/>
        <v>100</v>
      </c>
      <c r="T37" s="1456" t="s">
        <v>11</v>
      </c>
      <c r="U37" s="1457">
        <f t="shared" si="13"/>
        <v>100</v>
      </c>
      <c r="V37" s="1456" t="s">
        <v>11</v>
      </c>
      <c r="W37" s="1457">
        <f t="shared" si="14"/>
        <v>100</v>
      </c>
      <c r="X37" s="1458"/>
      <c r="Y37" s="3689"/>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89" t="s">
        <v>533</v>
      </c>
      <c r="Q38" s="1460" t="str">
        <f t="shared" si="11"/>
        <v>物业管理</v>
      </c>
      <c r="R38" s="1461" t="s">
        <v>11</v>
      </c>
      <c r="S38" s="1462">
        <f t="shared" si="12"/>
        <v>100</v>
      </c>
      <c r="T38" s="1461" t="s">
        <v>11</v>
      </c>
      <c r="U38" s="1462">
        <f t="shared" si="13"/>
        <v>100</v>
      </c>
      <c r="V38" s="1461" t="s">
        <v>11</v>
      </c>
      <c r="W38" s="1462">
        <f t="shared" si="14"/>
        <v>100</v>
      </c>
      <c r="X38" s="1455"/>
      <c r="Y38" s="3689"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89"/>
      <c r="Q39" s="1460" t="str">
        <f t="shared" si="11"/>
        <v>市政基础设施</v>
      </c>
      <c r="R39" s="1461" t="s">
        <v>11</v>
      </c>
      <c r="S39" s="1462">
        <f t="shared" si="12"/>
        <v>100</v>
      </c>
      <c r="T39" s="1461" t="s">
        <v>11</v>
      </c>
      <c r="U39" s="1462">
        <f t="shared" si="13"/>
        <v>100</v>
      </c>
      <c r="V39" s="1461" t="s">
        <v>11</v>
      </c>
      <c r="W39" s="1462">
        <f t="shared" si="14"/>
        <v>100</v>
      </c>
      <c r="X39" s="1455"/>
      <c r="Y39" s="3689"/>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89"/>
      <c r="Q40" s="1460" t="str">
        <f t="shared" si="11"/>
        <v>房型</v>
      </c>
      <c r="R40" s="1461" t="s">
        <v>11</v>
      </c>
      <c r="S40" s="1462">
        <f t="shared" si="12"/>
        <v>100</v>
      </c>
      <c r="T40" s="1461" t="s">
        <v>11</v>
      </c>
      <c r="U40" s="1462">
        <f t="shared" si="13"/>
        <v>100</v>
      </c>
      <c r="V40" s="1461" t="s">
        <v>11</v>
      </c>
      <c r="W40" s="1462">
        <f t="shared" si="14"/>
        <v>100</v>
      </c>
      <c r="X40" s="1455"/>
      <c r="Y40" s="3689"/>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89"/>
      <c r="Q41" s="1489" t="str">
        <f t="shared" si="11"/>
        <v>单套/主力户型建筑面积</v>
      </c>
      <c r="R41" s="1465" t="s">
        <v>11</v>
      </c>
      <c r="S41" s="1466">
        <f t="shared" si="12"/>
        <v>100</v>
      </c>
      <c r="T41" s="1465" t="s">
        <v>11</v>
      </c>
      <c r="U41" s="1466">
        <f t="shared" si="13"/>
        <v>100</v>
      </c>
      <c r="V41" s="1465" t="s">
        <v>11</v>
      </c>
      <c r="W41" s="1466">
        <f t="shared" si="14"/>
        <v>100</v>
      </c>
      <c r="X41" s="1467"/>
      <c r="Y41" s="3689"/>
      <c r="Z41" s="1468" t="str">
        <f t="shared" si="15"/>
        <v>单套/主力户型建筑面积</v>
      </c>
      <c r="AA41" s="1464">
        <f t="shared" si="3"/>
        <v>1</v>
      </c>
      <c r="AB41" s="1464">
        <f t="shared" si="4"/>
        <v>1</v>
      </c>
      <c r="AC41" s="1464">
        <f t="shared" si="5"/>
        <v>1</v>
      </c>
    </row>
    <row r="42" spans="1:29" ht="15">
      <c r="A42" s="571"/>
      <c r="B42" s="504" t="s">
        <v>716</v>
      </c>
      <c r="C42" s="3486" t="s">
        <v>3424</v>
      </c>
      <c r="D42" s="517">
        <v>100</v>
      </c>
      <c r="E42" s="3487" t="s">
        <v>3424</v>
      </c>
      <c r="F42" s="552">
        <f>SUMIF(122:122,E42,123:123)-SUMIF(122:122,C42,123:123)+100</f>
        <v>100</v>
      </c>
      <c r="G42" s="3486" t="s">
        <v>3425</v>
      </c>
      <c r="H42" s="517">
        <f>SUMIF(122:122,G42,123:123)-SUMIF(122:122,C42,123:123)+100</f>
        <v>106</v>
      </c>
      <c r="I42" s="3487" t="s">
        <v>3424</v>
      </c>
      <c r="J42" s="517">
        <f>SUMIF(122:122,I42,123:123)-SUMIF(122:122,C42,123:123)+100</f>
        <v>100</v>
      </c>
      <c r="K42" s="836">
        <v>2</v>
      </c>
      <c r="L42" s="1976"/>
      <c r="M42" s="1968"/>
      <c r="N42" s="1968"/>
      <c r="O42" s="1975"/>
      <c r="P42" s="3689"/>
      <c r="Q42" s="1460" t="str">
        <f t="shared" si="11"/>
        <v>内部装修</v>
      </c>
      <c r="R42" s="1461" t="s">
        <v>11</v>
      </c>
      <c r="S42" s="1462">
        <f t="shared" si="12"/>
        <v>100</v>
      </c>
      <c r="T42" s="1461" t="s">
        <v>11</v>
      </c>
      <c r="U42" s="1462">
        <f t="shared" si="13"/>
        <v>106</v>
      </c>
      <c r="V42" s="1461" t="s">
        <v>11</v>
      </c>
      <c r="W42" s="1462">
        <f t="shared" si="14"/>
        <v>100</v>
      </c>
      <c r="X42" s="1455"/>
      <c r="Y42" s="3689"/>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89"/>
      <c r="Q43" s="1460" t="str">
        <f t="shared" si="11"/>
        <v>内部装修维护情况</v>
      </c>
      <c r="R43" s="1461" t="s">
        <v>11</v>
      </c>
      <c r="S43" s="1462">
        <f t="shared" si="12"/>
        <v>100</v>
      </c>
      <c r="T43" s="1461" t="s">
        <v>11</v>
      </c>
      <c r="U43" s="1462">
        <f t="shared" si="13"/>
        <v>100</v>
      </c>
      <c r="V43" s="1461" t="s">
        <v>11</v>
      </c>
      <c r="W43" s="1462">
        <f t="shared" si="14"/>
        <v>100</v>
      </c>
      <c r="X43" s="1455"/>
      <c r="Y43" s="3689"/>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689"/>
      <c r="Q44" s="1096">
        <f t="shared" si="11"/>
        <v>111</v>
      </c>
      <c r="R44" s="1456" t="s">
        <v>11</v>
      </c>
      <c r="S44" s="1457">
        <f t="shared" si="12"/>
        <v>100</v>
      </c>
      <c r="T44" s="1456" t="s">
        <v>11</v>
      </c>
      <c r="U44" s="1457">
        <f t="shared" si="13"/>
        <v>100</v>
      </c>
      <c r="V44" s="1456" t="s">
        <v>11</v>
      </c>
      <c r="W44" s="1457">
        <f t="shared" si="14"/>
        <v>100</v>
      </c>
      <c r="X44" s="1458"/>
      <c r="Y44" s="3689"/>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89"/>
      <c r="Q45" s="1460">
        <f t="shared" si="11"/>
        <v>111</v>
      </c>
      <c r="R45" s="1461" t="s">
        <v>11</v>
      </c>
      <c r="S45" s="1462">
        <f t="shared" si="12"/>
        <v>100</v>
      </c>
      <c r="T45" s="1461" t="s">
        <v>11</v>
      </c>
      <c r="U45" s="1462">
        <f t="shared" si="13"/>
        <v>100</v>
      </c>
      <c r="V45" s="1461" t="s">
        <v>11</v>
      </c>
      <c r="W45" s="1462">
        <f t="shared" si="14"/>
        <v>100</v>
      </c>
      <c r="X45" s="1455"/>
      <c r="Y45" s="3689"/>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1"/>
      <c r="Q46" s="1460">
        <f t="shared" si="11"/>
        <v>111</v>
      </c>
      <c r="R46" s="1461" t="s">
        <v>10</v>
      </c>
      <c r="S46" s="1462">
        <f t="shared" si="12"/>
        <v>100</v>
      </c>
      <c r="T46" s="1461" t="s">
        <v>10</v>
      </c>
      <c r="U46" s="1462">
        <f t="shared" si="13"/>
        <v>100</v>
      </c>
      <c r="V46" s="1461" t="s">
        <v>10</v>
      </c>
      <c r="W46" s="1462">
        <f t="shared" si="14"/>
        <v>100</v>
      </c>
      <c r="X46" s="1455"/>
      <c r="Y46" s="3801"/>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84" t="str">
        <f>A47</f>
        <v>成交单价（元/平方米）</v>
      </c>
      <c r="Q47" s="3684"/>
      <c r="R47" s="3800">
        <f>E47</f>
        <v>11825</v>
      </c>
      <c r="S47" s="3800"/>
      <c r="T47" s="3800">
        <f>G47</f>
        <v>12817</v>
      </c>
      <c r="U47" s="3800"/>
      <c r="V47" s="3800">
        <f>I47</f>
        <v>11629</v>
      </c>
      <c r="W47" s="3800"/>
      <c r="X47" s="1450"/>
      <c r="Y47" s="1469"/>
      <c r="Z47" s="1450"/>
      <c r="AA47" s="1450"/>
      <c r="AB47" s="1450"/>
      <c r="AC47" s="1450"/>
    </row>
    <row r="48" spans="1:29" ht="15.75" thickBot="1">
      <c r="A48" s="592" t="s">
        <v>2476</v>
      </c>
      <c r="B48" s="858"/>
      <c r="C48" s="2396">
        <f>R49</f>
        <v>11888</v>
      </c>
      <c r="D48" s="2919" t="s">
        <v>2700</v>
      </c>
      <c r="E48" s="2397">
        <f>R48</f>
        <v>11868</v>
      </c>
      <c r="F48" s="2920"/>
      <c r="G48" s="2396">
        <f>T48</f>
        <v>11424</v>
      </c>
      <c r="H48" s="2920"/>
      <c r="I48" s="2397">
        <f>V48</f>
        <v>12371</v>
      </c>
      <c r="J48" s="2920"/>
      <c r="K48" s="2928">
        <f>F48+H48+J48</f>
        <v>0</v>
      </c>
      <c r="L48" s="1978"/>
      <c r="M48" s="1979"/>
      <c r="N48" s="1979"/>
      <c r="O48" s="1979"/>
      <c r="P48" s="3684" t="str">
        <f>A48</f>
        <v>比较价格（元/平方米）</v>
      </c>
      <c r="Q48" s="3684"/>
      <c r="R48" s="3800">
        <f>IF(F1="售价",ROUND(PRODUCT(R47,AA7:AA46),0),ROUND(PRODUCT(R47,AA7:AA46),1))</f>
        <v>11868</v>
      </c>
      <c r="S48" s="3800"/>
      <c r="T48" s="3800">
        <f>IF(F1="售价",ROUND(PRODUCT(T47,AB7:AB46),0),ROUND(PRODUCT(T47,AB7:AB46),1))</f>
        <v>11424</v>
      </c>
      <c r="U48" s="3800"/>
      <c r="V48" s="3800">
        <f>IF(F1="售价",ROUND(PRODUCT(V47,AC7:AC46),0),ROUND(PRODUCT(V47,AC7:AC46),1))</f>
        <v>12371</v>
      </c>
      <c r="W48" s="3800"/>
      <c r="X48" s="1450"/>
      <c r="Y48" s="1450"/>
      <c r="Z48" s="1450"/>
      <c r="AA48" s="1450"/>
      <c r="AB48" s="1450"/>
      <c r="AC48" s="1450"/>
    </row>
    <row r="49" spans="1:29" ht="15.75" thickBot="1">
      <c r="A49" s="596" t="s">
        <v>2636</v>
      </c>
      <c r="B49" s="597"/>
      <c r="C49" s="2398">
        <f>R49</f>
        <v>11888</v>
      </c>
      <c r="D49" s="2398"/>
      <c r="E49" s="2398"/>
      <c r="F49" s="2398"/>
      <c r="G49" s="2398"/>
      <c r="H49" s="2398"/>
      <c r="I49" s="2398"/>
      <c r="J49" s="2398"/>
      <c r="K49" s="1491"/>
      <c r="L49" s="1978"/>
      <c r="M49" s="1979"/>
      <c r="N49" s="1979"/>
      <c r="O49" s="1979"/>
      <c r="P49" s="3690" t="str">
        <f>A49</f>
        <v>估价对象XX用房的比较价格（楼面单价，元/平方米）</v>
      </c>
      <c r="Q49" s="3691"/>
      <c r="R49" s="3799">
        <f>IF(F1="售价",ROUND(IF(D48="简单平均",AVERAGE(R48:V48),R48*F48+T48*H48+V48*J48),0),ROUND(IF(D48="简单平均",AVERAGE(R48:V48),R48*F48+T48*H48+V48*J48),1))</f>
        <v>11888</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3.6363636363636598E-3</v>
      </c>
      <c r="F52" s="602" t="str">
        <f>IF(OR(E52&gt;=0.3,E52&lt;=-0.3),"超过30%","")</f>
        <v/>
      </c>
      <c r="G52" s="601">
        <f>IF(G47&lt;G48,G48/G47-1,G47/G48-1)</f>
        <v>0.12193627450980382</v>
      </c>
      <c r="H52" s="602" t="str">
        <f>IF(OR(G52&gt;=0.3,G52&lt;=-0.3),"超过30%","")</f>
        <v/>
      </c>
      <c r="I52" s="601">
        <f>IF(I47&lt;I48,I48/I47-1,I47/I48-1)</f>
        <v>6.3806002235789805E-2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3.8865546218487479E-2</v>
      </c>
      <c r="F53" s="602" t="str">
        <f>IF(OR(E53&gt;=0.2,E53&lt;=-0.2),"超过20%","")</f>
        <v/>
      </c>
      <c r="G53" s="601">
        <f>IF(G48&lt;I48,I48/G48-1,G48/I48-1)</f>
        <v>8.2895658263305361E-2</v>
      </c>
      <c r="H53" s="602" t="str">
        <f>IF(OR(G53&gt;=0.2,G53&lt;=-0.2),"超过20%","")</f>
        <v/>
      </c>
      <c r="I53" s="601">
        <f>IF(I48&lt;E48,E48/I48-1,I48/E48-1)</f>
        <v>4.2382878328277807E-2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8" t="s">
        <v>3425</v>
      </c>
      <c r="D122" s="3488" t="s">
        <v>3426</v>
      </c>
      <c r="E122" s="3488" t="s">
        <v>3427</v>
      </c>
      <c r="F122" s="3476" t="s">
        <v>3424</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E45" sqref="E45"/>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3121</v>
      </c>
      <c r="E1" s="483"/>
      <c r="F1" s="2444" t="s">
        <v>3404</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1888</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23156</v>
      </c>
      <c r="C3" s="824" t="s">
        <v>704</v>
      </c>
      <c r="D3" s="823">
        <f>SUMIF('数据-汇总表'!$C19:$C33,D1,'数据-汇总表'!$E19:$E33)</f>
        <v>815.17</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92" t="s">
        <v>505</v>
      </c>
      <c r="D4" s="3693"/>
      <c r="E4" s="3718" t="s">
        <v>506</v>
      </c>
      <c r="F4" s="3719"/>
      <c r="G4" s="3692" t="s">
        <v>507</v>
      </c>
      <c r="H4" s="3693"/>
      <c r="I4" s="3692" t="s">
        <v>508</v>
      </c>
      <c r="J4" s="3693"/>
      <c r="K4" s="491" t="s">
        <v>509</v>
      </c>
      <c r="L4" s="1967"/>
      <c r="M4" s="1968"/>
      <c r="N4" s="1968"/>
      <c r="O4" s="1968"/>
      <c r="P4" s="3694" t="s">
        <v>510</v>
      </c>
      <c r="Q4" s="3695"/>
      <c r="R4" s="3678" t="s">
        <v>506</v>
      </c>
      <c r="S4" s="3679"/>
      <c r="T4" s="3678" t="s">
        <v>507</v>
      </c>
      <c r="U4" s="3679"/>
      <c r="V4" s="3700" t="s">
        <v>508</v>
      </c>
      <c r="W4" s="3700"/>
      <c r="X4" s="1455"/>
      <c r="Y4" s="3678" t="s">
        <v>510</v>
      </c>
      <c r="Z4" s="3679"/>
      <c r="AA4" s="3673" t="s">
        <v>506</v>
      </c>
      <c r="AB4" s="3700" t="s">
        <v>507</v>
      </c>
      <c r="AC4" s="3673" t="s">
        <v>508</v>
      </c>
    </row>
    <row r="5" spans="1:29" ht="15">
      <c r="A5" s="492"/>
      <c r="B5" s="493"/>
      <c r="C5" s="3703" t="s">
        <v>2630</v>
      </c>
      <c r="D5" s="3704"/>
      <c r="E5" s="3720" t="str">
        <f>商业案例!E50</f>
        <v>宏江中央广场</v>
      </c>
      <c r="F5" s="3721"/>
      <c r="G5" s="3703" t="str">
        <f>商业案例!E51</f>
        <v>盛润锦绣城</v>
      </c>
      <c r="H5" s="3704"/>
      <c r="I5" s="3703" t="str">
        <f>商业案例!E52</f>
        <v>方圆经纬花园</v>
      </c>
      <c r="J5" s="3704"/>
      <c r="K5" s="491"/>
      <c r="L5" s="1967"/>
      <c r="M5" s="1968"/>
      <c r="N5" s="1968"/>
      <c r="O5" s="1968"/>
      <c r="P5" s="3696"/>
      <c r="Q5" s="3697"/>
      <c r="R5" s="3680"/>
      <c r="S5" s="3681"/>
      <c r="T5" s="3680"/>
      <c r="U5" s="3681"/>
      <c r="V5" s="3700"/>
      <c r="W5" s="3700"/>
      <c r="X5" s="1455"/>
      <c r="Y5" s="3680"/>
      <c r="Z5" s="3681"/>
      <c r="AA5" s="3674"/>
      <c r="AB5" s="3700"/>
      <c r="AC5" s="3674"/>
    </row>
    <row r="6" spans="1:29" ht="15.75" thickBot="1">
      <c r="A6" s="494"/>
      <c r="B6" s="495"/>
      <c r="C6" s="3701" t="s">
        <v>2634</v>
      </c>
      <c r="D6" s="3702"/>
      <c r="E6" s="3722" t="s">
        <v>2634</v>
      </c>
      <c r="F6" s="3723"/>
      <c r="G6" s="3701" t="s">
        <v>2634</v>
      </c>
      <c r="H6" s="3702"/>
      <c r="I6" s="3701" t="s">
        <v>2634</v>
      </c>
      <c r="J6" s="3702"/>
      <c r="K6" s="491" t="s">
        <v>511</v>
      </c>
      <c r="L6" s="1967"/>
      <c r="M6" s="1968"/>
      <c r="N6" s="1968"/>
      <c r="O6" s="1968"/>
      <c r="P6" s="3698"/>
      <c r="Q6" s="3699"/>
      <c r="R6" s="3680"/>
      <c r="S6" s="3681"/>
      <c r="T6" s="3682"/>
      <c r="U6" s="3683"/>
      <c r="V6" s="3700"/>
      <c r="W6" s="3700"/>
      <c r="X6" s="1455"/>
      <c r="Y6" s="3682"/>
      <c r="Z6" s="3683"/>
      <c r="AA6" s="3675"/>
      <c r="AB6" s="3700"/>
      <c r="AC6" s="3675"/>
    </row>
    <row r="7" spans="1:29" s="1165" customFormat="1" ht="15.75" thickBot="1">
      <c r="A7" s="2548"/>
      <c r="B7" s="2555" t="s">
        <v>512</v>
      </c>
      <c r="C7" s="496">
        <f>'数据-取费表'!B2</f>
        <v>44901</v>
      </c>
      <c r="D7" s="497">
        <v>100</v>
      </c>
      <c r="E7" s="498">
        <v>44896</v>
      </c>
      <c r="F7" s="499">
        <f>SUMIF(58:58,YEAR(E7)&amp;"-"&amp;MONTH(E7),59:59)</f>
        <v>100</v>
      </c>
      <c r="G7" s="498">
        <v>44896</v>
      </c>
      <c r="H7" s="497">
        <f>SUMIF(58:58,YEAR(G7)&amp;"-"&amp;MONTH(G7),59:59)</f>
        <v>100</v>
      </c>
      <c r="I7" s="498">
        <v>44896</v>
      </c>
      <c r="J7" s="497">
        <f>SUMIF(58:58,YEAR(I7)&amp;"-"&amp;MONTH(I7),59:59)</f>
        <v>100</v>
      </c>
      <c r="K7" s="501"/>
      <c r="L7" s="1969"/>
      <c r="M7" s="1970"/>
      <c r="N7" s="1970"/>
      <c r="O7" s="1970"/>
      <c r="P7" s="3676" t="s">
        <v>513</v>
      </c>
      <c r="Q7" s="3685"/>
      <c r="R7" s="1456" t="s">
        <v>8</v>
      </c>
      <c r="S7" s="1457">
        <f t="shared" ref="S7:S15" si="0">F7</f>
        <v>100</v>
      </c>
      <c r="T7" s="1456" t="s">
        <v>8</v>
      </c>
      <c r="U7" s="1457">
        <f t="shared" ref="U7:U15" si="1">H7</f>
        <v>100</v>
      </c>
      <c r="V7" s="1456" t="s">
        <v>8</v>
      </c>
      <c r="W7" s="1457">
        <f t="shared" ref="W7:W15" si="2">J7</f>
        <v>100</v>
      </c>
      <c r="X7" s="1458"/>
      <c r="Y7" s="3676" t="s">
        <v>513</v>
      </c>
      <c r="Z7" s="3677"/>
      <c r="AA7" s="1459">
        <f>D7/F7</f>
        <v>1</v>
      </c>
      <c r="AB7" s="1459">
        <f>D7/H7</f>
        <v>1</v>
      </c>
      <c r="AC7" s="1459">
        <f>D7/J7</f>
        <v>1</v>
      </c>
    </row>
    <row r="8" spans="1:29" s="1165" customFormat="1" ht="15.75" thickBot="1">
      <c r="A8" s="2549"/>
      <c r="B8" s="2556" t="s">
        <v>514</v>
      </c>
      <c r="C8" s="502" t="s">
        <v>558</v>
      </c>
      <c r="D8" s="497">
        <v>100</v>
      </c>
      <c r="E8" s="3472" t="s">
        <v>3432</v>
      </c>
      <c r="F8" s="499">
        <f>SUMIF(61:61,E8,62:62)-SUMIF(61:61,C8,62:62)+100</f>
        <v>100</v>
      </c>
      <c r="G8" s="3472" t="s">
        <v>3432</v>
      </c>
      <c r="H8" s="497">
        <f>SUMIF(61:61,G8,62:62)-SUMIF(61:61,C8,62:62)+100</f>
        <v>100</v>
      </c>
      <c r="I8" s="3472" t="s">
        <v>3433</v>
      </c>
      <c r="J8" s="497">
        <f>SUMIF(61:61,I8,62:62)-SUMIF(61:61,C8,62:62)+100</f>
        <v>100</v>
      </c>
      <c r="K8" s="501"/>
      <c r="L8" s="1969"/>
      <c r="M8" s="1970"/>
      <c r="N8" s="1970"/>
      <c r="O8" s="1970"/>
      <c r="P8" s="3676" t="s">
        <v>516</v>
      </c>
      <c r="Q8" s="3677"/>
      <c r="R8" s="1456" t="s">
        <v>8</v>
      </c>
      <c r="S8" s="1457">
        <f t="shared" si="0"/>
        <v>100</v>
      </c>
      <c r="T8" s="1456" t="s">
        <v>8</v>
      </c>
      <c r="U8" s="1457">
        <f t="shared" si="1"/>
        <v>100</v>
      </c>
      <c r="V8" s="1456" t="s">
        <v>8</v>
      </c>
      <c r="W8" s="1457">
        <f t="shared" si="2"/>
        <v>100</v>
      </c>
      <c r="X8" s="1458"/>
      <c r="Y8" s="3676" t="s">
        <v>516</v>
      </c>
      <c r="Z8" s="3677"/>
      <c r="AA8" s="1459">
        <f t="shared" ref="AA8:AA46" si="3">D8/F8</f>
        <v>1</v>
      </c>
      <c r="AB8" s="1459">
        <f t="shared" ref="AB8:AB46" si="4">D8/H8</f>
        <v>1</v>
      </c>
      <c r="AC8" s="1459">
        <f t="shared" ref="AC8:AC46" si="5">D8/J8</f>
        <v>1</v>
      </c>
    </row>
    <row r="9" spans="1:29" s="1165" customFormat="1" ht="15">
      <c r="A9" s="2550"/>
      <c r="B9" s="2557" t="s">
        <v>2472</v>
      </c>
      <c r="C9" s="3489" t="s">
        <v>3434</v>
      </c>
      <c r="D9" s="252">
        <v>100</v>
      </c>
      <c r="E9" s="3490" t="s">
        <v>3434</v>
      </c>
      <c r="F9" s="252">
        <f>SUMIF(63:63,E9,64:64)-SUMIF(63:63,C9,64:64)+100</f>
        <v>100</v>
      </c>
      <c r="G9" s="3491" t="s">
        <v>3434</v>
      </c>
      <c r="H9" s="252">
        <f>SUMIF(63:63,G9,64:64)-SUMIF(63:63,C9,64:64)+100</f>
        <v>100</v>
      </c>
      <c r="I9" s="3491" t="s">
        <v>3434</v>
      </c>
      <c r="J9" s="252">
        <f>SUMIF(63:63,I9,64:64)-SUMIF(63:63,C9,64:64)+100</f>
        <v>100</v>
      </c>
      <c r="K9" s="501"/>
      <c r="L9" s="1969"/>
      <c r="M9" s="1970"/>
      <c r="N9" s="1970"/>
      <c r="O9" s="1971"/>
      <c r="P9" s="3684" t="s">
        <v>518</v>
      </c>
      <c r="Q9" s="1096" t="str">
        <f t="shared" ref="Q9:Q15" si="6">B9</f>
        <v>用途</v>
      </c>
      <c r="R9" s="1456" t="s">
        <v>8</v>
      </c>
      <c r="S9" s="1457">
        <f t="shared" si="0"/>
        <v>100</v>
      </c>
      <c r="T9" s="1456" t="s">
        <v>8</v>
      </c>
      <c r="U9" s="1457">
        <f t="shared" si="1"/>
        <v>100</v>
      </c>
      <c r="V9" s="1456" t="s">
        <v>8</v>
      </c>
      <c r="W9" s="1457">
        <f t="shared" si="2"/>
        <v>100</v>
      </c>
      <c r="X9" s="1458"/>
      <c r="Y9" s="3636"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0">
        <v>4.2</v>
      </c>
      <c r="F11" s="253">
        <f>LOOKUP(E11,68:68,69:69)-LOOKUP(C11,68:68,69:69)+100</f>
        <v>98</v>
      </c>
      <c r="G11" s="511">
        <v>3.5</v>
      </c>
      <c r="H11" s="253">
        <f>LOOKUP(G11,68:68,69:69)-LOOKUP(C11,68:68,69:69)+100</f>
        <v>100</v>
      </c>
      <c r="I11" s="510">
        <v>3.4</v>
      </c>
      <c r="J11" s="253">
        <f>LOOKUP(I11,68:68,69:69)-LOOKUP(C11,68:68,69:69)+100</f>
        <v>100</v>
      </c>
      <c r="K11" s="561">
        <v>2</v>
      </c>
      <c r="L11" s="1974"/>
      <c r="M11" s="1968"/>
      <c r="N11" s="1968"/>
      <c r="O11" s="1975"/>
      <c r="P11" s="3684"/>
      <c r="Q11" s="1096" t="str">
        <f t="shared" si="6"/>
        <v>容积率</v>
      </c>
      <c r="R11" s="1456" t="s">
        <v>8</v>
      </c>
      <c r="S11" s="1457">
        <f t="shared" si="0"/>
        <v>98</v>
      </c>
      <c r="T11" s="1456" t="s">
        <v>8</v>
      </c>
      <c r="U11" s="1457">
        <f t="shared" si="1"/>
        <v>100</v>
      </c>
      <c r="V11" s="1456" t="s">
        <v>8</v>
      </c>
      <c r="W11" s="1457">
        <f t="shared" si="2"/>
        <v>100</v>
      </c>
      <c r="X11" s="1458"/>
      <c r="Y11" s="3636"/>
      <c r="Z11" s="1095" t="str">
        <f t="shared" si="7"/>
        <v>容积率</v>
      </c>
      <c r="AA11" s="1459">
        <f t="shared" si="3"/>
        <v>1.0204081632653061</v>
      </c>
      <c r="AB11" s="1459">
        <f t="shared" si="4"/>
        <v>1</v>
      </c>
      <c r="AC11" s="1459">
        <f t="shared" si="5"/>
        <v>1</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84"/>
      <c r="Q12" s="1096">
        <f t="shared" si="6"/>
        <v>111</v>
      </c>
      <c r="R12" s="1456" t="s">
        <v>8</v>
      </c>
      <c r="S12" s="1457">
        <f t="shared" si="0"/>
        <v>100</v>
      </c>
      <c r="T12" s="1456" t="s">
        <v>8</v>
      </c>
      <c r="U12" s="1457">
        <f t="shared" si="1"/>
        <v>100</v>
      </c>
      <c r="V12" s="1456" t="s">
        <v>8</v>
      </c>
      <c r="W12" s="1457">
        <f t="shared" si="2"/>
        <v>100</v>
      </c>
      <c r="X12" s="1458"/>
      <c r="Y12" s="3636"/>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84"/>
      <c r="Q13" s="1096">
        <f t="shared" si="6"/>
        <v>111</v>
      </c>
      <c r="R13" s="1456" t="s">
        <v>8</v>
      </c>
      <c r="S13" s="1457">
        <f t="shared" si="0"/>
        <v>100</v>
      </c>
      <c r="T13" s="1456" t="s">
        <v>8</v>
      </c>
      <c r="U13" s="1457">
        <f t="shared" si="1"/>
        <v>100</v>
      </c>
      <c r="V13" s="1456" t="s">
        <v>8</v>
      </c>
      <c r="W13" s="1457">
        <f t="shared" si="2"/>
        <v>100</v>
      </c>
      <c r="X13" s="1458"/>
      <c r="Y13" s="3636"/>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84"/>
      <c r="Q14" s="1096">
        <f t="shared" si="6"/>
        <v>111</v>
      </c>
      <c r="R14" s="1456" t="s">
        <v>8</v>
      </c>
      <c r="S14" s="1457">
        <f t="shared" si="0"/>
        <v>100</v>
      </c>
      <c r="T14" s="1456" t="s">
        <v>8</v>
      </c>
      <c r="U14" s="1457">
        <f t="shared" si="1"/>
        <v>100</v>
      </c>
      <c r="V14" s="1456" t="s">
        <v>8</v>
      </c>
      <c r="W14" s="1457">
        <f t="shared" si="2"/>
        <v>100</v>
      </c>
      <c r="X14" s="1458"/>
      <c r="Y14" s="3636"/>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686" t="s">
        <v>523</v>
      </c>
      <c r="Q15" s="1460" t="str">
        <f t="shared" si="6"/>
        <v>商业繁华度</v>
      </c>
      <c r="R15" s="1461" t="s">
        <v>8</v>
      </c>
      <c r="S15" s="1462">
        <f t="shared" si="0"/>
        <v>100</v>
      </c>
      <c r="T15" s="1461" t="s">
        <v>8</v>
      </c>
      <c r="U15" s="1462">
        <f t="shared" si="1"/>
        <v>100</v>
      </c>
      <c r="V15" s="1461" t="s">
        <v>8</v>
      </c>
      <c r="W15" s="1462">
        <f t="shared" si="2"/>
        <v>100</v>
      </c>
      <c r="X15" s="1455"/>
      <c r="Y15" s="3686" t="s">
        <v>523</v>
      </c>
      <c r="Z15" s="1463" t="str">
        <f t="shared" si="7"/>
        <v>商业繁华度</v>
      </c>
      <c r="AA15" s="1464">
        <f t="shared" si="3"/>
        <v>1</v>
      </c>
      <c r="AB15" s="1464">
        <f t="shared" si="4"/>
        <v>1</v>
      </c>
      <c r="AC15" s="1464">
        <f t="shared" si="5"/>
        <v>1</v>
      </c>
    </row>
    <row r="16" spans="1:29" ht="15">
      <c r="A16" s="509"/>
      <c r="B16" s="841"/>
      <c r="C16" s="3465" t="s">
        <v>3435</v>
      </c>
      <c r="D16" s="532"/>
      <c r="E16" s="3465" t="s">
        <v>3436</v>
      </c>
      <c r="F16" s="534"/>
      <c r="G16" s="3465" t="s">
        <v>3435</v>
      </c>
      <c r="H16" s="536"/>
      <c r="I16" s="3465" t="s">
        <v>3436</v>
      </c>
      <c r="J16" s="532"/>
      <c r="K16" s="869"/>
      <c r="L16" s="1976"/>
      <c r="M16" s="1968"/>
      <c r="N16" s="1968"/>
      <c r="O16" s="1975"/>
      <c r="P16" s="3687"/>
      <c r="Q16" s="1460"/>
      <c r="R16" s="1461"/>
      <c r="S16" s="1462"/>
      <c r="T16" s="1461"/>
      <c r="U16" s="1462"/>
      <c r="V16" s="1461"/>
      <c r="W16" s="1462"/>
      <c r="X16" s="1455"/>
      <c r="Y16" s="3687"/>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687"/>
      <c r="Q17" s="1460" t="str">
        <f>B17</f>
        <v>交通便捷度</v>
      </c>
      <c r="R17" s="1461" t="s">
        <v>8</v>
      </c>
      <c r="S17" s="1462">
        <f>F17</f>
        <v>100</v>
      </c>
      <c r="T17" s="1461" t="s">
        <v>8</v>
      </c>
      <c r="U17" s="1462">
        <f>H17</f>
        <v>100</v>
      </c>
      <c r="V17" s="1461" t="s">
        <v>8</v>
      </c>
      <c r="W17" s="1462">
        <f>J17</f>
        <v>100</v>
      </c>
      <c r="X17" s="1455"/>
      <c r="Y17" s="3687"/>
      <c r="Z17" s="1463" t="str">
        <f>Q17</f>
        <v>交通便捷度</v>
      </c>
      <c r="AA17" s="1464">
        <f t="shared" si="3"/>
        <v>1</v>
      </c>
      <c r="AB17" s="1464">
        <f t="shared" si="4"/>
        <v>1</v>
      </c>
      <c r="AC17" s="1464">
        <f t="shared" si="5"/>
        <v>1</v>
      </c>
    </row>
    <row r="18" spans="1:29" ht="15">
      <c r="A18" s="509"/>
      <c r="B18" s="572"/>
      <c r="C18" s="3481" t="s">
        <v>3435</v>
      </c>
      <c r="D18" s="536"/>
      <c r="E18" s="3474" t="s">
        <v>3435</v>
      </c>
      <c r="F18" s="540"/>
      <c r="G18" s="3464" t="s">
        <v>3435</v>
      </c>
      <c r="H18" s="532"/>
      <c r="I18" s="3474" t="s">
        <v>3436</v>
      </c>
      <c r="J18" s="532"/>
      <c r="K18" s="869"/>
      <c r="L18" s="1976"/>
      <c r="M18" s="1968"/>
      <c r="N18" s="1968"/>
      <c r="O18" s="1975"/>
      <c r="P18" s="3687"/>
      <c r="Q18" s="1460"/>
      <c r="R18" s="1461"/>
      <c r="S18" s="1462"/>
      <c r="T18" s="1461"/>
      <c r="U18" s="1462"/>
      <c r="V18" s="1461"/>
      <c r="W18" s="1462"/>
      <c r="X18" s="1455"/>
      <c r="Y18" s="3687"/>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687"/>
      <c r="Q19" s="1460" t="str">
        <f>B19</f>
        <v>公共配套设施</v>
      </c>
      <c r="R19" s="1461" t="s">
        <v>8</v>
      </c>
      <c r="S19" s="1462">
        <f>F19</f>
        <v>100</v>
      </c>
      <c r="T19" s="1461" t="s">
        <v>8</v>
      </c>
      <c r="U19" s="1462">
        <f>H19</f>
        <v>100</v>
      </c>
      <c r="V19" s="1461" t="s">
        <v>8</v>
      </c>
      <c r="W19" s="1462">
        <f>J19</f>
        <v>100</v>
      </c>
      <c r="X19" s="1455"/>
      <c r="Y19" s="3687"/>
      <c r="Z19" s="1463" t="str">
        <f>Q19</f>
        <v>公共配套设施</v>
      </c>
      <c r="AA19" s="1464">
        <f t="shared" si="3"/>
        <v>1</v>
      </c>
      <c r="AB19" s="1464">
        <f t="shared" si="4"/>
        <v>1</v>
      </c>
      <c r="AC19" s="1464">
        <f t="shared" si="5"/>
        <v>1</v>
      </c>
    </row>
    <row r="20" spans="1:29" ht="15">
      <c r="A20" s="509"/>
      <c r="B20" s="572"/>
      <c r="C20" s="3465" t="s">
        <v>3435</v>
      </c>
      <c r="D20" s="532"/>
      <c r="E20" s="3473" t="s">
        <v>3436</v>
      </c>
      <c r="F20" s="534"/>
      <c r="G20" s="3463" t="s">
        <v>3435</v>
      </c>
      <c r="H20" s="532"/>
      <c r="I20" s="3473" t="s">
        <v>3436</v>
      </c>
      <c r="J20" s="532"/>
      <c r="K20" s="869"/>
      <c r="L20" s="1976"/>
      <c r="M20" s="1968"/>
      <c r="N20" s="1968"/>
      <c r="O20" s="1975"/>
      <c r="P20" s="3687"/>
      <c r="Q20" s="1460"/>
      <c r="R20" s="1461"/>
      <c r="S20" s="1462"/>
      <c r="T20" s="1461"/>
      <c r="U20" s="1462"/>
      <c r="V20" s="1461"/>
      <c r="W20" s="1462"/>
      <c r="X20" s="1455"/>
      <c r="Y20" s="3687"/>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687"/>
      <c r="Q21" s="2349" t="str">
        <f>B21</f>
        <v>基础设施水平</v>
      </c>
      <c r="R21" s="1461" t="s">
        <v>8</v>
      </c>
      <c r="S21" s="1462">
        <f>F21</f>
        <v>100</v>
      </c>
      <c r="T21" s="1461" t="s">
        <v>8</v>
      </c>
      <c r="U21" s="1462">
        <f>H21</f>
        <v>100</v>
      </c>
      <c r="V21" s="1461" t="s">
        <v>8</v>
      </c>
      <c r="W21" s="1462">
        <f>J21</f>
        <v>100</v>
      </c>
      <c r="X21" s="2351"/>
      <c r="Y21" s="3687"/>
      <c r="Z21" s="2350" t="str">
        <f>Q21</f>
        <v>基础设施水平</v>
      </c>
      <c r="AA21" s="1464">
        <f t="shared" ref="AA21" si="8">D21/F21</f>
        <v>1</v>
      </c>
      <c r="AB21" s="1464">
        <f t="shared" ref="AB21" si="9">D21/H21</f>
        <v>1</v>
      </c>
      <c r="AC21" s="1464">
        <f t="shared" ref="AC21" si="10">D21/J21</f>
        <v>1</v>
      </c>
    </row>
    <row r="22" spans="1:29" ht="15">
      <c r="A22" s="509"/>
      <c r="B22" s="892"/>
      <c r="C22" s="3481" t="s">
        <v>3437</v>
      </c>
      <c r="D22" s="532"/>
      <c r="E22" s="3465" t="s">
        <v>3438</v>
      </c>
      <c r="F22" s="534"/>
      <c r="G22" s="3465" t="s">
        <v>3437</v>
      </c>
      <c r="H22" s="532"/>
      <c r="I22" s="3465" t="s">
        <v>3437</v>
      </c>
      <c r="J22" s="532"/>
      <c r="K22" s="2366"/>
      <c r="L22" s="1976"/>
      <c r="M22" s="1968"/>
      <c r="N22" s="1968"/>
      <c r="O22" s="1975"/>
      <c r="P22" s="3687"/>
      <c r="Q22" s="2349"/>
      <c r="R22" s="1461"/>
      <c r="S22" s="1462"/>
      <c r="T22" s="1461"/>
      <c r="U22" s="1462"/>
      <c r="V22" s="1461"/>
      <c r="W22" s="1462"/>
      <c r="X22" s="2351"/>
      <c r="Y22" s="3687"/>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687"/>
      <c r="Q23" s="1460" t="str">
        <f>B23</f>
        <v>自然及人文环境</v>
      </c>
      <c r="R23" s="1461" t="s">
        <v>8</v>
      </c>
      <c r="S23" s="1462">
        <f>F23</f>
        <v>100</v>
      </c>
      <c r="T23" s="1461" t="s">
        <v>8</v>
      </c>
      <c r="U23" s="1462">
        <f>H23</f>
        <v>100</v>
      </c>
      <c r="V23" s="1461" t="s">
        <v>8</v>
      </c>
      <c r="W23" s="1462">
        <f>J23</f>
        <v>100</v>
      </c>
      <c r="X23" s="1455"/>
      <c r="Y23" s="3687"/>
      <c r="Z23" s="1463" t="str">
        <f>Q23</f>
        <v>自然及人文环境</v>
      </c>
      <c r="AA23" s="1464">
        <f t="shared" si="3"/>
        <v>1</v>
      </c>
      <c r="AB23" s="1464">
        <f t="shared" si="4"/>
        <v>1</v>
      </c>
      <c r="AC23" s="1464">
        <f t="shared" si="5"/>
        <v>1</v>
      </c>
    </row>
    <row r="24" spans="1:29" ht="15">
      <c r="A24" s="509"/>
      <c r="B24" s="572"/>
      <c r="C24" s="3465" t="s">
        <v>3435</v>
      </c>
      <c r="D24" s="532"/>
      <c r="E24" s="3473" t="s">
        <v>3436</v>
      </c>
      <c r="F24" s="534"/>
      <c r="G24" s="3463" t="s">
        <v>3435</v>
      </c>
      <c r="H24" s="532"/>
      <c r="I24" s="3473" t="s">
        <v>3435</v>
      </c>
      <c r="J24" s="532"/>
      <c r="K24" s="869"/>
      <c r="L24" s="1976"/>
      <c r="M24" s="1968"/>
      <c r="N24" s="1968"/>
      <c r="O24" s="1975"/>
      <c r="P24" s="3687"/>
      <c r="Q24" s="1460"/>
      <c r="R24" s="1461"/>
      <c r="S24" s="1462"/>
      <c r="T24" s="1461"/>
      <c r="U24" s="1462"/>
      <c r="V24" s="1461"/>
      <c r="W24" s="1462"/>
      <c r="X24" s="1455"/>
      <c r="Y24" s="3687"/>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87"/>
      <c r="Q25" s="1460" t="str">
        <f t="shared" ref="Q25:Q46" si="11">B25</f>
        <v>临街状况</v>
      </c>
      <c r="R25" s="1461" t="s">
        <v>8</v>
      </c>
      <c r="S25" s="1462">
        <f>F25</f>
        <v>100</v>
      </c>
      <c r="T25" s="1461" t="s">
        <v>8</v>
      </c>
      <c r="U25" s="1462">
        <f>H25</f>
        <v>100</v>
      </c>
      <c r="V25" s="1461" t="s">
        <v>8</v>
      </c>
      <c r="W25" s="1462">
        <f>J25</f>
        <v>100</v>
      </c>
      <c r="X25" s="1455"/>
      <c r="Y25" s="3687"/>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87"/>
      <c r="Q26" s="1460" t="str">
        <f t="shared" si="11"/>
        <v>平面位置/可视性</v>
      </c>
      <c r="R26" s="1461" t="s">
        <v>8</v>
      </c>
      <c r="S26" s="1462">
        <f>F26</f>
        <v>100</v>
      </c>
      <c r="T26" s="1461" t="s">
        <v>8</v>
      </c>
      <c r="U26" s="1462">
        <f>H26</f>
        <v>100</v>
      </c>
      <c r="V26" s="1461" t="s">
        <v>8</v>
      </c>
      <c r="W26" s="1462">
        <f>J26</f>
        <v>100</v>
      </c>
      <c r="X26" s="1455"/>
      <c r="Y26" s="3687"/>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687"/>
      <c r="Q27" s="1096" t="str">
        <f t="shared" si="11"/>
        <v>人流量</v>
      </c>
      <c r="R27" s="1456" t="s">
        <v>8</v>
      </c>
      <c r="S27" s="1457">
        <f>F27</f>
        <v>100</v>
      </c>
      <c r="T27" s="1456" t="s">
        <v>8</v>
      </c>
      <c r="U27" s="1457">
        <f>H27</f>
        <v>100</v>
      </c>
      <c r="V27" s="1456" t="s">
        <v>8</v>
      </c>
      <c r="W27" s="1457">
        <f>J27</f>
        <v>100</v>
      </c>
      <c r="X27" s="1458"/>
      <c r="Y27" s="3687"/>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87"/>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87"/>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87"/>
      <c r="Q29" s="1460">
        <f t="shared" si="11"/>
        <v>111</v>
      </c>
      <c r="R29" s="1461" t="s">
        <v>8</v>
      </c>
      <c r="S29" s="1462">
        <f t="shared" si="12"/>
        <v>100</v>
      </c>
      <c r="T29" s="1461" t="s">
        <v>8</v>
      </c>
      <c r="U29" s="1462">
        <f t="shared" si="13"/>
        <v>100</v>
      </c>
      <c r="V29" s="1461" t="s">
        <v>8</v>
      </c>
      <c r="W29" s="1462">
        <f t="shared" si="14"/>
        <v>100</v>
      </c>
      <c r="X29" s="1455"/>
      <c r="Y29" s="3687"/>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87"/>
      <c r="Q30" s="1460">
        <f t="shared" si="11"/>
        <v>111</v>
      </c>
      <c r="R30" s="1461" t="s">
        <v>8</v>
      </c>
      <c r="S30" s="1462">
        <f t="shared" si="12"/>
        <v>100</v>
      </c>
      <c r="T30" s="1461" t="s">
        <v>8</v>
      </c>
      <c r="U30" s="1462">
        <f t="shared" si="13"/>
        <v>100</v>
      </c>
      <c r="V30" s="1461" t="s">
        <v>8</v>
      </c>
      <c r="W30" s="1462">
        <f t="shared" si="14"/>
        <v>100</v>
      </c>
      <c r="X30" s="1455"/>
      <c r="Y30" s="3687"/>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87"/>
      <c r="Q31" s="1460">
        <f t="shared" si="11"/>
        <v>111</v>
      </c>
      <c r="R31" s="1461" t="s">
        <v>8</v>
      </c>
      <c r="S31" s="1462">
        <f t="shared" si="12"/>
        <v>100</v>
      </c>
      <c r="T31" s="1461" t="s">
        <v>8</v>
      </c>
      <c r="U31" s="1462">
        <f t="shared" si="13"/>
        <v>100</v>
      </c>
      <c r="V31" s="1461" t="s">
        <v>8</v>
      </c>
      <c r="W31" s="1462">
        <f t="shared" si="14"/>
        <v>100</v>
      </c>
      <c r="X31" s="1455"/>
      <c r="Y31" s="3687"/>
      <c r="Z31" s="1463">
        <f t="shared" si="15"/>
        <v>111</v>
      </c>
      <c r="AA31" s="1464">
        <f t="shared" si="3"/>
        <v>1</v>
      </c>
      <c r="AB31" s="1464">
        <f t="shared" si="4"/>
        <v>1</v>
      </c>
      <c r="AC31" s="1464">
        <f t="shared" si="5"/>
        <v>1</v>
      </c>
    </row>
    <row r="32" spans="1:29" ht="15">
      <c r="A32" s="2544" t="s">
        <v>2471</v>
      </c>
      <c r="B32" s="170" t="s">
        <v>744</v>
      </c>
      <c r="C32" s="3482" t="s">
        <v>3439</v>
      </c>
      <c r="D32" s="574">
        <v>100</v>
      </c>
      <c r="E32" s="3482" t="s">
        <v>3440</v>
      </c>
      <c r="F32" s="552">
        <f>SUMIF(100:100,E32,101:101)-SUMIF(100:100,C32,101:101)+100</f>
        <v>100</v>
      </c>
      <c r="G32" s="3482" t="s">
        <v>3439</v>
      </c>
      <c r="H32" s="517">
        <f>SUMIF(100:100,G32,101:101)-SUMIF(100:100,C32,101:101)+100</f>
        <v>100</v>
      </c>
      <c r="I32" s="3482" t="s">
        <v>3439</v>
      </c>
      <c r="J32" s="574">
        <f>SUMIF(100:100,I32,101:101)-SUMIF(100:100,C32,101:101)+100</f>
        <v>100</v>
      </c>
      <c r="K32" s="561"/>
      <c r="L32" s="1976"/>
      <c r="M32" s="1968"/>
      <c r="N32" s="1968"/>
      <c r="O32" s="1975"/>
      <c r="P32" s="3688" t="s">
        <v>533</v>
      </c>
      <c r="Q32" s="1460" t="str">
        <f t="shared" si="11"/>
        <v>商业类型</v>
      </c>
      <c r="R32" s="1461" t="s">
        <v>8</v>
      </c>
      <c r="S32" s="1462">
        <f t="shared" si="12"/>
        <v>100</v>
      </c>
      <c r="T32" s="1461" t="s">
        <v>8</v>
      </c>
      <c r="U32" s="1462">
        <f t="shared" si="13"/>
        <v>100</v>
      </c>
      <c r="V32" s="1461" t="s">
        <v>8</v>
      </c>
      <c r="W32" s="1462">
        <f t="shared" si="14"/>
        <v>100</v>
      </c>
      <c r="X32" s="1455"/>
      <c r="Y32" s="3689" t="s">
        <v>533</v>
      </c>
      <c r="Z32" s="1463" t="str">
        <f t="shared" si="15"/>
        <v>商业类型</v>
      </c>
      <c r="AA32" s="1464">
        <f t="shared" si="3"/>
        <v>1</v>
      </c>
      <c r="AB32" s="1464">
        <f t="shared" si="4"/>
        <v>1</v>
      </c>
      <c r="AC32" s="1464">
        <f t="shared" si="5"/>
        <v>1</v>
      </c>
    </row>
    <row r="33" spans="1:29" s="1247" customFormat="1" ht="15">
      <c r="A33" s="580"/>
      <c r="B33" s="504" t="s">
        <v>708</v>
      </c>
      <c r="C33" s="850">
        <f>'数据-汇总表'!E3</f>
        <v>23212.99</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689"/>
      <c r="Q33" s="1489" t="str">
        <f t="shared" si="11"/>
        <v>项目建筑规模</v>
      </c>
      <c r="R33" s="1465" t="s">
        <v>8</v>
      </c>
      <c r="S33" s="1466">
        <f t="shared" si="12"/>
        <v>101</v>
      </c>
      <c r="T33" s="1465" t="s">
        <v>8</v>
      </c>
      <c r="U33" s="1466">
        <f t="shared" si="13"/>
        <v>102</v>
      </c>
      <c r="V33" s="1465" t="s">
        <v>8</v>
      </c>
      <c r="W33" s="1466">
        <f t="shared" si="14"/>
        <v>101</v>
      </c>
      <c r="X33" s="1467"/>
      <c r="Y33" s="3689"/>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689"/>
      <c r="Q34" s="1460" t="str">
        <f t="shared" si="11"/>
        <v>建筑结构</v>
      </c>
      <c r="R34" s="1461" t="s">
        <v>8</v>
      </c>
      <c r="S34" s="1462">
        <f t="shared" si="12"/>
        <v>100</v>
      </c>
      <c r="T34" s="1461" t="s">
        <v>8</v>
      </c>
      <c r="U34" s="1462">
        <f t="shared" si="13"/>
        <v>100</v>
      </c>
      <c r="V34" s="1461" t="s">
        <v>8</v>
      </c>
      <c r="W34" s="1462">
        <f t="shared" si="14"/>
        <v>100</v>
      </c>
      <c r="X34" s="1455"/>
      <c r="Y34" s="3689"/>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89"/>
      <c r="Q35" s="1460" t="str">
        <f t="shared" si="11"/>
        <v>公共部分装修</v>
      </c>
      <c r="R35" s="1461" t="s">
        <v>8</v>
      </c>
      <c r="S35" s="1462">
        <f t="shared" si="12"/>
        <v>100</v>
      </c>
      <c r="T35" s="1461" t="s">
        <v>8</v>
      </c>
      <c r="U35" s="1462">
        <f t="shared" si="13"/>
        <v>100</v>
      </c>
      <c r="V35" s="1461" t="s">
        <v>8</v>
      </c>
      <c r="W35" s="1462">
        <f t="shared" si="14"/>
        <v>100</v>
      </c>
      <c r="X35" s="1455"/>
      <c r="Y35" s="3689"/>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689"/>
      <c r="Q36" s="1460" t="str">
        <f t="shared" si="11"/>
        <v>成新度</v>
      </c>
      <c r="R36" s="1461" t="s">
        <v>8</v>
      </c>
      <c r="S36" s="1462">
        <f t="shared" si="12"/>
        <v>100</v>
      </c>
      <c r="T36" s="1461" t="s">
        <v>8</v>
      </c>
      <c r="U36" s="1462">
        <f t="shared" si="13"/>
        <v>100</v>
      </c>
      <c r="V36" s="1461" t="s">
        <v>8</v>
      </c>
      <c r="W36" s="1462">
        <f t="shared" si="14"/>
        <v>100</v>
      </c>
      <c r="X36" s="1455"/>
      <c r="Y36" s="3689"/>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89"/>
      <c r="Q37" s="1096" t="str">
        <f t="shared" si="11"/>
        <v>市政基础设施</v>
      </c>
      <c r="R37" s="1456" t="s">
        <v>8</v>
      </c>
      <c r="S37" s="1457">
        <f t="shared" si="12"/>
        <v>100</v>
      </c>
      <c r="T37" s="1456" t="s">
        <v>8</v>
      </c>
      <c r="U37" s="1457">
        <f t="shared" si="13"/>
        <v>100</v>
      </c>
      <c r="V37" s="1456" t="s">
        <v>8</v>
      </c>
      <c r="W37" s="1457">
        <f t="shared" si="14"/>
        <v>100</v>
      </c>
      <c r="X37" s="1458"/>
      <c r="Y37" s="3689"/>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89" t="s">
        <v>748</v>
      </c>
      <c r="Q38" s="1460" t="str">
        <f t="shared" si="11"/>
        <v>业态</v>
      </c>
      <c r="R38" s="1461" t="s">
        <v>8</v>
      </c>
      <c r="S38" s="1462">
        <f t="shared" si="12"/>
        <v>100</v>
      </c>
      <c r="T38" s="1461" t="s">
        <v>8</v>
      </c>
      <c r="U38" s="1462">
        <f t="shared" si="13"/>
        <v>100</v>
      </c>
      <c r="V38" s="1461" t="s">
        <v>8</v>
      </c>
      <c r="W38" s="1462">
        <f t="shared" si="14"/>
        <v>100</v>
      </c>
      <c r="X38" s="1455"/>
      <c r="Y38" s="3689"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89"/>
      <c r="Q39" s="1460" t="str">
        <f t="shared" si="11"/>
        <v>层高</v>
      </c>
      <c r="R39" s="1461" t="s">
        <v>8</v>
      </c>
      <c r="S39" s="1462">
        <f t="shared" si="12"/>
        <v>100</v>
      </c>
      <c r="T39" s="1461" t="s">
        <v>8</v>
      </c>
      <c r="U39" s="1462">
        <f t="shared" si="13"/>
        <v>100</v>
      </c>
      <c r="V39" s="1461" t="s">
        <v>8</v>
      </c>
      <c r="W39" s="1462">
        <f t="shared" si="14"/>
        <v>100</v>
      </c>
      <c r="X39" s="1455"/>
      <c r="Y39" s="3689"/>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689"/>
      <c r="Q40" s="1460" t="str">
        <f t="shared" si="11"/>
        <v>单套建筑面积</v>
      </c>
      <c r="R40" s="1461" t="s">
        <v>8</v>
      </c>
      <c r="S40" s="1462">
        <f t="shared" si="12"/>
        <v>100</v>
      </c>
      <c r="T40" s="1461" t="s">
        <v>8</v>
      </c>
      <c r="U40" s="1462">
        <f t="shared" si="13"/>
        <v>100</v>
      </c>
      <c r="V40" s="1461" t="s">
        <v>8</v>
      </c>
      <c r="W40" s="1462">
        <f t="shared" si="14"/>
        <v>100</v>
      </c>
      <c r="X40" s="1455"/>
      <c r="Y40" s="3689"/>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89"/>
      <c r="Q41" s="1489" t="str">
        <f t="shared" si="11"/>
        <v>进深比</v>
      </c>
      <c r="R41" s="1465" t="s">
        <v>8</v>
      </c>
      <c r="S41" s="1466">
        <f t="shared" si="12"/>
        <v>100</v>
      </c>
      <c r="T41" s="1465" t="s">
        <v>8</v>
      </c>
      <c r="U41" s="1466">
        <f t="shared" si="13"/>
        <v>100</v>
      </c>
      <c r="V41" s="1465" t="s">
        <v>8</v>
      </c>
      <c r="W41" s="1466">
        <f t="shared" si="14"/>
        <v>100</v>
      </c>
      <c r="X41" s="1467"/>
      <c r="Y41" s="3689"/>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89"/>
      <c r="Q42" s="1460" t="str">
        <f t="shared" si="11"/>
        <v>内部装修</v>
      </c>
      <c r="R42" s="1461" t="s">
        <v>8</v>
      </c>
      <c r="S42" s="1462">
        <f t="shared" si="12"/>
        <v>100</v>
      </c>
      <c r="T42" s="1461" t="s">
        <v>8</v>
      </c>
      <c r="U42" s="1462">
        <f t="shared" si="13"/>
        <v>100</v>
      </c>
      <c r="V42" s="1461" t="s">
        <v>8</v>
      </c>
      <c r="W42" s="1462">
        <f t="shared" si="14"/>
        <v>100</v>
      </c>
      <c r="X42" s="1455"/>
      <c r="Y42" s="3689"/>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89"/>
      <c r="Q43" s="1460" t="str">
        <f t="shared" si="11"/>
        <v>内部装修维护情况</v>
      </c>
      <c r="R43" s="1461" t="s">
        <v>8</v>
      </c>
      <c r="S43" s="1462">
        <f t="shared" si="12"/>
        <v>100</v>
      </c>
      <c r="T43" s="1461" t="s">
        <v>8</v>
      </c>
      <c r="U43" s="1462">
        <f t="shared" si="13"/>
        <v>100</v>
      </c>
      <c r="V43" s="1461" t="s">
        <v>8</v>
      </c>
      <c r="W43" s="1462">
        <f t="shared" si="14"/>
        <v>100</v>
      </c>
      <c r="X43" s="1455"/>
      <c r="Y43" s="3689"/>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89"/>
      <c r="Q44" s="1096">
        <f t="shared" si="11"/>
        <v>111</v>
      </c>
      <c r="R44" s="1456" t="s">
        <v>8</v>
      </c>
      <c r="S44" s="1457">
        <f t="shared" si="12"/>
        <v>100</v>
      </c>
      <c r="T44" s="1456" t="s">
        <v>8</v>
      </c>
      <c r="U44" s="1457">
        <f t="shared" si="13"/>
        <v>100</v>
      </c>
      <c r="V44" s="1456" t="s">
        <v>8</v>
      </c>
      <c r="W44" s="1457">
        <f t="shared" si="14"/>
        <v>100</v>
      </c>
      <c r="X44" s="1458"/>
      <c r="Y44" s="3689"/>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89"/>
      <c r="Q45" s="1460">
        <f t="shared" si="11"/>
        <v>111</v>
      </c>
      <c r="R45" s="1461" t="s">
        <v>8</v>
      </c>
      <c r="S45" s="1462">
        <f t="shared" si="12"/>
        <v>100</v>
      </c>
      <c r="T45" s="1461" t="s">
        <v>8</v>
      </c>
      <c r="U45" s="1462">
        <f t="shared" si="13"/>
        <v>100</v>
      </c>
      <c r="V45" s="1461" t="s">
        <v>8</v>
      </c>
      <c r="W45" s="1462">
        <f t="shared" si="14"/>
        <v>100</v>
      </c>
      <c r="X45" s="1455"/>
      <c r="Y45" s="3689"/>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1"/>
      <c r="Q46" s="1460">
        <f t="shared" si="11"/>
        <v>111</v>
      </c>
      <c r="R46" s="1461" t="s">
        <v>8</v>
      </c>
      <c r="S46" s="1462">
        <f t="shared" si="12"/>
        <v>100</v>
      </c>
      <c r="T46" s="1461" t="s">
        <v>8</v>
      </c>
      <c r="U46" s="1462">
        <f t="shared" si="13"/>
        <v>100</v>
      </c>
      <c r="V46" s="1461" t="s">
        <v>8</v>
      </c>
      <c r="W46" s="1462">
        <f t="shared" si="14"/>
        <v>100</v>
      </c>
      <c r="X46" s="1455"/>
      <c r="Y46" s="3801"/>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84" t="str">
        <f>A47</f>
        <v>成交单价（元/平方米）</v>
      </c>
      <c r="Q47" s="3684"/>
      <c r="R47" s="3800">
        <f>E47</f>
        <v>20000</v>
      </c>
      <c r="S47" s="3800"/>
      <c r="T47" s="3800">
        <f>G47</f>
        <v>25000</v>
      </c>
      <c r="U47" s="3800"/>
      <c r="V47" s="3800">
        <f>I47</f>
        <v>25000</v>
      </c>
      <c r="W47" s="3800"/>
      <c r="X47" s="1450"/>
      <c r="Y47" s="1469"/>
      <c r="Z47" s="1450"/>
      <c r="AA47" s="1450"/>
      <c r="AB47" s="1450"/>
      <c r="AC47" s="1450"/>
    </row>
    <row r="48" spans="1:29" ht="15.75" thickBot="1">
      <c r="A48" s="592" t="s">
        <v>2476</v>
      </c>
      <c r="B48" s="858"/>
      <c r="C48" s="2396">
        <f>R49</f>
        <v>23156</v>
      </c>
      <c r="D48" s="2919" t="s">
        <v>2700</v>
      </c>
      <c r="E48" s="2397">
        <f>R48</f>
        <v>20206</v>
      </c>
      <c r="F48" s="2920"/>
      <c r="G48" s="2396">
        <f>T48</f>
        <v>24510</v>
      </c>
      <c r="H48" s="2920"/>
      <c r="I48" s="2397">
        <f>V48</f>
        <v>24752</v>
      </c>
      <c r="J48" s="2920"/>
      <c r="K48" s="2928">
        <f>F48+H48+J48</f>
        <v>0</v>
      </c>
      <c r="L48" s="1978"/>
      <c r="M48" s="1979"/>
      <c r="N48" s="1968"/>
      <c r="O48" s="1979"/>
      <c r="P48" s="3684" t="str">
        <f>A48</f>
        <v>比较价格（元/平方米）</v>
      </c>
      <c r="Q48" s="3684"/>
      <c r="R48" s="3800">
        <f>IF(F1="售价",ROUND(PRODUCT(R47,AA7:AA46),0),ROUND(PRODUCT(R47,AA7:AA46),1))</f>
        <v>20206</v>
      </c>
      <c r="S48" s="3800"/>
      <c r="T48" s="3800">
        <f>IF(F1="售价",ROUND(PRODUCT(T47,AB7:AB46),0),ROUND(PRODUCT(T47,AB7:AB46),1))</f>
        <v>24510</v>
      </c>
      <c r="U48" s="3800"/>
      <c r="V48" s="3800">
        <f>IF(F1="售价",ROUND(PRODUCT(V47,AC7:AC46),0),ROUND(PRODUCT(V47,AC7:AC46),1))</f>
        <v>24752</v>
      </c>
      <c r="W48" s="3800"/>
      <c r="X48" s="1450"/>
      <c r="Y48" s="1450"/>
      <c r="Z48" s="1450"/>
      <c r="AA48" s="1450"/>
      <c r="AB48" s="1450"/>
      <c r="AC48" s="1450"/>
    </row>
    <row r="49" spans="1:29" ht="15.75" thickBot="1">
      <c r="A49" s="596" t="s">
        <v>2636</v>
      </c>
      <c r="B49" s="597"/>
      <c r="C49" s="2398">
        <f>R49</f>
        <v>23156</v>
      </c>
      <c r="D49" s="2398"/>
      <c r="E49" s="2398"/>
      <c r="F49" s="2398"/>
      <c r="G49" s="2398"/>
      <c r="H49" s="2398"/>
      <c r="I49" s="2398"/>
      <c r="J49" s="2398"/>
      <c r="K49" s="1495"/>
      <c r="L49" s="1978"/>
      <c r="M49" s="1979"/>
      <c r="N49" s="1968"/>
      <c r="O49" s="1979"/>
      <c r="P49" s="3690" t="str">
        <f>A49</f>
        <v>估价对象XX用房的比较价格（楼面单价，元/平方米）</v>
      </c>
      <c r="Q49" s="3691"/>
      <c r="R49" s="3799">
        <f>IF(F1="售价",ROUND(IF(D48="简单平均",AVERAGE(R48:V48),R48*F48+T48*H48+V48*J48),0),ROUND(IF(D48="简单平均",AVERAGE(R48:V48),R48*F48+T48*H48+V48*J48),1))</f>
        <v>23156</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1.0299999999999976E-2</v>
      </c>
      <c r="F52" s="602" t="str">
        <f>IF(OR(E52&gt;=0.3,E52&lt;=-0.3),"超过30%","")</f>
        <v/>
      </c>
      <c r="G52" s="601">
        <f>IF(G47&lt;G48,G48/G47-1,G47/G48-1)</f>
        <v>1.9991840065279431E-2</v>
      </c>
      <c r="H52" s="602" t="str">
        <f>IF(OR(G52&gt;=0.3,G52&lt;=-0.3),"超过30%","")</f>
        <v/>
      </c>
      <c r="I52" s="601">
        <f>IF(I47&lt;I48,I48/I47-1,I47/I48-1)</f>
        <v>1.0019392372333513E-2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0.21300603781055139</v>
      </c>
      <c r="F53" s="602" t="str">
        <f>IF(OR(E53&gt;=0.2,E53&lt;=-0.2),"超过20%","")</f>
        <v>超过20%</v>
      </c>
      <c r="G53" s="601">
        <f>IF(G48&lt;I48,I48/G48-1,G48/I48-1)</f>
        <v>9.8735210118319205E-3</v>
      </c>
      <c r="H53" s="602" t="str">
        <f>IF(OR(G53&gt;=0.2,G53&lt;=-0.2),"超过20%","")</f>
        <v/>
      </c>
      <c r="I53" s="601">
        <f>IF(I48&lt;E48,E48/I48-1,I48/E48-1)</f>
        <v>0.22498267841235275</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92" t="s">
        <v>505</v>
      </c>
      <c r="D4" s="3693"/>
      <c r="E4" s="3718" t="s">
        <v>506</v>
      </c>
      <c r="F4" s="3719"/>
      <c r="G4" s="3692" t="s">
        <v>507</v>
      </c>
      <c r="H4" s="3693"/>
      <c r="I4" s="3692" t="s">
        <v>508</v>
      </c>
      <c r="J4" s="3693"/>
      <c r="K4" s="491" t="s">
        <v>509</v>
      </c>
      <c r="L4" s="1967"/>
      <c r="M4" s="1968"/>
      <c r="N4" s="1968"/>
      <c r="O4" s="1968"/>
      <c r="P4" s="3802" t="s">
        <v>510</v>
      </c>
      <c r="Q4" s="3695"/>
      <c r="R4" s="3678" t="s">
        <v>506</v>
      </c>
      <c r="S4" s="3679"/>
      <c r="T4" s="3678" t="s">
        <v>507</v>
      </c>
      <c r="U4" s="3679"/>
      <c r="V4" s="3700" t="s">
        <v>508</v>
      </c>
      <c r="W4" s="3700"/>
      <c r="X4" s="1455"/>
      <c r="Y4" s="3678" t="s">
        <v>510</v>
      </c>
      <c r="Z4" s="3679"/>
      <c r="AA4" s="3673" t="s">
        <v>506</v>
      </c>
      <c r="AB4" s="3673" t="s">
        <v>507</v>
      </c>
      <c r="AC4" s="3673" t="s">
        <v>508</v>
      </c>
    </row>
    <row r="5" spans="1:29" ht="15">
      <c r="A5" s="492"/>
      <c r="B5" s="493"/>
      <c r="C5" s="3703" t="s">
        <v>2630</v>
      </c>
      <c r="D5" s="3704"/>
      <c r="E5" s="3720" t="s">
        <v>2631</v>
      </c>
      <c r="F5" s="3721"/>
      <c r="G5" s="3703" t="s">
        <v>2632</v>
      </c>
      <c r="H5" s="3704"/>
      <c r="I5" s="3703" t="s">
        <v>2633</v>
      </c>
      <c r="J5" s="3704"/>
      <c r="K5" s="491"/>
      <c r="L5" s="1967"/>
      <c r="M5" s="1968"/>
      <c r="N5" s="1968"/>
      <c r="O5" s="1968"/>
      <c r="P5" s="3803"/>
      <c r="Q5" s="3697"/>
      <c r="R5" s="3680"/>
      <c r="S5" s="3681"/>
      <c r="T5" s="3680"/>
      <c r="U5" s="3681"/>
      <c r="V5" s="3700"/>
      <c r="W5" s="3700"/>
      <c r="X5" s="1455"/>
      <c r="Y5" s="3680"/>
      <c r="Z5" s="3681"/>
      <c r="AA5" s="3674"/>
      <c r="AB5" s="3674"/>
      <c r="AC5" s="3674"/>
    </row>
    <row r="6" spans="1:29" ht="15.75" thickBot="1">
      <c r="A6" s="494"/>
      <c r="B6" s="495"/>
      <c r="C6" s="3701" t="s">
        <v>2634</v>
      </c>
      <c r="D6" s="3702"/>
      <c r="E6" s="3722" t="s">
        <v>2634</v>
      </c>
      <c r="F6" s="3723"/>
      <c r="G6" s="3701" t="s">
        <v>2634</v>
      </c>
      <c r="H6" s="3702"/>
      <c r="I6" s="3701" t="s">
        <v>2634</v>
      </c>
      <c r="J6" s="3702"/>
      <c r="K6" s="491" t="s">
        <v>511</v>
      </c>
      <c r="L6" s="1967"/>
      <c r="M6" s="1968"/>
      <c r="N6" s="1968"/>
      <c r="O6" s="1968"/>
      <c r="P6" s="3804"/>
      <c r="Q6" s="3699"/>
      <c r="R6" s="3680"/>
      <c r="S6" s="3681"/>
      <c r="T6" s="3682"/>
      <c r="U6" s="3683"/>
      <c r="V6" s="3700"/>
      <c r="W6" s="3700"/>
      <c r="X6" s="1455"/>
      <c r="Y6" s="3682"/>
      <c r="Z6" s="3683"/>
      <c r="AA6" s="3675"/>
      <c r="AB6" s="3675"/>
      <c r="AC6" s="3675"/>
    </row>
    <row r="7" spans="1:29" s="1165" customFormat="1" ht="15.75" thickBot="1">
      <c r="A7" s="2548"/>
      <c r="B7" s="2555" t="s">
        <v>512</v>
      </c>
      <c r="C7" s="496">
        <f>'数据-取费表'!B2</f>
        <v>44901</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85" t="s">
        <v>513</v>
      </c>
      <c r="Q7" s="3685"/>
      <c r="R7" s="1456" t="s">
        <v>8</v>
      </c>
      <c r="S7" s="1457">
        <f t="shared" ref="S7:S15" si="0">F7</f>
        <v>0</v>
      </c>
      <c r="T7" s="1456" t="s">
        <v>8</v>
      </c>
      <c r="U7" s="1457">
        <f t="shared" ref="U7:U15" si="1">H7</f>
        <v>0</v>
      </c>
      <c r="V7" s="1456" t="s">
        <v>8</v>
      </c>
      <c r="W7" s="1457">
        <f t="shared" ref="W7:W15" si="2">J7</f>
        <v>0</v>
      </c>
      <c r="X7" s="1458"/>
      <c r="Y7" s="3676" t="s">
        <v>513</v>
      </c>
      <c r="Z7" s="3677"/>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85" t="s">
        <v>516</v>
      </c>
      <c r="Q8" s="3677"/>
      <c r="R8" s="1456" t="s">
        <v>8</v>
      </c>
      <c r="S8" s="1457">
        <f t="shared" si="0"/>
        <v>0</v>
      </c>
      <c r="T8" s="1456" t="s">
        <v>8</v>
      </c>
      <c r="U8" s="1457">
        <f t="shared" si="1"/>
        <v>0</v>
      </c>
      <c r="V8" s="1456" t="s">
        <v>8</v>
      </c>
      <c r="W8" s="1457">
        <f t="shared" si="2"/>
        <v>0</v>
      </c>
      <c r="X8" s="1458"/>
      <c r="Y8" s="3676" t="s">
        <v>516</v>
      </c>
      <c r="Z8" s="3677"/>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84" t="s">
        <v>518</v>
      </c>
      <c r="Q9" s="1096" t="str">
        <f t="shared" ref="Q9:Q15" si="6">B9</f>
        <v>用途</v>
      </c>
      <c r="R9" s="1456" t="s">
        <v>8</v>
      </c>
      <c r="S9" s="1457">
        <f t="shared" si="0"/>
        <v>100</v>
      </c>
      <c r="T9" s="1456" t="s">
        <v>8</v>
      </c>
      <c r="U9" s="1457">
        <f t="shared" si="1"/>
        <v>100</v>
      </c>
      <c r="V9" s="1456" t="s">
        <v>8</v>
      </c>
      <c r="W9" s="1457">
        <f t="shared" si="2"/>
        <v>100</v>
      </c>
      <c r="X9" s="1458"/>
      <c r="Y9" s="3636"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84"/>
      <c r="Q11" s="1096" t="str">
        <f t="shared" si="6"/>
        <v>容积率</v>
      </c>
      <c r="R11" s="1456" t="s">
        <v>8</v>
      </c>
      <c r="S11" s="1457" t="e">
        <f t="shared" si="0"/>
        <v>#N/A</v>
      </c>
      <c r="T11" s="1456" t="s">
        <v>8</v>
      </c>
      <c r="U11" s="1457" t="e">
        <f t="shared" si="1"/>
        <v>#N/A</v>
      </c>
      <c r="V11" s="1456" t="s">
        <v>8</v>
      </c>
      <c r="W11" s="1457" t="e">
        <f t="shared" si="2"/>
        <v>#N/A</v>
      </c>
      <c r="X11" s="1458"/>
      <c r="Y11" s="3636"/>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84"/>
      <c r="Q12" s="1096">
        <f t="shared" si="6"/>
        <v>111</v>
      </c>
      <c r="R12" s="1456" t="s">
        <v>8</v>
      </c>
      <c r="S12" s="1457">
        <f t="shared" si="0"/>
        <v>100</v>
      </c>
      <c r="T12" s="1456" t="s">
        <v>8</v>
      </c>
      <c r="U12" s="1457">
        <f t="shared" si="1"/>
        <v>100</v>
      </c>
      <c r="V12" s="1456" t="s">
        <v>8</v>
      </c>
      <c r="W12" s="1457">
        <f t="shared" si="2"/>
        <v>100</v>
      </c>
      <c r="X12" s="1458"/>
      <c r="Y12" s="3636"/>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84"/>
      <c r="Q13" s="1096">
        <f t="shared" si="6"/>
        <v>111</v>
      </c>
      <c r="R13" s="1456" t="s">
        <v>8</v>
      </c>
      <c r="S13" s="1457">
        <f t="shared" si="0"/>
        <v>100</v>
      </c>
      <c r="T13" s="1456" t="s">
        <v>8</v>
      </c>
      <c r="U13" s="1457">
        <f t="shared" si="1"/>
        <v>100</v>
      </c>
      <c r="V13" s="1456" t="s">
        <v>8</v>
      </c>
      <c r="W13" s="1457">
        <f t="shared" si="2"/>
        <v>100</v>
      </c>
      <c r="X13" s="1458"/>
      <c r="Y13" s="3636"/>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84"/>
      <c r="Q14" s="1096">
        <f t="shared" si="6"/>
        <v>111</v>
      </c>
      <c r="R14" s="1456" t="s">
        <v>8</v>
      </c>
      <c r="S14" s="1457">
        <f t="shared" si="0"/>
        <v>100</v>
      </c>
      <c r="T14" s="1456" t="s">
        <v>8</v>
      </c>
      <c r="U14" s="1457">
        <f t="shared" si="1"/>
        <v>100</v>
      </c>
      <c r="V14" s="1456" t="s">
        <v>8</v>
      </c>
      <c r="W14" s="1457">
        <f t="shared" si="2"/>
        <v>100</v>
      </c>
      <c r="X14" s="1458"/>
      <c r="Y14" s="3636"/>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686" t="s">
        <v>523</v>
      </c>
      <c r="Q15" s="1460" t="str">
        <f t="shared" si="6"/>
        <v>办公集聚程度</v>
      </c>
      <c r="R15" s="1461" t="s">
        <v>8</v>
      </c>
      <c r="S15" s="1462">
        <f t="shared" si="0"/>
        <v>100</v>
      </c>
      <c r="T15" s="1461" t="s">
        <v>8</v>
      </c>
      <c r="U15" s="1462">
        <f t="shared" si="1"/>
        <v>100</v>
      </c>
      <c r="V15" s="1461" t="s">
        <v>8</v>
      </c>
      <c r="W15" s="1462">
        <f t="shared" si="2"/>
        <v>100</v>
      </c>
      <c r="X15" s="1455"/>
      <c r="Y15" s="3686"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687"/>
      <c r="Q16" s="1460"/>
      <c r="R16" s="1461"/>
      <c r="S16" s="1462"/>
      <c r="T16" s="1461"/>
      <c r="U16" s="1462"/>
      <c r="V16" s="1461"/>
      <c r="W16" s="1462"/>
      <c r="X16" s="1455"/>
      <c r="Y16" s="3687"/>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687"/>
      <c r="Q17" s="1460" t="str">
        <f>B17</f>
        <v>交通便捷度</v>
      </c>
      <c r="R17" s="1461" t="s">
        <v>8</v>
      </c>
      <c r="S17" s="1462">
        <f>F17</f>
        <v>100</v>
      </c>
      <c r="T17" s="1461" t="s">
        <v>8</v>
      </c>
      <c r="U17" s="1462">
        <f>H17</f>
        <v>100</v>
      </c>
      <c r="V17" s="1461" t="s">
        <v>8</v>
      </c>
      <c r="W17" s="1462">
        <f>J17</f>
        <v>100</v>
      </c>
      <c r="X17" s="1455"/>
      <c r="Y17" s="3687"/>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687"/>
      <c r="Q18" s="1460"/>
      <c r="R18" s="1461"/>
      <c r="S18" s="1462"/>
      <c r="T18" s="1461"/>
      <c r="U18" s="1462"/>
      <c r="V18" s="1461"/>
      <c r="W18" s="1462"/>
      <c r="X18" s="1455"/>
      <c r="Y18" s="3687"/>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687"/>
      <c r="Q19" s="1460" t="str">
        <f>B19</f>
        <v>公共配套设施</v>
      </c>
      <c r="R19" s="1461" t="s">
        <v>8</v>
      </c>
      <c r="S19" s="1462">
        <f>F19</f>
        <v>100</v>
      </c>
      <c r="T19" s="1461" t="s">
        <v>8</v>
      </c>
      <c r="U19" s="1462">
        <f>H19</f>
        <v>100</v>
      </c>
      <c r="V19" s="1461" t="s">
        <v>8</v>
      </c>
      <c r="W19" s="1462">
        <f>J19</f>
        <v>100</v>
      </c>
      <c r="X19" s="1455"/>
      <c r="Y19" s="3687"/>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687"/>
      <c r="Q20" s="1460"/>
      <c r="R20" s="1461"/>
      <c r="S20" s="1462"/>
      <c r="T20" s="1461"/>
      <c r="U20" s="1462"/>
      <c r="V20" s="1461"/>
      <c r="W20" s="1462"/>
      <c r="X20" s="1455"/>
      <c r="Y20" s="3687"/>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687"/>
      <c r="Q21" s="2349" t="str">
        <f>B21</f>
        <v>基础设施水平</v>
      </c>
      <c r="R21" s="1461" t="s">
        <v>8</v>
      </c>
      <c r="S21" s="1462">
        <f>F21</f>
        <v>100</v>
      </c>
      <c r="T21" s="1461" t="s">
        <v>8</v>
      </c>
      <c r="U21" s="1462">
        <f>H21</f>
        <v>100</v>
      </c>
      <c r="V21" s="1461" t="s">
        <v>8</v>
      </c>
      <c r="W21" s="1462">
        <f>J21</f>
        <v>100</v>
      </c>
      <c r="X21" s="2351"/>
      <c r="Y21" s="3687"/>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687"/>
      <c r="Q22" s="2349"/>
      <c r="R22" s="1461"/>
      <c r="S22" s="1462"/>
      <c r="T22" s="1461"/>
      <c r="U22" s="1462"/>
      <c r="V22" s="1461"/>
      <c r="W22" s="1462"/>
      <c r="X22" s="2351"/>
      <c r="Y22" s="3687"/>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687"/>
      <c r="Q23" s="1460" t="str">
        <f>B23</f>
        <v>环境质量</v>
      </c>
      <c r="R23" s="1461" t="s">
        <v>8</v>
      </c>
      <c r="S23" s="1462">
        <f>F23</f>
        <v>100</v>
      </c>
      <c r="T23" s="1461" t="s">
        <v>8</v>
      </c>
      <c r="U23" s="1462">
        <f>H23</f>
        <v>100</v>
      </c>
      <c r="V23" s="1461" t="s">
        <v>8</v>
      </c>
      <c r="W23" s="1462">
        <f>J23</f>
        <v>100</v>
      </c>
      <c r="X23" s="1455"/>
      <c r="Y23" s="3687"/>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687"/>
      <c r="Q24" s="1460"/>
      <c r="R24" s="1461"/>
      <c r="S24" s="1462"/>
      <c r="T24" s="1461"/>
      <c r="U24" s="1462"/>
      <c r="V24" s="1461"/>
      <c r="W24" s="1462"/>
      <c r="X24" s="1455"/>
      <c r="Y24" s="3687"/>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687"/>
      <c r="Q25" s="1460" t="str">
        <f>B25</f>
        <v>毗邻道路的类型与等级</v>
      </c>
      <c r="R25" s="1461" t="s">
        <v>8</v>
      </c>
      <c r="S25" s="1462">
        <f>F25</f>
        <v>100</v>
      </c>
      <c r="T25" s="1461" t="s">
        <v>8</v>
      </c>
      <c r="U25" s="1462">
        <f>H25</f>
        <v>100</v>
      </c>
      <c r="V25" s="1461" t="s">
        <v>8</v>
      </c>
      <c r="W25" s="1462">
        <f>J25</f>
        <v>100</v>
      </c>
      <c r="X25" s="1455"/>
      <c r="Y25" s="3687"/>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687"/>
      <c r="Q26" s="1460"/>
      <c r="R26" s="1461"/>
      <c r="S26" s="1462"/>
      <c r="T26" s="1461"/>
      <c r="U26" s="1462"/>
      <c r="V26" s="1461"/>
      <c r="W26" s="1462"/>
      <c r="X26" s="1455"/>
      <c r="Y26" s="3687"/>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87"/>
      <c r="Q27" s="1460" t="str">
        <f t="shared" ref="Q27:Q47" si="11">B27</f>
        <v>楼层</v>
      </c>
      <c r="R27" s="1461" t="s">
        <v>8</v>
      </c>
      <c r="S27" s="1462">
        <f>F27</f>
        <v>100</v>
      </c>
      <c r="T27" s="1461" t="s">
        <v>8</v>
      </c>
      <c r="U27" s="1462">
        <f>H27</f>
        <v>100</v>
      </c>
      <c r="V27" s="1461" t="s">
        <v>8</v>
      </c>
      <c r="W27" s="1462">
        <f>J27</f>
        <v>100</v>
      </c>
      <c r="X27" s="1455"/>
      <c r="Y27" s="3687"/>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687"/>
      <c r="Q28" s="1096" t="str">
        <f t="shared" si="11"/>
        <v>朝向</v>
      </c>
      <c r="R28" s="1456" t="s">
        <v>8</v>
      </c>
      <c r="S28" s="1457">
        <f>F28</f>
        <v>100</v>
      </c>
      <c r="T28" s="1456" t="s">
        <v>8</v>
      </c>
      <c r="U28" s="1457">
        <f>H28</f>
        <v>100</v>
      </c>
      <c r="V28" s="1456" t="s">
        <v>8</v>
      </c>
      <c r="W28" s="1457">
        <f>J28</f>
        <v>100</v>
      </c>
      <c r="X28" s="1458"/>
      <c r="Y28" s="3687"/>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687"/>
      <c r="Q29" s="1460">
        <f t="shared" si="11"/>
        <v>111</v>
      </c>
      <c r="R29" s="1461" t="s">
        <v>8</v>
      </c>
      <c r="S29" s="1462">
        <f t="shared" ref="S29:S47" si="12">F29</f>
        <v>100</v>
      </c>
      <c r="T29" s="1461" t="s">
        <v>8</v>
      </c>
      <c r="U29" s="1462">
        <f t="shared" ref="U29:U47" si="13">H29</f>
        <v>100</v>
      </c>
      <c r="V29" s="1461" t="s">
        <v>8</v>
      </c>
      <c r="W29" s="1462">
        <f t="shared" ref="W29:W47" si="14">J29</f>
        <v>100</v>
      </c>
      <c r="X29" s="1455"/>
      <c r="Y29" s="3687"/>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687"/>
      <c r="Q30" s="1460">
        <f t="shared" si="11"/>
        <v>111</v>
      </c>
      <c r="R30" s="1461" t="s">
        <v>8</v>
      </c>
      <c r="S30" s="1462">
        <f t="shared" si="12"/>
        <v>100</v>
      </c>
      <c r="T30" s="1461" t="s">
        <v>8</v>
      </c>
      <c r="U30" s="1462">
        <f t="shared" si="13"/>
        <v>100</v>
      </c>
      <c r="V30" s="1461" t="s">
        <v>8</v>
      </c>
      <c r="W30" s="1462">
        <f t="shared" si="14"/>
        <v>100</v>
      </c>
      <c r="X30" s="1455"/>
      <c r="Y30" s="3687"/>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687"/>
      <c r="Q31" s="1460">
        <f t="shared" si="11"/>
        <v>111</v>
      </c>
      <c r="R31" s="1461" t="s">
        <v>8</v>
      </c>
      <c r="S31" s="1462">
        <f t="shared" si="12"/>
        <v>100</v>
      </c>
      <c r="T31" s="1461" t="s">
        <v>8</v>
      </c>
      <c r="U31" s="1462">
        <f t="shared" si="13"/>
        <v>100</v>
      </c>
      <c r="V31" s="1461" t="s">
        <v>8</v>
      </c>
      <c r="W31" s="1462">
        <f t="shared" si="14"/>
        <v>100</v>
      </c>
      <c r="X31" s="1455"/>
      <c r="Y31" s="3687"/>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687"/>
      <c r="Q32" s="1460">
        <f t="shared" si="11"/>
        <v>111</v>
      </c>
      <c r="R32" s="1461" t="s">
        <v>8</v>
      </c>
      <c r="S32" s="1462">
        <f t="shared" si="12"/>
        <v>100</v>
      </c>
      <c r="T32" s="1461" t="s">
        <v>8</v>
      </c>
      <c r="U32" s="1462">
        <f t="shared" si="13"/>
        <v>100</v>
      </c>
      <c r="V32" s="1461" t="s">
        <v>8</v>
      </c>
      <c r="W32" s="1462">
        <f t="shared" si="14"/>
        <v>100</v>
      </c>
      <c r="X32" s="1455"/>
      <c r="Y32" s="3687"/>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688" t="s">
        <v>533</v>
      </c>
      <c r="Q33" s="1460" t="str">
        <f t="shared" si="11"/>
        <v>建筑类型</v>
      </c>
      <c r="R33" s="1461" t="s">
        <v>8</v>
      </c>
      <c r="S33" s="1462">
        <f t="shared" si="12"/>
        <v>100</v>
      </c>
      <c r="T33" s="1461" t="s">
        <v>8</v>
      </c>
      <c r="U33" s="1462">
        <f t="shared" si="13"/>
        <v>100</v>
      </c>
      <c r="V33" s="1461" t="s">
        <v>8</v>
      </c>
      <c r="W33" s="1462">
        <f t="shared" si="14"/>
        <v>100</v>
      </c>
      <c r="X33" s="1455"/>
      <c r="Y33" s="3689"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89"/>
      <c r="Q34" s="1489" t="str">
        <f t="shared" si="11"/>
        <v>项目建筑规模</v>
      </c>
      <c r="R34" s="1465" t="s">
        <v>8</v>
      </c>
      <c r="S34" s="1466" t="e">
        <f t="shared" si="12"/>
        <v>#N/A</v>
      </c>
      <c r="T34" s="1465" t="s">
        <v>8</v>
      </c>
      <c r="U34" s="1466" t="e">
        <f t="shared" si="13"/>
        <v>#N/A</v>
      </c>
      <c r="V34" s="1465" t="s">
        <v>8</v>
      </c>
      <c r="W34" s="1466" t="e">
        <f t="shared" si="14"/>
        <v>#N/A</v>
      </c>
      <c r="X34" s="1467"/>
      <c r="Y34" s="3689"/>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89"/>
      <c r="Q35" s="1460" t="str">
        <f t="shared" si="11"/>
        <v>建筑结构</v>
      </c>
      <c r="R35" s="1461" t="s">
        <v>8</v>
      </c>
      <c r="S35" s="1462">
        <f t="shared" si="12"/>
        <v>100</v>
      </c>
      <c r="T35" s="1461" t="s">
        <v>8</v>
      </c>
      <c r="U35" s="1462">
        <f t="shared" si="13"/>
        <v>100</v>
      </c>
      <c r="V35" s="1461" t="s">
        <v>8</v>
      </c>
      <c r="W35" s="1462">
        <f t="shared" si="14"/>
        <v>100</v>
      </c>
      <c r="X35" s="1455"/>
      <c r="Y35" s="3689"/>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89"/>
      <c r="Q36" s="1460" t="str">
        <f t="shared" si="11"/>
        <v>公共部分装修</v>
      </c>
      <c r="R36" s="1461" t="s">
        <v>8</v>
      </c>
      <c r="S36" s="1462">
        <f t="shared" si="12"/>
        <v>100</v>
      </c>
      <c r="T36" s="1461" t="s">
        <v>8</v>
      </c>
      <c r="U36" s="1462">
        <f t="shared" si="13"/>
        <v>100</v>
      </c>
      <c r="V36" s="1461" t="s">
        <v>8</v>
      </c>
      <c r="W36" s="1462">
        <f t="shared" si="14"/>
        <v>100</v>
      </c>
      <c r="X36" s="1455"/>
      <c r="Y36" s="3689"/>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689"/>
      <c r="Q37" s="1460" t="str">
        <f t="shared" si="11"/>
        <v>成新度</v>
      </c>
      <c r="R37" s="1461" t="s">
        <v>8</v>
      </c>
      <c r="S37" s="1462" t="e">
        <f t="shared" si="12"/>
        <v>#N/A</v>
      </c>
      <c r="T37" s="1461" t="s">
        <v>8</v>
      </c>
      <c r="U37" s="1462" t="e">
        <f t="shared" si="13"/>
        <v>#N/A</v>
      </c>
      <c r="V37" s="1461" t="s">
        <v>8</v>
      </c>
      <c r="W37" s="1462" t="e">
        <f t="shared" si="14"/>
        <v>#N/A</v>
      </c>
      <c r="X37" s="1455"/>
      <c r="Y37" s="3689"/>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89"/>
      <c r="Q38" s="1096" t="str">
        <f t="shared" si="11"/>
        <v>写字楼等级</v>
      </c>
      <c r="R38" s="1456" t="s">
        <v>8</v>
      </c>
      <c r="S38" s="1457">
        <f t="shared" si="12"/>
        <v>100</v>
      </c>
      <c r="T38" s="1456" t="s">
        <v>8</v>
      </c>
      <c r="U38" s="1457">
        <f t="shared" si="13"/>
        <v>100</v>
      </c>
      <c r="V38" s="1456" t="s">
        <v>8</v>
      </c>
      <c r="W38" s="1457">
        <f t="shared" si="14"/>
        <v>100</v>
      </c>
      <c r="X38" s="1458"/>
      <c r="Y38" s="3689"/>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89" t="s">
        <v>533</v>
      </c>
      <c r="Q39" s="1460" t="str">
        <f t="shared" si="11"/>
        <v>物业管理</v>
      </c>
      <c r="R39" s="1461" t="s">
        <v>8</v>
      </c>
      <c r="S39" s="1462">
        <f t="shared" si="12"/>
        <v>100</v>
      </c>
      <c r="T39" s="1461" t="s">
        <v>8</v>
      </c>
      <c r="U39" s="1462">
        <f t="shared" si="13"/>
        <v>100</v>
      </c>
      <c r="V39" s="1461" t="s">
        <v>8</v>
      </c>
      <c r="W39" s="1462">
        <f t="shared" si="14"/>
        <v>100</v>
      </c>
      <c r="X39" s="1455"/>
      <c r="Y39" s="3689"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89"/>
      <c r="Q40" s="1460" t="str">
        <f t="shared" si="11"/>
        <v>市政基础设施</v>
      </c>
      <c r="R40" s="1461" t="s">
        <v>8</v>
      </c>
      <c r="S40" s="1462">
        <f t="shared" si="12"/>
        <v>100</v>
      </c>
      <c r="T40" s="1461" t="s">
        <v>8</v>
      </c>
      <c r="U40" s="1462">
        <f t="shared" si="13"/>
        <v>100</v>
      </c>
      <c r="V40" s="1461" t="s">
        <v>8</v>
      </c>
      <c r="W40" s="1462">
        <f t="shared" si="14"/>
        <v>100</v>
      </c>
      <c r="X40" s="1455"/>
      <c r="Y40" s="3689"/>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89"/>
      <c r="Q41" s="1460" t="str">
        <f t="shared" si="11"/>
        <v>层高</v>
      </c>
      <c r="R41" s="1461" t="s">
        <v>8</v>
      </c>
      <c r="S41" s="1462">
        <f t="shared" si="12"/>
        <v>100</v>
      </c>
      <c r="T41" s="1461" t="s">
        <v>8</v>
      </c>
      <c r="U41" s="1462">
        <f t="shared" si="13"/>
        <v>100</v>
      </c>
      <c r="V41" s="1461" t="s">
        <v>8</v>
      </c>
      <c r="W41" s="1462">
        <f t="shared" si="14"/>
        <v>100</v>
      </c>
      <c r="X41" s="1455"/>
      <c r="Y41" s="3689"/>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89"/>
      <c r="Q42" s="1489" t="str">
        <f t="shared" si="11"/>
        <v>单套建筑面积</v>
      </c>
      <c r="R42" s="1465" t="s">
        <v>8</v>
      </c>
      <c r="S42" s="1466">
        <f t="shared" si="12"/>
        <v>100</v>
      </c>
      <c r="T42" s="1465" t="s">
        <v>8</v>
      </c>
      <c r="U42" s="1466">
        <f t="shared" si="13"/>
        <v>100</v>
      </c>
      <c r="V42" s="1465" t="s">
        <v>8</v>
      </c>
      <c r="W42" s="1466">
        <f t="shared" si="14"/>
        <v>100</v>
      </c>
      <c r="X42" s="1467"/>
      <c r="Y42" s="3689"/>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89"/>
      <c r="Q43" s="1460" t="str">
        <f t="shared" si="11"/>
        <v>内部装修</v>
      </c>
      <c r="R43" s="1461" t="s">
        <v>8</v>
      </c>
      <c r="S43" s="1462">
        <f t="shared" si="12"/>
        <v>100</v>
      </c>
      <c r="T43" s="1461" t="s">
        <v>8</v>
      </c>
      <c r="U43" s="1462">
        <f t="shared" si="13"/>
        <v>100</v>
      </c>
      <c r="V43" s="1461" t="s">
        <v>8</v>
      </c>
      <c r="W43" s="1462">
        <f t="shared" si="14"/>
        <v>100</v>
      </c>
      <c r="X43" s="1455"/>
      <c r="Y43" s="3689"/>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89"/>
      <c r="Q44" s="1460" t="str">
        <f t="shared" si="11"/>
        <v>内部装修维护情况</v>
      </c>
      <c r="R44" s="1461" t="s">
        <v>8</v>
      </c>
      <c r="S44" s="1462">
        <f t="shared" si="12"/>
        <v>100</v>
      </c>
      <c r="T44" s="1461" t="s">
        <v>8</v>
      </c>
      <c r="U44" s="1462">
        <f t="shared" si="13"/>
        <v>100</v>
      </c>
      <c r="V44" s="1461" t="s">
        <v>8</v>
      </c>
      <c r="W44" s="1462">
        <f t="shared" si="14"/>
        <v>100</v>
      </c>
      <c r="X44" s="1455"/>
      <c r="Y44" s="3689"/>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89"/>
      <c r="Q45" s="1096">
        <f t="shared" si="11"/>
        <v>111</v>
      </c>
      <c r="R45" s="1456" t="s">
        <v>8</v>
      </c>
      <c r="S45" s="1457">
        <f t="shared" si="12"/>
        <v>100</v>
      </c>
      <c r="T45" s="1456" t="s">
        <v>8</v>
      </c>
      <c r="U45" s="1457">
        <f t="shared" si="13"/>
        <v>100</v>
      </c>
      <c r="V45" s="1456" t="s">
        <v>8</v>
      </c>
      <c r="W45" s="1457">
        <f t="shared" si="14"/>
        <v>100</v>
      </c>
      <c r="X45" s="1458"/>
      <c r="Y45" s="3689"/>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89"/>
      <c r="Q46" s="1460">
        <f t="shared" si="11"/>
        <v>111</v>
      </c>
      <c r="R46" s="1461" t="s">
        <v>8</v>
      </c>
      <c r="S46" s="1462">
        <f t="shared" si="12"/>
        <v>100</v>
      </c>
      <c r="T46" s="1461" t="s">
        <v>8</v>
      </c>
      <c r="U46" s="1462">
        <f t="shared" si="13"/>
        <v>100</v>
      </c>
      <c r="V46" s="1461" t="s">
        <v>8</v>
      </c>
      <c r="W46" s="1462">
        <f t="shared" si="14"/>
        <v>100</v>
      </c>
      <c r="X46" s="1455"/>
      <c r="Y46" s="3689"/>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1"/>
      <c r="Q47" s="1460">
        <f t="shared" si="11"/>
        <v>111</v>
      </c>
      <c r="R47" s="1461" t="s">
        <v>8</v>
      </c>
      <c r="S47" s="1462">
        <f t="shared" si="12"/>
        <v>100</v>
      </c>
      <c r="T47" s="1461" t="s">
        <v>8</v>
      </c>
      <c r="U47" s="1462">
        <f t="shared" si="13"/>
        <v>100</v>
      </c>
      <c r="V47" s="1461" t="s">
        <v>8</v>
      </c>
      <c r="W47" s="1462">
        <f t="shared" si="14"/>
        <v>100</v>
      </c>
      <c r="X47" s="1455"/>
      <c r="Y47" s="3801"/>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691" t="str">
        <f>A48</f>
        <v>成交单价（元/平方米）</v>
      </c>
      <c r="Q48" s="3684"/>
      <c r="R48" s="3800">
        <f>E48</f>
        <v>0</v>
      </c>
      <c r="S48" s="3800"/>
      <c r="T48" s="3800">
        <f>G48</f>
        <v>0</v>
      </c>
      <c r="U48" s="3800"/>
      <c r="V48" s="3800">
        <f>I48</f>
        <v>0</v>
      </c>
      <c r="W48" s="3800"/>
      <c r="X48" s="1450"/>
      <c r="Y48" s="1469"/>
      <c r="Z48" s="1450"/>
      <c r="AA48" s="1450"/>
      <c r="AB48" s="1450"/>
      <c r="AC48" s="1450"/>
    </row>
    <row r="49" spans="1:29" ht="15.7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691" t="str">
        <f>A49</f>
        <v>比较价格（元/平方米）</v>
      </c>
      <c r="Q49" s="3684"/>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5" t="str">
        <f>A50</f>
        <v>估价对象XX用房的比较价格（楼面单价，元/平方米）</v>
      </c>
      <c r="Q50" s="3691"/>
      <c r="R50" s="3799" t="e">
        <f>IF(F1="售价",ROUND(IF(D49="简单平均",AVERAGE(R49:V49),R49*F49+T49*H49+V49*J49),0),ROUND(IF(D49="简单平均",AVERAGE(R49:V49),R49*F49+T49*H49+V49*J49),1))</f>
        <v>#DIV/0!</v>
      </c>
      <c r="S50" s="3799"/>
      <c r="T50" s="3799"/>
      <c r="U50" s="3799"/>
      <c r="V50" s="3799"/>
      <c r="W50" s="3799"/>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2022-12</v>
      </c>
      <c r="D59" s="2441">
        <f>EDATE(C59,-1)</f>
        <v>44866</v>
      </c>
      <c r="E59" s="2441">
        <f t="shared" ref="E59:O59" si="16">EDATE(D59,-1)</f>
        <v>44835</v>
      </c>
      <c r="F59" s="2441">
        <f t="shared" si="16"/>
        <v>44805</v>
      </c>
      <c r="G59" s="2441">
        <f t="shared" si="16"/>
        <v>44774</v>
      </c>
      <c r="H59" s="2441">
        <f t="shared" si="16"/>
        <v>44743</v>
      </c>
      <c r="I59" s="2441">
        <f t="shared" si="16"/>
        <v>44713</v>
      </c>
      <c r="J59" s="2441">
        <f t="shared" si="16"/>
        <v>44682</v>
      </c>
      <c r="K59" s="2441">
        <f t="shared" si="16"/>
        <v>44652</v>
      </c>
      <c r="L59" s="2441">
        <f t="shared" si="16"/>
        <v>44621</v>
      </c>
      <c r="M59" s="2441">
        <f t="shared" si="16"/>
        <v>44593</v>
      </c>
      <c r="N59" s="2441">
        <f t="shared" si="16"/>
        <v>44562</v>
      </c>
      <c r="O59" s="2441">
        <f t="shared" si="16"/>
        <v>44531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92" t="s">
        <v>505</v>
      </c>
      <c r="D4" s="3693"/>
      <c r="E4" s="3718" t="s">
        <v>506</v>
      </c>
      <c r="F4" s="3719"/>
      <c r="G4" s="3692" t="s">
        <v>507</v>
      </c>
      <c r="H4" s="3693"/>
      <c r="I4" s="3692" t="s">
        <v>508</v>
      </c>
      <c r="J4" s="3693"/>
      <c r="K4" s="491" t="s">
        <v>509</v>
      </c>
      <c r="L4" s="1967"/>
      <c r="M4" s="1968"/>
      <c r="N4" s="1968"/>
      <c r="O4" s="1968"/>
      <c r="P4" s="3694" t="s">
        <v>510</v>
      </c>
      <c r="Q4" s="3695"/>
      <c r="R4" s="3678" t="s">
        <v>506</v>
      </c>
      <c r="S4" s="3679"/>
      <c r="T4" s="3678" t="s">
        <v>507</v>
      </c>
      <c r="U4" s="3679"/>
      <c r="V4" s="3700" t="s">
        <v>508</v>
      </c>
      <c r="W4" s="3700"/>
      <c r="X4" s="1455"/>
      <c r="Y4" s="3678" t="s">
        <v>510</v>
      </c>
      <c r="Z4" s="3679"/>
      <c r="AA4" s="3673" t="s">
        <v>506</v>
      </c>
      <c r="AB4" s="3674" t="s">
        <v>507</v>
      </c>
      <c r="AC4" s="3673" t="s">
        <v>508</v>
      </c>
    </row>
    <row r="5" spans="1:29" ht="15">
      <c r="A5" s="492"/>
      <c r="B5" s="493"/>
      <c r="C5" s="3703" t="s">
        <v>2630</v>
      </c>
      <c r="D5" s="3704"/>
      <c r="E5" s="3720" t="s">
        <v>2631</v>
      </c>
      <c r="F5" s="3721"/>
      <c r="G5" s="3703" t="s">
        <v>2632</v>
      </c>
      <c r="H5" s="3704"/>
      <c r="I5" s="3703" t="s">
        <v>2633</v>
      </c>
      <c r="J5" s="3704"/>
      <c r="K5" s="491"/>
      <c r="L5" s="1967"/>
      <c r="M5" s="1968"/>
      <c r="N5" s="1968"/>
      <c r="O5" s="1968"/>
      <c r="P5" s="3696"/>
      <c r="Q5" s="3697"/>
      <c r="R5" s="3680"/>
      <c r="S5" s="3681"/>
      <c r="T5" s="3680"/>
      <c r="U5" s="3681"/>
      <c r="V5" s="3700"/>
      <c r="W5" s="3700"/>
      <c r="X5" s="1455"/>
      <c r="Y5" s="3680"/>
      <c r="Z5" s="3681"/>
      <c r="AA5" s="3674"/>
      <c r="AB5" s="3674"/>
      <c r="AC5" s="3674"/>
    </row>
    <row r="6" spans="1:29" ht="15.75" thickBot="1">
      <c r="A6" s="494"/>
      <c r="B6" s="495"/>
      <c r="C6" s="3701" t="s">
        <v>2634</v>
      </c>
      <c r="D6" s="3702"/>
      <c r="E6" s="3722" t="s">
        <v>2634</v>
      </c>
      <c r="F6" s="3723"/>
      <c r="G6" s="3701" t="s">
        <v>2634</v>
      </c>
      <c r="H6" s="3702"/>
      <c r="I6" s="3701" t="s">
        <v>2634</v>
      </c>
      <c r="J6" s="3702"/>
      <c r="K6" s="491" t="s">
        <v>511</v>
      </c>
      <c r="L6" s="1967"/>
      <c r="M6" s="1968"/>
      <c r="N6" s="1968"/>
      <c r="O6" s="1968"/>
      <c r="P6" s="3698"/>
      <c r="Q6" s="3699"/>
      <c r="R6" s="3680"/>
      <c r="S6" s="3681"/>
      <c r="T6" s="3682"/>
      <c r="U6" s="3683"/>
      <c r="V6" s="3700"/>
      <c r="W6" s="3700"/>
      <c r="X6" s="1455"/>
      <c r="Y6" s="3682"/>
      <c r="Z6" s="3683"/>
      <c r="AA6" s="3675"/>
      <c r="AB6" s="3675"/>
      <c r="AC6" s="3675"/>
    </row>
    <row r="7" spans="1:29" s="1165" customFormat="1" ht="15.75" thickBot="1">
      <c r="A7" s="2548"/>
      <c r="B7" s="2555" t="s">
        <v>512</v>
      </c>
      <c r="C7" s="496">
        <f>'数据-取费表'!B2</f>
        <v>44901</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76" t="s">
        <v>513</v>
      </c>
      <c r="Q7" s="3685"/>
      <c r="R7" s="1456" t="s">
        <v>8</v>
      </c>
      <c r="S7" s="1457">
        <f t="shared" ref="S7:S15" si="0">F7</f>
        <v>0</v>
      </c>
      <c r="T7" s="1456" t="s">
        <v>8</v>
      </c>
      <c r="U7" s="1457">
        <f t="shared" ref="U7:U15" si="1">H7</f>
        <v>0</v>
      </c>
      <c r="V7" s="1456" t="s">
        <v>8</v>
      </c>
      <c r="W7" s="1457">
        <f t="shared" ref="W7:W15" si="2">J7</f>
        <v>0</v>
      </c>
      <c r="X7" s="1458"/>
      <c r="Y7" s="3676" t="s">
        <v>513</v>
      </c>
      <c r="Z7" s="3677"/>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76" t="s">
        <v>516</v>
      </c>
      <c r="Q8" s="3677"/>
      <c r="R8" s="1456" t="s">
        <v>8</v>
      </c>
      <c r="S8" s="1457">
        <f t="shared" si="0"/>
        <v>0</v>
      </c>
      <c r="T8" s="1456" t="s">
        <v>8</v>
      </c>
      <c r="U8" s="1457">
        <f t="shared" si="1"/>
        <v>0</v>
      </c>
      <c r="V8" s="1456" t="s">
        <v>8</v>
      </c>
      <c r="W8" s="1457">
        <f t="shared" si="2"/>
        <v>0</v>
      </c>
      <c r="X8" s="1458"/>
      <c r="Y8" s="3676" t="s">
        <v>516</v>
      </c>
      <c r="Z8" s="3677"/>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84" t="s">
        <v>518</v>
      </c>
      <c r="Q9" s="1096" t="str">
        <f t="shared" ref="Q9:Q15" si="6">B9</f>
        <v>用途</v>
      </c>
      <c r="R9" s="1456" t="s">
        <v>8</v>
      </c>
      <c r="S9" s="1457">
        <f t="shared" si="0"/>
        <v>100</v>
      </c>
      <c r="T9" s="1456" t="s">
        <v>8</v>
      </c>
      <c r="U9" s="1457">
        <f t="shared" si="1"/>
        <v>100</v>
      </c>
      <c r="V9" s="1456" t="s">
        <v>8</v>
      </c>
      <c r="W9" s="1457">
        <f t="shared" si="2"/>
        <v>100</v>
      </c>
      <c r="X9" s="1458"/>
      <c r="Y9" s="3636"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84"/>
      <c r="Q11" s="1096" t="str">
        <f t="shared" si="6"/>
        <v>容积率</v>
      </c>
      <c r="R11" s="1456" t="s">
        <v>8</v>
      </c>
      <c r="S11" s="1457" t="e">
        <f t="shared" si="0"/>
        <v>#N/A</v>
      </c>
      <c r="T11" s="1456" t="s">
        <v>8</v>
      </c>
      <c r="U11" s="1457" t="e">
        <f t="shared" si="1"/>
        <v>#N/A</v>
      </c>
      <c r="V11" s="1456" t="s">
        <v>8</v>
      </c>
      <c r="W11" s="1457" t="e">
        <f t="shared" si="2"/>
        <v>#N/A</v>
      </c>
      <c r="X11" s="1458"/>
      <c r="Y11" s="3636"/>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84"/>
      <c r="Q12" s="1096">
        <f t="shared" si="6"/>
        <v>111</v>
      </c>
      <c r="R12" s="1456" t="s">
        <v>8</v>
      </c>
      <c r="S12" s="1457">
        <f t="shared" si="0"/>
        <v>100</v>
      </c>
      <c r="T12" s="1456" t="s">
        <v>8</v>
      </c>
      <c r="U12" s="1457">
        <f t="shared" si="1"/>
        <v>100</v>
      </c>
      <c r="V12" s="1456" t="s">
        <v>8</v>
      </c>
      <c r="W12" s="1457">
        <f t="shared" si="2"/>
        <v>100</v>
      </c>
      <c r="X12" s="1458"/>
      <c r="Y12" s="3636"/>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84"/>
      <c r="Q13" s="1096">
        <f t="shared" si="6"/>
        <v>111</v>
      </c>
      <c r="R13" s="1456" t="s">
        <v>8</v>
      </c>
      <c r="S13" s="1457">
        <f t="shared" si="0"/>
        <v>100</v>
      </c>
      <c r="T13" s="1456" t="s">
        <v>8</v>
      </c>
      <c r="U13" s="1457">
        <f t="shared" si="1"/>
        <v>100</v>
      </c>
      <c r="V13" s="1456" t="s">
        <v>8</v>
      </c>
      <c r="W13" s="1457">
        <f t="shared" si="2"/>
        <v>100</v>
      </c>
      <c r="X13" s="1458"/>
      <c r="Y13" s="3636"/>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84"/>
      <c r="Q14" s="1096">
        <f t="shared" si="6"/>
        <v>111</v>
      </c>
      <c r="R14" s="1456" t="s">
        <v>8</v>
      </c>
      <c r="S14" s="1457">
        <f t="shared" si="0"/>
        <v>100</v>
      </c>
      <c r="T14" s="1456" t="s">
        <v>8</v>
      </c>
      <c r="U14" s="1457">
        <f t="shared" si="1"/>
        <v>100</v>
      </c>
      <c r="V14" s="1456" t="s">
        <v>8</v>
      </c>
      <c r="W14" s="1457">
        <f t="shared" si="2"/>
        <v>100</v>
      </c>
      <c r="X14" s="1458"/>
      <c r="Y14" s="3636"/>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686" t="s">
        <v>523</v>
      </c>
      <c r="Q15" s="1460" t="str">
        <f t="shared" si="6"/>
        <v>产业集聚程度</v>
      </c>
      <c r="R15" s="1461" t="s">
        <v>8</v>
      </c>
      <c r="S15" s="1462">
        <f t="shared" si="0"/>
        <v>100</v>
      </c>
      <c r="T15" s="1461" t="s">
        <v>8</v>
      </c>
      <c r="U15" s="1462">
        <f t="shared" si="1"/>
        <v>100</v>
      </c>
      <c r="V15" s="1461" t="s">
        <v>8</v>
      </c>
      <c r="W15" s="1462">
        <f t="shared" si="2"/>
        <v>100</v>
      </c>
      <c r="X15" s="1455"/>
      <c r="Y15" s="3686"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687"/>
      <c r="Q16" s="1460"/>
      <c r="R16" s="1461"/>
      <c r="S16" s="1462"/>
      <c r="T16" s="1461"/>
      <c r="U16" s="1462"/>
      <c r="V16" s="1461"/>
      <c r="W16" s="1462"/>
      <c r="X16" s="1455"/>
      <c r="Y16" s="3687"/>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687"/>
      <c r="Q17" s="1460" t="str">
        <f>B17</f>
        <v>交通便捷度</v>
      </c>
      <c r="R17" s="1461" t="s">
        <v>8</v>
      </c>
      <c r="S17" s="1462">
        <f>F17</f>
        <v>100</v>
      </c>
      <c r="T17" s="1461" t="s">
        <v>8</v>
      </c>
      <c r="U17" s="1462">
        <f>H17</f>
        <v>100</v>
      </c>
      <c r="V17" s="1461" t="s">
        <v>8</v>
      </c>
      <c r="W17" s="1462">
        <f>J17</f>
        <v>100</v>
      </c>
      <c r="X17" s="1455"/>
      <c r="Y17" s="3687"/>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687"/>
      <c r="Q18" s="1460"/>
      <c r="R18" s="1461"/>
      <c r="S18" s="1462"/>
      <c r="T18" s="1461"/>
      <c r="U18" s="1462"/>
      <c r="V18" s="1461"/>
      <c r="W18" s="1462"/>
      <c r="X18" s="1455"/>
      <c r="Y18" s="3687"/>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687"/>
      <c r="Q19" s="1460" t="str">
        <f>B19</f>
        <v>公共配套设施</v>
      </c>
      <c r="R19" s="1461" t="s">
        <v>8</v>
      </c>
      <c r="S19" s="1462">
        <f>F19</f>
        <v>100</v>
      </c>
      <c r="T19" s="1461" t="s">
        <v>8</v>
      </c>
      <c r="U19" s="1462">
        <f>H19</f>
        <v>100</v>
      </c>
      <c r="V19" s="1461" t="s">
        <v>8</v>
      </c>
      <c r="W19" s="1462">
        <f>J19</f>
        <v>100</v>
      </c>
      <c r="X19" s="1455"/>
      <c r="Y19" s="3687"/>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687"/>
      <c r="Q20" s="1460"/>
      <c r="R20" s="1461"/>
      <c r="S20" s="1462"/>
      <c r="T20" s="1461"/>
      <c r="U20" s="1462"/>
      <c r="V20" s="1461"/>
      <c r="W20" s="1462"/>
      <c r="X20" s="1455"/>
      <c r="Y20" s="3687"/>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687"/>
      <c r="Q21" s="2349" t="str">
        <f>B21</f>
        <v>基础设施水平</v>
      </c>
      <c r="R21" s="1461" t="s">
        <v>8</v>
      </c>
      <c r="S21" s="1462">
        <f>F21</f>
        <v>100</v>
      </c>
      <c r="T21" s="1461" t="s">
        <v>8</v>
      </c>
      <c r="U21" s="1462">
        <f>H21</f>
        <v>100</v>
      </c>
      <c r="V21" s="1461" t="s">
        <v>8</v>
      </c>
      <c r="W21" s="1462">
        <f>J21</f>
        <v>100</v>
      </c>
      <c r="X21" s="2351"/>
      <c r="Y21" s="3687"/>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687"/>
      <c r="Q22" s="2349"/>
      <c r="R22" s="1461"/>
      <c r="S22" s="1462"/>
      <c r="T22" s="1461"/>
      <c r="U22" s="1462"/>
      <c r="V22" s="1461"/>
      <c r="W22" s="1462"/>
      <c r="X22" s="2351"/>
      <c r="Y22" s="3687"/>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687"/>
      <c r="Q23" s="1460" t="str">
        <f>B23</f>
        <v>环境质量</v>
      </c>
      <c r="R23" s="1461" t="s">
        <v>8</v>
      </c>
      <c r="S23" s="1462">
        <f>F23</f>
        <v>100</v>
      </c>
      <c r="T23" s="1461" t="s">
        <v>8</v>
      </c>
      <c r="U23" s="1462">
        <f>H23</f>
        <v>100</v>
      </c>
      <c r="V23" s="1461" t="s">
        <v>8</v>
      </c>
      <c r="W23" s="1462">
        <f>J23</f>
        <v>100</v>
      </c>
      <c r="X23" s="1455"/>
      <c r="Y23" s="3687"/>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687"/>
      <c r="Q24" s="1460"/>
      <c r="R24" s="1461"/>
      <c r="S24" s="1462"/>
      <c r="T24" s="1461"/>
      <c r="U24" s="1462"/>
      <c r="V24" s="1461"/>
      <c r="W24" s="1462"/>
      <c r="X24" s="1455"/>
      <c r="Y24" s="3687"/>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87"/>
      <c r="Q25" s="1460">
        <f>B25</f>
        <v>111</v>
      </c>
      <c r="R25" s="1461" t="s">
        <v>8</v>
      </c>
      <c r="S25" s="1462">
        <f>F25</f>
        <v>100</v>
      </c>
      <c r="T25" s="1461" t="s">
        <v>8</v>
      </c>
      <c r="U25" s="1462">
        <f>H25</f>
        <v>100</v>
      </c>
      <c r="V25" s="1461" t="s">
        <v>8</v>
      </c>
      <c r="W25" s="1462">
        <f>J25</f>
        <v>100</v>
      </c>
      <c r="X25" s="1455"/>
      <c r="Y25" s="3687"/>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87"/>
      <c r="Q26" s="1460">
        <f t="shared" ref="Q26:Q40" si="11">B26</f>
        <v>111</v>
      </c>
      <c r="R26" s="1461" t="s">
        <v>8</v>
      </c>
      <c r="S26" s="1462">
        <f>F26</f>
        <v>100</v>
      </c>
      <c r="T26" s="1461" t="s">
        <v>8</v>
      </c>
      <c r="U26" s="1462">
        <f>H26</f>
        <v>100</v>
      </c>
      <c r="V26" s="1461" t="s">
        <v>8</v>
      </c>
      <c r="W26" s="1462">
        <f>J26</f>
        <v>100</v>
      </c>
      <c r="X26" s="1455"/>
      <c r="Y26" s="3687"/>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87"/>
      <c r="Q27" s="1096">
        <f t="shared" si="11"/>
        <v>111</v>
      </c>
      <c r="R27" s="1456" t="s">
        <v>8</v>
      </c>
      <c r="S27" s="1457">
        <f>F27</f>
        <v>100</v>
      </c>
      <c r="T27" s="1456" t="s">
        <v>8</v>
      </c>
      <c r="U27" s="1457">
        <f>H27</f>
        <v>100</v>
      </c>
      <c r="V27" s="1456" t="s">
        <v>8</v>
      </c>
      <c r="W27" s="1457">
        <f>J27</f>
        <v>100</v>
      </c>
      <c r="X27" s="1458"/>
      <c r="Y27" s="3687"/>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687"/>
      <c r="Q28" s="1460">
        <f t="shared" si="11"/>
        <v>111</v>
      </c>
      <c r="R28" s="1461" t="s">
        <v>8</v>
      </c>
      <c r="S28" s="1462">
        <f t="shared" ref="S28:S40" si="12">F28</f>
        <v>100</v>
      </c>
      <c r="T28" s="1461" t="s">
        <v>8</v>
      </c>
      <c r="U28" s="1462">
        <f t="shared" ref="U28:U40" si="13">H28</f>
        <v>100</v>
      </c>
      <c r="V28" s="1461" t="s">
        <v>8</v>
      </c>
      <c r="W28" s="1462">
        <f t="shared" ref="W28:W40" si="14">J28</f>
        <v>100</v>
      </c>
      <c r="X28" s="1455"/>
      <c r="Y28" s="3687"/>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688" t="s">
        <v>533</v>
      </c>
      <c r="Q29" s="1460" t="str">
        <f t="shared" si="11"/>
        <v>建筑类型</v>
      </c>
      <c r="R29" s="1461" t="s">
        <v>8</v>
      </c>
      <c r="S29" s="1462">
        <f t="shared" si="12"/>
        <v>100</v>
      </c>
      <c r="T29" s="1461" t="s">
        <v>8</v>
      </c>
      <c r="U29" s="1462">
        <f t="shared" si="13"/>
        <v>100</v>
      </c>
      <c r="V29" s="1461" t="s">
        <v>8</v>
      </c>
      <c r="W29" s="1462">
        <f t="shared" si="14"/>
        <v>100</v>
      </c>
      <c r="X29" s="1455"/>
      <c r="Y29" s="3689"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89"/>
      <c r="Q30" s="1489" t="str">
        <f t="shared" si="11"/>
        <v>项目建筑规模</v>
      </c>
      <c r="R30" s="1465" t="s">
        <v>8</v>
      </c>
      <c r="S30" s="1466" t="e">
        <f t="shared" si="12"/>
        <v>#N/A</v>
      </c>
      <c r="T30" s="1465" t="s">
        <v>8</v>
      </c>
      <c r="U30" s="1466" t="e">
        <f t="shared" si="13"/>
        <v>#N/A</v>
      </c>
      <c r="V30" s="1465" t="s">
        <v>8</v>
      </c>
      <c r="W30" s="1466" t="e">
        <f t="shared" si="14"/>
        <v>#N/A</v>
      </c>
      <c r="X30" s="1467"/>
      <c r="Y30" s="3689"/>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89"/>
      <c r="Q31" s="1460" t="str">
        <f t="shared" si="11"/>
        <v>建筑结构</v>
      </c>
      <c r="R31" s="1461" t="s">
        <v>8</v>
      </c>
      <c r="S31" s="1462">
        <f t="shared" si="12"/>
        <v>100</v>
      </c>
      <c r="T31" s="1461" t="s">
        <v>8</v>
      </c>
      <c r="U31" s="1462">
        <f t="shared" si="13"/>
        <v>100</v>
      </c>
      <c r="V31" s="1461" t="s">
        <v>8</v>
      </c>
      <c r="W31" s="1462">
        <f t="shared" si="14"/>
        <v>100</v>
      </c>
      <c r="X31" s="1455"/>
      <c r="Y31" s="3689"/>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89"/>
      <c r="Q32" s="1460" t="str">
        <f t="shared" si="11"/>
        <v>公共部分装修</v>
      </c>
      <c r="R32" s="1461" t="s">
        <v>8</v>
      </c>
      <c r="S32" s="1462">
        <f t="shared" si="12"/>
        <v>100</v>
      </c>
      <c r="T32" s="1461" t="s">
        <v>8</v>
      </c>
      <c r="U32" s="1462">
        <f t="shared" si="13"/>
        <v>100</v>
      </c>
      <c r="V32" s="1461" t="s">
        <v>8</v>
      </c>
      <c r="W32" s="1462">
        <f t="shared" si="14"/>
        <v>100</v>
      </c>
      <c r="X32" s="1455"/>
      <c r="Y32" s="3689"/>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689"/>
      <c r="Q33" s="1460" t="str">
        <f t="shared" si="11"/>
        <v>成新度</v>
      </c>
      <c r="R33" s="1461" t="s">
        <v>8</v>
      </c>
      <c r="S33" s="1462" t="e">
        <f t="shared" si="12"/>
        <v>#N/A</v>
      </c>
      <c r="T33" s="1461" t="s">
        <v>8</v>
      </c>
      <c r="U33" s="1462" t="e">
        <f t="shared" si="13"/>
        <v>#N/A</v>
      </c>
      <c r="V33" s="1461" t="s">
        <v>8</v>
      </c>
      <c r="W33" s="1462" t="e">
        <f t="shared" si="14"/>
        <v>#N/A</v>
      </c>
      <c r="X33" s="1455"/>
      <c r="Y33" s="3689"/>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89"/>
      <c r="Q34" s="1096" t="str">
        <f t="shared" si="11"/>
        <v>物业管理</v>
      </c>
      <c r="R34" s="1456" t="s">
        <v>8</v>
      </c>
      <c r="S34" s="1457">
        <f t="shared" si="12"/>
        <v>100</v>
      </c>
      <c r="T34" s="1456" t="s">
        <v>8</v>
      </c>
      <c r="U34" s="1457">
        <f t="shared" si="13"/>
        <v>100</v>
      </c>
      <c r="V34" s="1456" t="s">
        <v>8</v>
      </c>
      <c r="W34" s="1457">
        <f t="shared" si="14"/>
        <v>100</v>
      </c>
      <c r="X34" s="1458"/>
      <c r="Y34" s="3689"/>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89" t="s">
        <v>533</v>
      </c>
      <c r="Q35" s="1460" t="str">
        <f t="shared" si="11"/>
        <v>市政基础设施</v>
      </c>
      <c r="R35" s="1461" t="s">
        <v>8</v>
      </c>
      <c r="S35" s="1462">
        <f t="shared" si="12"/>
        <v>100</v>
      </c>
      <c r="T35" s="1461" t="s">
        <v>8</v>
      </c>
      <c r="U35" s="1462">
        <f t="shared" si="13"/>
        <v>100</v>
      </c>
      <c r="V35" s="1461" t="s">
        <v>8</v>
      </c>
      <c r="W35" s="1462">
        <f t="shared" si="14"/>
        <v>100</v>
      </c>
      <c r="X35" s="1455"/>
      <c r="Y35" s="3689"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89"/>
      <c r="Q36" s="1460" t="str">
        <f t="shared" si="11"/>
        <v>内部装修</v>
      </c>
      <c r="R36" s="1461" t="s">
        <v>8</v>
      </c>
      <c r="S36" s="1462">
        <f t="shared" si="12"/>
        <v>100</v>
      </c>
      <c r="T36" s="1461" t="s">
        <v>8</v>
      </c>
      <c r="U36" s="1462">
        <f t="shared" si="13"/>
        <v>100</v>
      </c>
      <c r="V36" s="1461" t="s">
        <v>8</v>
      </c>
      <c r="W36" s="1462">
        <f t="shared" si="14"/>
        <v>100</v>
      </c>
      <c r="X36" s="1455"/>
      <c r="Y36" s="3689"/>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89"/>
      <c r="Q37" s="1460" t="str">
        <f t="shared" si="11"/>
        <v>内部装修状况</v>
      </c>
      <c r="R37" s="1461" t="s">
        <v>8</v>
      </c>
      <c r="S37" s="1462">
        <f t="shared" si="12"/>
        <v>100</v>
      </c>
      <c r="T37" s="1461" t="s">
        <v>8</v>
      </c>
      <c r="U37" s="1462">
        <f t="shared" si="13"/>
        <v>100</v>
      </c>
      <c r="V37" s="1461" t="s">
        <v>8</v>
      </c>
      <c r="W37" s="1462">
        <f t="shared" si="14"/>
        <v>100</v>
      </c>
      <c r="X37" s="1455"/>
      <c r="Y37" s="3689"/>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689"/>
      <c r="Q38" s="1489">
        <f t="shared" si="11"/>
        <v>111</v>
      </c>
      <c r="R38" s="1465" t="s">
        <v>8</v>
      </c>
      <c r="S38" s="1466">
        <f t="shared" si="12"/>
        <v>100</v>
      </c>
      <c r="T38" s="1465" t="s">
        <v>8</v>
      </c>
      <c r="U38" s="1466">
        <f t="shared" si="13"/>
        <v>100</v>
      </c>
      <c r="V38" s="1465" t="s">
        <v>8</v>
      </c>
      <c r="W38" s="1466">
        <f t="shared" si="14"/>
        <v>100</v>
      </c>
      <c r="X38" s="1467"/>
      <c r="Y38" s="3689"/>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689"/>
      <c r="Q39" s="1460">
        <f t="shared" si="11"/>
        <v>111</v>
      </c>
      <c r="R39" s="1461" t="s">
        <v>8</v>
      </c>
      <c r="S39" s="1462">
        <f t="shared" si="12"/>
        <v>100</v>
      </c>
      <c r="T39" s="1461" t="s">
        <v>8</v>
      </c>
      <c r="U39" s="1462">
        <f t="shared" si="13"/>
        <v>100</v>
      </c>
      <c r="V39" s="1461" t="s">
        <v>8</v>
      </c>
      <c r="W39" s="1462">
        <f t="shared" si="14"/>
        <v>100</v>
      </c>
      <c r="X39" s="1455"/>
      <c r="Y39" s="3689"/>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1"/>
      <c r="Q40" s="1460">
        <f t="shared" si="11"/>
        <v>111</v>
      </c>
      <c r="R40" s="1461" t="s">
        <v>8</v>
      </c>
      <c r="S40" s="1462">
        <f t="shared" si="12"/>
        <v>100</v>
      </c>
      <c r="T40" s="1461" t="s">
        <v>8</v>
      </c>
      <c r="U40" s="1462">
        <f t="shared" si="13"/>
        <v>100</v>
      </c>
      <c r="V40" s="1461" t="s">
        <v>8</v>
      </c>
      <c r="W40" s="1462">
        <f t="shared" si="14"/>
        <v>100</v>
      </c>
      <c r="X40" s="1455"/>
      <c r="Y40" s="3801"/>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84" t="str">
        <f>A41</f>
        <v>成交单价（元/平方米）</v>
      </c>
      <c r="Q41" s="3684"/>
      <c r="R41" s="3800">
        <f>E41</f>
        <v>0</v>
      </c>
      <c r="S41" s="3800"/>
      <c r="T41" s="3800">
        <f>G41</f>
        <v>0</v>
      </c>
      <c r="U41" s="3800"/>
      <c r="V41" s="3800">
        <f>I41</f>
        <v>0</v>
      </c>
      <c r="W41" s="3800"/>
      <c r="X41" s="1450"/>
      <c r="Y41" s="1469"/>
      <c r="Z41" s="1450"/>
      <c r="AA41" s="1450"/>
      <c r="AB41" s="1450"/>
      <c r="AC41" s="1450"/>
    </row>
    <row r="42" spans="1:29" ht="15.7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84" t="str">
        <f>A42</f>
        <v>比较价格（元/平方米）</v>
      </c>
      <c r="Q42" s="3684"/>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690" t="str">
        <f>A43</f>
        <v>估价对象XX用房的比较价格（楼面单价，元/平方米）</v>
      </c>
      <c r="Q43" s="3691"/>
      <c r="R43" s="3799" t="e">
        <f>IF(F1="售价",ROUND(IF(D42="简单平均",AVERAGE(R42:V42),R42*F42+T42*H42+V42*J42),0),ROUND(IF(D42="简单平均",AVERAGE(R42:V42),R42*F42+T42*H42+V42*J42),1))</f>
        <v>#DIV/0!</v>
      </c>
      <c r="S43" s="3799"/>
      <c r="T43" s="3799"/>
      <c r="U43" s="3799"/>
      <c r="V43" s="3799"/>
      <c r="W43" s="3799"/>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2022-12</v>
      </c>
      <c r="D52" s="2441">
        <f>EDATE(C52,-1)</f>
        <v>44866</v>
      </c>
      <c r="E52" s="2441">
        <f t="shared" ref="E52:O52" si="16">EDATE(D52,-1)</f>
        <v>44835</v>
      </c>
      <c r="F52" s="2441">
        <f t="shared" si="16"/>
        <v>44805</v>
      </c>
      <c r="G52" s="2441">
        <f t="shared" si="16"/>
        <v>44774</v>
      </c>
      <c r="H52" s="2441">
        <f t="shared" si="16"/>
        <v>44743</v>
      </c>
      <c r="I52" s="2441">
        <f t="shared" si="16"/>
        <v>44713</v>
      </c>
      <c r="J52" s="2441">
        <f t="shared" si="16"/>
        <v>44682</v>
      </c>
      <c r="K52" s="2441">
        <f t="shared" si="16"/>
        <v>44652</v>
      </c>
      <c r="L52" s="2441">
        <f t="shared" si="16"/>
        <v>44621</v>
      </c>
      <c r="M52" s="2441">
        <f t="shared" si="16"/>
        <v>44593</v>
      </c>
      <c r="N52" s="2441">
        <f t="shared" si="16"/>
        <v>44562</v>
      </c>
      <c r="O52" s="2441">
        <f t="shared" si="16"/>
        <v>44531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09" t="s">
        <v>2093</v>
      </c>
      <c r="D1" s="3810"/>
      <c r="E1" s="3810"/>
      <c r="F1" s="3810"/>
      <c r="G1" s="3810"/>
      <c r="H1" s="3810"/>
      <c r="I1" s="3810"/>
      <c r="J1" s="3810"/>
      <c r="K1" s="3810"/>
      <c r="L1" s="3810"/>
      <c r="M1" s="3810"/>
      <c r="N1" s="3810"/>
      <c r="O1" s="3810"/>
      <c r="P1" s="3810"/>
      <c r="Q1" s="3810"/>
      <c r="R1" s="3810"/>
      <c r="S1" s="3811"/>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1605</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19689</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815.17</v>
      </c>
      <c r="C22" s="3806" t="s">
        <v>20</v>
      </c>
      <c r="D22" s="3807"/>
      <c r="E22" s="3807"/>
      <c r="F22" s="3807"/>
      <c r="G22" s="3807"/>
      <c r="H22" s="3807"/>
      <c r="I22" s="3807"/>
      <c r="J22" s="3807"/>
      <c r="K22" s="3807"/>
      <c r="L22" s="3807"/>
      <c r="M22" s="3807"/>
      <c r="N22" s="3807"/>
      <c r="O22" s="3807"/>
      <c r="P22" s="3807"/>
      <c r="Q22" s="3808"/>
      <c r="R22" s="474">
        <f>ROUND(S22*10000/B22,0)</f>
        <v>19689</v>
      </c>
      <c r="S22" s="53">
        <f>SUM(S24:S10000)</f>
        <v>1605</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3441</v>
      </c>
      <c r="B24" s="930">
        <f>'数据-汇总表'!F20/2</f>
        <v>407.58499999999998</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23156</v>
      </c>
      <c r="S24" s="931">
        <f t="shared" ref="S24:S54" si="11">ROUND(R24*B24/10000,0)</f>
        <v>944</v>
      </c>
      <c r="T24" s="1839"/>
      <c r="U24" s="1839"/>
      <c r="V24" s="1839"/>
      <c r="W24" s="1839"/>
      <c r="X24" s="1839"/>
      <c r="Y24" s="1839"/>
      <c r="Z24" s="1839"/>
      <c r="AA24" s="1839"/>
      <c r="AB24" s="1839"/>
      <c r="AC24" s="1839"/>
      <c r="AD24" s="1839"/>
      <c r="AE24" s="1839"/>
      <c r="AF24" s="1839"/>
      <c r="AG24" s="1839"/>
      <c r="AH24" s="1839"/>
      <c r="AI24" s="1839"/>
    </row>
    <row r="25" spans="1:45">
      <c r="A25" s="934" t="s">
        <v>3442</v>
      </c>
      <c r="B25" s="136">
        <f>B24</f>
        <v>407.58499999999998</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16209</v>
      </c>
      <c r="S25" s="772">
        <f t="shared" si="11"/>
        <v>661</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N55" sqref="N5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3150</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1353</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7627</v>
      </c>
      <c r="C3" s="824" t="s">
        <v>704</v>
      </c>
      <c r="D3" s="823">
        <f>SUMIF('数据-汇总表'!$C19:$C33,D1,'数据-汇总表'!$E19:$E33)</f>
        <v>1774.24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2" t="s">
        <v>505</v>
      </c>
      <c r="D4" s="3693"/>
      <c r="E4" s="3718" t="s">
        <v>506</v>
      </c>
      <c r="F4" s="3719"/>
      <c r="G4" s="3692" t="s">
        <v>507</v>
      </c>
      <c r="H4" s="3693"/>
      <c r="I4" s="3692" t="s">
        <v>508</v>
      </c>
      <c r="J4" s="3693"/>
      <c r="K4" s="825" t="s">
        <v>509</v>
      </c>
      <c r="L4" s="1967"/>
      <c r="M4" s="1968"/>
      <c r="N4" s="1968"/>
      <c r="O4" s="1968"/>
      <c r="P4" s="3694" t="s">
        <v>510</v>
      </c>
      <c r="Q4" s="3695"/>
      <c r="R4" s="3678" t="s">
        <v>506</v>
      </c>
      <c r="S4" s="3679"/>
      <c r="T4" s="3678" t="s">
        <v>507</v>
      </c>
      <c r="U4" s="3679"/>
      <c r="V4" s="3700" t="s">
        <v>508</v>
      </c>
      <c r="W4" s="3700"/>
      <c r="X4" s="3454"/>
      <c r="Y4" s="3678" t="s">
        <v>510</v>
      </c>
      <c r="Z4" s="3679"/>
      <c r="AA4" s="3673" t="s">
        <v>506</v>
      </c>
      <c r="AB4" s="3673" t="s">
        <v>507</v>
      </c>
      <c r="AC4" s="3673" t="s">
        <v>508</v>
      </c>
    </row>
    <row r="5" spans="1:29" ht="15">
      <c r="A5" s="492"/>
      <c r="B5" s="493"/>
      <c r="C5" s="3703" t="s">
        <v>2630</v>
      </c>
      <c r="D5" s="3704"/>
      <c r="E5" s="3720" t="str">
        <f>Sheet4!E32</f>
        <v>升龙天汇8号院</v>
      </c>
      <c r="F5" s="3721"/>
      <c r="G5" s="3703" t="str">
        <f>Sheet4!E33</f>
        <v>升龙天汇6号院</v>
      </c>
      <c r="H5" s="3704"/>
      <c r="I5" s="3703" t="str">
        <f>Sheet4!E34</f>
        <v>乐丁广场</v>
      </c>
      <c r="J5" s="3704"/>
      <c r="K5" s="826"/>
      <c r="L5" s="1967"/>
      <c r="M5" s="1968"/>
      <c r="N5" s="1968"/>
      <c r="O5" s="1968"/>
      <c r="P5" s="3696"/>
      <c r="Q5" s="3697"/>
      <c r="R5" s="3680"/>
      <c r="S5" s="3681"/>
      <c r="T5" s="3680"/>
      <c r="U5" s="3681"/>
      <c r="V5" s="3700"/>
      <c r="W5" s="3700"/>
      <c r="X5" s="3454"/>
      <c r="Y5" s="3680"/>
      <c r="Z5" s="3681"/>
      <c r="AA5" s="3674"/>
      <c r="AB5" s="3674"/>
      <c r="AC5" s="3674"/>
    </row>
    <row r="6" spans="1:29" ht="15.75" thickBot="1">
      <c r="A6" s="494"/>
      <c r="B6" s="495"/>
      <c r="C6" s="3701" t="s">
        <v>2634</v>
      </c>
      <c r="D6" s="3702"/>
      <c r="E6" s="3722" t="s">
        <v>2634</v>
      </c>
      <c r="F6" s="3723"/>
      <c r="G6" s="3701" t="s">
        <v>2634</v>
      </c>
      <c r="H6" s="3702"/>
      <c r="I6" s="3701" t="s">
        <v>2634</v>
      </c>
      <c r="J6" s="3702"/>
      <c r="K6" s="826" t="s">
        <v>511</v>
      </c>
      <c r="L6" s="1967"/>
      <c r="M6" s="1968"/>
      <c r="N6" s="1968"/>
      <c r="O6" s="1968"/>
      <c r="P6" s="3698"/>
      <c r="Q6" s="3699"/>
      <c r="R6" s="3680"/>
      <c r="S6" s="3681"/>
      <c r="T6" s="3682"/>
      <c r="U6" s="3683"/>
      <c r="V6" s="3700"/>
      <c r="W6" s="3700"/>
      <c r="X6" s="3454"/>
      <c r="Y6" s="3682"/>
      <c r="Z6" s="3683"/>
      <c r="AA6" s="3675"/>
      <c r="AB6" s="3675"/>
      <c r="AC6" s="3675"/>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676" t="s">
        <v>513</v>
      </c>
      <c r="Q7" s="3685"/>
      <c r="R7" s="1456" t="s">
        <v>13</v>
      </c>
      <c r="S7" s="1457">
        <f t="shared" ref="S7:S15" si="0">F7</f>
        <v>100</v>
      </c>
      <c r="T7" s="1456" t="s">
        <v>13</v>
      </c>
      <c r="U7" s="1457">
        <f t="shared" ref="U7:U15" si="1">H7</f>
        <v>100</v>
      </c>
      <c r="V7" s="1456" t="s">
        <v>13</v>
      </c>
      <c r="W7" s="1457">
        <f t="shared" ref="W7:W15" si="2">J7</f>
        <v>100</v>
      </c>
      <c r="X7" s="1458"/>
      <c r="Y7" s="3676" t="s">
        <v>513</v>
      </c>
      <c r="Z7" s="3677"/>
      <c r="AA7" s="1459">
        <f>D7/F7</f>
        <v>1</v>
      </c>
      <c r="AB7" s="1459">
        <f>D7/H7</f>
        <v>1</v>
      </c>
      <c r="AC7" s="1459">
        <f>D7/J7</f>
        <v>1</v>
      </c>
    </row>
    <row r="8" spans="1:29" s="1165" customFormat="1" ht="15.75" thickBot="1">
      <c r="A8" s="2549"/>
      <c r="B8" s="2556" t="s">
        <v>514</v>
      </c>
      <c r="C8" s="502" t="s">
        <v>558</v>
      </c>
      <c r="D8" s="497">
        <v>100</v>
      </c>
      <c r="E8" s="3480" t="s">
        <v>3416</v>
      </c>
      <c r="F8" s="499">
        <f>SUMIF(61:61,E8,62:62)-SUMIF(61:61,C8,62:62)+100</f>
        <v>100</v>
      </c>
      <c r="G8" s="3472" t="s">
        <v>3416</v>
      </c>
      <c r="H8" s="497">
        <f>SUMIF(61:61,G8,62:62)-SUMIF(61:61,C8,62:62)+100</f>
        <v>100</v>
      </c>
      <c r="I8" s="3480" t="s">
        <v>3417</v>
      </c>
      <c r="J8" s="497">
        <f>SUMIF(61:61,I8,62:62)-SUMIF(61:61,C8,62:62)+100</f>
        <v>100</v>
      </c>
      <c r="K8" s="827"/>
      <c r="L8" s="1969"/>
      <c r="M8" s="1970"/>
      <c r="N8" s="1970"/>
      <c r="O8" s="1970"/>
      <c r="P8" s="3676" t="s">
        <v>516</v>
      </c>
      <c r="Q8" s="3677"/>
      <c r="R8" s="1456" t="s">
        <v>13</v>
      </c>
      <c r="S8" s="1457">
        <f t="shared" si="0"/>
        <v>100</v>
      </c>
      <c r="T8" s="1456" t="s">
        <v>13</v>
      </c>
      <c r="U8" s="1457">
        <f t="shared" si="1"/>
        <v>100</v>
      </c>
      <c r="V8" s="1456" t="s">
        <v>13</v>
      </c>
      <c r="W8" s="1457">
        <f t="shared" si="2"/>
        <v>100</v>
      </c>
      <c r="X8" s="1458"/>
      <c r="Y8" s="3676" t="s">
        <v>516</v>
      </c>
      <c r="Z8" s="3677"/>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4" t="s">
        <v>518</v>
      </c>
      <c r="Q9" s="3451" t="str">
        <f t="shared" ref="Q9:Q15" si="6">B9</f>
        <v>用途</v>
      </c>
      <c r="R9" s="1456" t="s">
        <v>8</v>
      </c>
      <c r="S9" s="1457">
        <f t="shared" si="0"/>
        <v>100</v>
      </c>
      <c r="T9" s="1456" t="s">
        <v>8</v>
      </c>
      <c r="U9" s="1457">
        <f t="shared" si="1"/>
        <v>100</v>
      </c>
      <c r="V9" s="1456" t="s">
        <v>8</v>
      </c>
      <c r="W9" s="1457">
        <f t="shared" si="2"/>
        <v>100</v>
      </c>
      <c r="X9" s="1458"/>
      <c r="Y9" s="3636"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4"/>
      <c r="Q10" s="3451" t="str">
        <f t="shared" si="6"/>
        <v>土地使用年限（年）</v>
      </c>
      <c r="R10" s="1456" t="s">
        <v>8</v>
      </c>
      <c r="S10" s="1457">
        <f t="shared" si="0"/>
        <v>100</v>
      </c>
      <c r="T10" s="1456" t="s">
        <v>8</v>
      </c>
      <c r="U10" s="1457">
        <f t="shared" si="1"/>
        <v>100</v>
      </c>
      <c r="V10" s="1456" t="s">
        <v>8</v>
      </c>
      <c r="W10" s="1457">
        <f t="shared" si="2"/>
        <v>100</v>
      </c>
      <c r="X10" s="1458"/>
      <c r="Y10" s="3636"/>
      <c r="Z10" s="3450"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v>4.99</v>
      </c>
      <c r="F11" s="835">
        <f>LOOKUP(E11,68:68,69:69)-LOOKUP(C11,68:68,69:69)+100</f>
        <v>98</v>
      </c>
      <c r="G11" s="510">
        <v>4.99</v>
      </c>
      <c r="H11" s="253">
        <f>LOOKUP(G11,68:68,69:69)-LOOKUP(C11,68:68,69:69)+100</f>
        <v>98</v>
      </c>
      <c r="I11" s="510">
        <v>3</v>
      </c>
      <c r="J11" s="253">
        <f>LOOKUP(I11,68:68,69:69)-LOOKUP(C11,68:68,69:69)+100</f>
        <v>100</v>
      </c>
      <c r="K11" s="836">
        <v>2</v>
      </c>
      <c r="L11" s="1974"/>
      <c r="M11" s="1968"/>
      <c r="N11" s="1968"/>
      <c r="O11" s="1975"/>
      <c r="P11" s="3684"/>
      <c r="Q11" s="3451" t="str">
        <f t="shared" si="6"/>
        <v>容积率</v>
      </c>
      <c r="R11" s="1456" t="s">
        <v>11</v>
      </c>
      <c r="S11" s="1457">
        <f t="shared" si="0"/>
        <v>98</v>
      </c>
      <c r="T11" s="1456" t="s">
        <v>11</v>
      </c>
      <c r="U11" s="1457">
        <f t="shared" si="1"/>
        <v>98</v>
      </c>
      <c r="V11" s="1456" t="s">
        <v>11</v>
      </c>
      <c r="W11" s="1457">
        <f t="shared" si="2"/>
        <v>100</v>
      </c>
      <c r="X11" s="1458"/>
      <c r="Y11" s="3636"/>
      <c r="Z11" s="3450" t="str">
        <f t="shared" si="7"/>
        <v>容积率</v>
      </c>
      <c r="AA11" s="1459">
        <f t="shared" si="3"/>
        <v>1.0204081632653061</v>
      </c>
      <c r="AB11" s="1459">
        <f t="shared" si="4"/>
        <v>1.0204081632653061</v>
      </c>
      <c r="AC11" s="1459">
        <f t="shared" si="5"/>
        <v>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4"/>
      <c r="Q12" s="3451">
        <f t="shared" si="6"/>
        <v>111</v>
      </c>
      <c r="R12" s="1456" t="s">
        <v>11</v>
      </c>
      <c r="S12" s="1457">
        <f t="shared" si="0"/>
        <v>100</v>
      </c>
      <c r="T12" s="1456" t="s">
        <v>11</v>
      </c>
      <c r="U12" s="1457">
        <f t="shared" si="1"/>
        <v>100</v>
      </c>
      <c r="V12" s="1456" t="s">
        <v>11</v>
      </c>
      <c r="W12" s="1457">
        <f t="shared" si="2"/>
        <v>100</v>
      </c>
      <c r="X12" s="1458"/>
      <c r="Y12" s="3636"/>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4"/>
      <c r="Q13" s="3451">
        <f t="shared" si="6"/>
        <v>111</v>
      </c>
      <c r="R13" s="1456" t="s">
        <v>11</v>
      </c>
      <c r="S13" s="1457">
        <f t="shared" si="0"/>
        <v>100</v>
      </c>
      <c r="T13" s="1456" t="s">
        <v>11</v>
      </c>
      <c r="U13" s="1457">
        <f t="shared" si="1"/>
        <v>100</v>
      </c>
      <c r="V13" s="1456" t="s">
        <v>11</v>
      </c>
      <c r="W13" s="1457">
        <f t="shared" si="2"/>
        <v>100</v>
      </c>
      <c r="X13" s="1458"/>
      <c r="Y13" s="3636"/>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4"/>
      <c r="Q14" s="3451">
        <f t="shared" si="6"/>
        <v>111</v>
      </c>
      <c r="R14" s="1456" t="s">
        <v>11</v>
      </c>
      <c r="S14" s="1457">
        <f t="shared" si="0"/>
        <v>100</v>
      </c>
      <c r="T14" s="1456" t="s">
        <v>11</v>
      </c>
      <c r="U14" s="1457">
        <f t="shared" si="1"/>
        <v>100</v>
      </c>
      <c r="V14" s="1456" t="s">
        <v>11</v>
      </c>
      <c r="W14" s="1457">
        <f t="shared" si="2"/>
        <v>100</v>
      </c>
      <c r="X14" s="1458"/>
      <c r="Y14" s="3636"/>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6" t="s">
        <v>523</v>
      </c>
      <c r="Q15" s="3452" t="str">
        <f t="shared" si="6"/>
        <v>居住社区成熟度</v>
      </c>
      <c r="R15" s="1461" t="s">
        <v>11</v>
      </c>
      <c r="S15" s="1462">
        <f t="shared" si="0"/>
        <v>100</v>
      </c>
      <c r="T15" s="1461" t="s">
        <v>11</v>
      </c>
      <c r="U15" s="1462">
        <f t="shared" si="1"/>
        <v>100</v>
      </c>
      <c r="V15" s="1461" t="s">
        <v>11</v>
      </c>
      <c r="W15" s="1462">
        <f t="shared" si="2"/>
        <v>100</v>
      </c>
      <c r="X15" s="3454"/>
      <c r="Y15" s="3686" t="s">
        <v>523</v>
      </c>
      <c r="Z15" s="3453" t="str">
        <f t="shared" si="7"/>
        <v>居住社区成熟度</v>
      </c>
      <c r="AA15" s="3455">
        <f t="shared" si="3"/>
        <v>1</v>
      </c>
      <c r="AB15" s="3455">
        <f t="shared" si="4"/>
        <v>1</v>
      </c>
      <c r="AC15" s="3455">
        <f t="shared" si="5"/>
        <v>1</v>
      </c>
    </row>
    <row r="16" spans="1:29" ht="15">
      <c r="A16" s="509"/>
      <c r="B16" s="841"/>
      <c r="C16" s="3465" t="s">
        <v>3414</v>
      </c>
      <c r="D16" s="532"/>
      <c r="E16" s="3473" t="s">
        <v>3415</v>
      </c>
      <c r="F16" s="534"/>
      <c r="G16" s="3463" t="s">
        <v>3414</v>
      </c>
      <c r="H16" s="536"/>
      <c r="I16" s="3473" t="s">
        <v>3414</v>
      </c>
      <c r="J16" s="532"/>
      <c r="K16" s="842"/>
      <c r="L16" s="1976"/>
      <c r="M16" s="1968"/>
      <c r="N16" s="1968"/>
      <c r="O16" s="1975"/>
      <c r="P16" s="3687"/>
      <c r="Q16" s="3452"/>
      <c r="R16" s="1461"/>
      <c r="S16" s="1462"/>
      <c r="T16" s="1461"/>
      <c r="U16" s="1462"/>
      <c r="V16" s="1461"/>
      <c r="W16" s="1462"/>
      <c r="X16" s="3454"/>
      <c r="Y16" s="3687"/>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7"/>
      <c r="Q17" s="3452" t="str">
        <f>B17</f>
        <v>交通便捷度</v>
      </c>
      <c r="R17" s="1461" t="s">
        <v>11</v>
      </c>
      <c r="S17" s="1462">
        <f>F17</f>
        <v>100</v>
      </c>
      <c r="T17" s="1461" t="s">
        <v>11</v>
      </c>
      <c r="U17" s="1462">
        <f>H17</f>
        <v>100</v>
      </c>
      <c r="V17" s="1461" t="s">
        <v>11</v>
      </c>
      <c r="W17" s="1462">
        <f>J17</f>
        <v>100</v>
      </c>
      <c r="X17" s="3454"/>
      <c r="Y17" s="3687"/>
      <c r="Z17" s="3453" t="str">
        <f>Q17</f>
        <v>交通便捷度</v>
      </c>
      <c r="AA17" s="3455">
        <f t="shared" si="3"/>
        <v>1</v>
      </c>
      <c r="AB17" s="3455">
        <f t="shared" si="4"/>
        <v>1</v>
      </c>
      <c r="AC17" s="3455">
        <f t="shared" si="5"/>
        <v>1</v>
      </c>
    </row>
    <row r="18" spans="1:29" ht="15">
      <c r="A18" s="509"/>
      <c r="B18" s="572"/>
      <c r="C18" s="3481" t="s">
        <v>3414</v>
      </c>
      <c r="D18" s="536"/>
      <c r="E18" s="3474" t="s">
        <v>3414</v>
      </c>
      <c r="F18" s="540"/>
      <c r="G18" s="3464" t="s">
        <v>3415</v>
      </c>
      <c r="H18" s="532"/>
      <c r="I18" s="3474" t="s">
        <v>3414</v>
      </c>
      <c r="J18" s="532"/>
      <c r="K18" s="842"/>
      <c r="L18" s="1976"/>
      <c r="M18" s="1968"/>
      <c r="N18" s="1968"/>
      <c r="O18" s="1975"/>
      <c r="P18" s="3687"/>
      <c r="Q18" s="3452"/>
      <c r="R18" s="1461"/>
      <c r="S18" s="1462"/>
      <c r="T18" s="1461"/>
      <c r="U18" s="1462"/>
      <c r="V18" s="1461"/>
      <c r="W18" s="1462"/>
      <c r="X18" s="3454"/>
      <c r="Y18" s="3687"/>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7"/>
      <c r="Q19" s="3452" t="str">
        <f>B19</f>
        <v>公共配套设施</v>
      </c>
      <c r="R19" s="1461" t="s">
        <v>11</v>
      </c>
      <c r="S19" s="1462">
        <f>F19</f>
        <v>100</v>
      </c>
      <c r="T19" s="1461" t="s">
        <v>11</v>
      </c>
      <c r="U19" s="1462">
        <f>H19</f>
        <v>100</v>
      </c>
      <c r="V19" s="1461" t="s">
        <v>11</v>
      </c>
      <c r="W19" s="1462">
        <f>J19</f>
        <v>100</v>
      </c>
      <c r="X19" s="3454"/>
      <c r="Y19" s="3687"/>
      <c r="Z19" s="3453" t="str">
        <f>Q19</f>
        <v>公共配套设施</v>
      </c>
      <c r="AA19" s="3455">
        <f t="shared" si="3"/>
        <v>1</v>
      </c>
      <c r="AB19" s="3455">
        <f t="shared" si="4"/>
        <v>1</v>
      </c>
      <c r="AC19" s="3455">
        <f t="shared" si="5"/>
        <v>1</v>
      </c>
    </row>
    <row r="20" spans="1:29" ht="15">
      <c r="A20" s="509"/>
      <c r="B20" s="572"/>
      <c r="C20" s="3465" t="s">
        <v>3414</v>
      </c>
      <c r="D20" s="532"/>
      <c r="E20" s="3473" t="s">
        <v>3415</v>
      </c>
      <c r="F20" s="534"/>
      <c r="G20" s="3463" t="s">
        <v>3415</v>
      </c>
      <c r="H20" s="532"/>
      <c r="I20" s="3473" t="s">
        <v>3414</v>
      </c>
      <c r="J20" s="532"/>
      <c r="K20" s="842"/>
      <c r="L20" s="1976"/>
      <c r="M20" s="1968"/>
      <c r="N20" s="1968"/>
      <c r="O20" s="1975"/>
      <c r="P20" s="3687"/>
      <c r="Q20" s="3452"/>
      <c r="R20" s="1461"/>
      <c r="S20" s="1462"/>
      <c r="T20" s="1461"/>
      <c r="U20" s="1462"/>
      <c r="V20" s="1461"/>
      <c r="W20" s="1462"/>
      <c r="X20" s="3454"/>
      <c r="Y20" s="3687"/>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7"/>
      <c r="Q21" s="3452" t="str">
        <f>B21</f>
        <v>基础设施水平</v>
      </c>
      <c r="R21" s="1461" t="s">
        <v>11</v>
      </c>
      <c r="S21" s="1462">
        <f>F21</f>
        <v>100</v>
      </c>
      <c r="T21" s="1461" t="s">
        <v>11</v>
      </c>
      <c r="U21" s="1462">
        <f>H21</f>
        <v>100</v>
      </c>
      <c r="V21" s="1461" t="s">
        <v>11</v>
      </c>
      <c r="W21" s="1462">
        <f>J21</f>
        <v>100</v>
      </c>
      <c r="X21" s="3454"/>
      <c r="Y21" s="3687"/>
      <c r="Z21" s="3453" t="str">
        <f>Q21</f>
        <v>基础设施水平</v>
      </c>
      <c r="AA21" s="3455">
        <f t="shared" ref="AA21" si="8">D21/F21</f>
        <v>1</v>
      </c>
      <c r="AB21" s="3455">
        <f t="shared" ref="AB21" si="9">D21/H21</f>
        <v>1</v>
      </c>
      <c r="AC21" s="3455">
        <f t="shared" ref="AC21" si="10">D21/J21</f>
        <v>1</v>
      </c>
    </row>
    <row r="22" spans="1:29" ht="15">
      <c r="A22" s="509"/>
      <c r="B22" s="892"/>
      <c r="C22" s="3481" t="s">
        <v>3418</v>
      </c>
      <c r="D22" s="532"/>
      <c r="E22" s="3465" t="s">
        <v>3419</v>
      </c>
      <c r="F22" s="534"/>
      <c r="G22" s="3465" t="s">
        <v>3418</v>
      </c>
      <c r="H22" s="532"/>
      <c r="I22" s="3465" t="s">
        <v>3420</v>
      </c>
      <c r="J22" s="532"/>
      <c r="K22" s="2363"/>
      <c r="L22" s="1976"/>
      <c r="M22" s="1968"/>
      <c r="N22" s="1968"/>
      <c r="O22" s="1975"/>
      <c r="P22" s="3687"/>
      <c r="Q22" s="3452"/>
      <c r="R22" s="1461"/>
      <c r="S22" s="1462"/>
      <c r="T22" s="1461"/>
      <c r="U22" s="1462"/>
      <c r="V22" s="1461"/>
      <c r="W22" s="1462"/>
      <c r="X22" s="3454"/>
      <c r="Y22" s="3687"/>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7"/>
      <c r="Q23" s="3452" t="str">
        <f>B23</f>
        <v>自然及人文环境</v>
      </c>
      <c r="R23" s="1461" t="s">
        <v>11</v>
      </c>
      <c r="S23" s="1462">
        <f>F23</f>
        <v>100</v>
      </c>
      <c r="T23" s="1461" t="s">
        <v>11</v>
      </c>
      <c r="U23" s="1462">
        <f>H23</f>
        <v>100</v>
      </c>
      <c r="V23" s="1461" t="s">
        <v>11</v>
      </c>
      <c r="W23" s="1462">
        <f>J23</f>
        <v>100</v>
      </c>
      <c r="X23" s="3454"/>
      <c r="Y23" s="3687"/>
      <c r="Z23" s="3453" t="str">
        <f>Q23</f>
        <v>自然及人文环境</v>
      </c>
      <c r="AA23" s="3455">
        <f t="shared" si="3"/>
        <v>1</v>
      </c>
      <c r="AB23" s="3455">
        <f t="shared" si="4"/>
        <v>1</v>
      </c>
      <c r="AC23" s="3455">
        <f t="shared" si="5"/>
        <v>1</v>
      </c>
    </row>
    <row r="24" spans="1:29" ht="15">
      <c r="A24" s="509"/>
      <c r="B24" s="572"/>
      <c r="C24" s="3465" t="s">
        <v>3414</v>
      </c>
      <c r="D24" s="532"/>
      <c r="E24" s="3473" t="s">
        <v>3414</v>
      </c>
      <c r="F24" s="534"/>
      <c r="G24" s="3463" t="s">
        <v>3414</v>
      </c>
      <c r="H24" s="532"/>
      <c r="I24" s="3473" t="s">
        <v>3415</v>
      </c>
      <c r="J24" s="532"/>
      <c r="K24" s="842"/>
      <c r="L24" s="1976"/>
      <c r="M24" s="1968"/>
      <c r="N24" s="1968"/>
      <c r="O24" s="1975"/>
      <c r="P24" s="3687"/>
      <c r="Q24" s="3452"/>
      <c r="R24" s="1461"/>
      <c r="S24" s="1462"/>
      <c r="T24" s="1461"/>
      <c r="U24" s="1462"/>
      <c r="V24" s="1461"/>
      <c r="W24" s="1462"/>
      <c r="X24" s="3454"/>
      <c r="Y24" s="3687"/>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7"/>
      <c r="Q25" s="3452" t="str">
        <f t="shared" ref="Q25:Q46" si="11">B25</f>
        <v>楼层-1</v>
      </c>
      <c r="R25" s="1461" t="s">
        <v>11</v>
      </c>
      <c r="S25" s="1462">
        <f>F25</f>
        <v>100</v>
      </c>
      <c r="T25" s="1461" t="s">
        <v>11</v>
      </c>
      <c r="U25" s="1462">
        <f>H25</f>
        <v>100</v>
      </c>
      <c r="V25" s="1461" t="s">
        <v>11</v>
      </c>
      <c r="W25" s="1462">
        <f>J25</f>
        <v>100</v>
      </c>
      <c r="X25" s="3454"/>
      <c r="Y25" s="3687"/>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7"/>
      <c r="Q26" s="3452" t="str">
        <f t="shared" si="11"/>
        <v>朝向</v>
      </c>
      <c r="R26" s="1461" t="s">
        <v>11</v>
      </c>
      <c r="S26" s="1462">
        <f>F26</f>
        <v>100</v>
      </c>
      <c r="T26" s="1461" t="s">
        <v>11</v>
      </c>
      <c r="U26" s="1462">
        <f>H26</f>
        <v>100</v>
      </c>
      <c r="V26" s="1461" t="s">
        <v>11</v>
      </c>
      <c r="W26" s="1462">
        <f>J26</f>
        <v>100</v>
      </c>
      <c r="X26" s="3454"/>
      <c r="Y26" s="3687"/>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7"/>
      <c r="Q27" s="3451" t="str">
        <f t="shared" si="11"/>
        <v>道路级别</v>
      </c>
      <c r="R27" s="1456" t="s">
        <v>11</v>
      </c>
      <c r="S27" s="1457">
        <f>F27</f>
        <v>100</v>
      </c>
      <c r="T27" s="1456" t="s">
        <v>11</v>
      </c>
      <c r="U27" s="1457">
        <f>H27</f>
        <v>100</v>
      </c>
      <c r="V27" s="1456" t="s">
        <v>11</v>
      </c>
      <c r="W27" s="1457">
        <f>J27</f>
        <v>100</v>
      </c>
      <c r="X27" s="1458"/>
      <c r="Y27" s="3687"/>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7"/>
      <c r="Q28" s="3452">
        <f t="shared" si="11"/>
        <v>111</v>
      </c>
      <c r="R28" s="1461" t="s">
        <v>11</v>
      </c>
      <c r="S28" s="1462">
        <f t="shared" ref="S28:S46" si="12">F28</f>
        <v>100</v>
      </c>
      <c r="T28" s="1461" t="s">
        <v>11</v>
      </c>
      <c r="U28" s="1462">
        <f t="shared" ref="U28:U46" si="13">H28</f>
        <v>100</v>
      </c>
      <c r="V28" s="1461" t="s">
        <v>11</v>
      </c>
      <c r="W28" s="1462">
        <f t="shared" ref="W28:W46" si="14">J28</f>
        <v>100</v>
      </c>
      <c r="X28" s="3454"/>
      <c r="Y28" s="3687"/>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7"/>
      <c r="Q29" s="3452">
        <f t="shared" si="11"/>
        <v>111</v>
      </c>
      <c r="R29" s="1461" t="s">
        <v>11</v>
      </c>
      <c r="S29" s="1462">
        <f t="shared" si="12"/>
        <v>100</v>
      </c>
      <c r="T29" s="1461" t="s">
        <v>11</v>
      </c>
      <c r="U29" s="1462">
        <f t="shared" si="13"/>
        <v>100</v>
      </c>
      <c r="V29" s="1461" t="s">
        <v>11</v>
      </c>
      <c r="W29" s="1462">
        <f t="shared" si="14"/>
        <v>100</v>
      </c>
      <c r="X29" s="3454"/>
      <c r="Y29" s="3687"/>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7"/>
      <c r="Q30" s="3452">
        <f t="shared" si="11"/>
        <v>111</v>
      </c>
      <c r="R30" s="1461" t="s">
        <v>11</v>
      </c>
      <c r="S30" s="1462">
        <f t="shared" si="12"/>
        <v>100</v>
      </c>
      <c r="T30" s="1461" t="s">
        <v>11</v>
      </c>
      <c r="U30" s="1462">
        <f t="shared" si="13"/>
        <v>100</v>
      </c>
      <c r="V30" s="1461" t="s">
        <v>11</v>
      </c>
      <c r="W30" s="1462">
        <f t="shared" si="14"/>
        <v>100</v>
      </c>
      <c r="X30" s="3454"/>
      <c r="Y30" s="3687"/>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7"/>
      <c r="Q31" s="3452">
        <f t="shared" si="11"/>
        <v>111</v>
      </c>
      <c r="R31" s="1461" t="s">
        <v>11</v>
      </c>
      <c r="S31" s="1462">
        <f t="shared" si="12"/>
        <v>100</v>
      </c>
      <c r="T31" s="1461" t="s">
        <v>11</v>
      </c>
      <c r="U31" s="1462">
        <f t="shared" si="13"/>
        <v>100</v>
      </c>
      <c r="V31" s="1461" t="s">
        <v>11</v>
      </c>
      <c r="W31" s="1462">
        <f t="shared" si="14"/>
        <v>100</v>
      </c>
      <c r="X31" s="3454"/>
      <c r="Y31" s="3687"/>
      <c r="Z31" s="3453">
        <f t="shared" si="15"/>
        <v>111</v>
      </c>
      <c r="AA31" s="3455">
        <f t="shared" si="3"/>
        <v>1</v>
      </c>
      <c r="AB31" s="3455">
        <f t="shared" si="4"/>
        <v>1</v>
      </c>
      <c r="AC31" s="3455">
        <f t="shared" si="5"/>
        <v>1</v>
      </c>
    </row>
    <row r="32" spans="1:29" ht="15">
      <c r="A32" s="2544" t="s">
        <v>2471</v>
      </c>
      <c r="B32" s="170" t="s">
        <v>707</v>
      </c>
      <c r="C32" s="3482" t="s">
        <v>3453</v>
      </c>
      <c r="D32" s="574">
        <v>100</v>
      </c>
      <c r="E32" s="3483" t="s">
        <v>3454</v>
      </c>
      <c r="F32" s="552">
        <f>SUMIF(100:100,E32,101:101)-SUMIF(100:100,C32,101:101)+100</f>
        <v>100</v>
      </c>
      <c r="G32" s="3482" t="s">
        <v>3455</v>
      </c>
      <c r="H32" s="574">
        <f>SUMIF(100:100,G32,101:101)-SUMIF(100:100,C32,101:101)+100</f>
        <v>110</v>
      </c>
      <c r="I32" s="3483" t="s">
        <v>3455</v>
      </c>
      <c r="J32" s="517">
        <f>SUMIF(100:100,I32,101:101)-SUMIF(100:100,C32,101:101)+100</f>
        <v>110</v>
      </c>
      <c r="K32" s="836">
        <v>10</v>
      </c>
      <c r="L32" s="1976"/>
      <c r="M32" s="1968"/>
      <c r="N32" s="1968"/>
      <c r="O32" s="1975"/>
      <c r="P32" s="3688" t="s">
        <v>533</v>
      </c>
      <c r="Q32" s="3452" t="str">
        <f t="shared" si="11"/>
        <v>建筑类型</v>
      </c>
      <c r="R32" s="1461" t="s">
        <v>11</v>
      </c>
      <c r="S32" s="1462">
        <f t="shared" si="12"/>
        <v>100</v>
      </c>
      <c r="T32" s="1461" t="s">
        <v>11</v>
      </c>
      <c r="U32" s="1462">
        <f t="shared" si="13"/>
        <v>110</v>
      </c>
      <c r="V32" s="1461" t="s">
        <v>11</v>
      </c>
      <c r="W32" s="1462">
        <f t="shared" si="14"/>
        <v>110</v>
      </c>
      <c r="X32" s="3454"/>
      <c r="Y32" s="3689"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23212.99</v>
      </c>
      <c r="D33" s="253">
        <v>100</v>
      </c>
      <c r="E33" s="511">
        <f>Sheet4!G32</f>
        <v>2340010</v>
      </c>
      <c r="F33" s="835">
        <f>LOOKUP(E33,103:103,104:104)-LOOKUP(C33,103:103,104:104)+100</f>
        <v>108</v>
      </c>
      <c r="G33" s="510">
        <f>Sheet4!G33</f>
        <v>2340010</v>
      </c>
      <c r="H33" s="253">
        <f>LOOKUP(G33,103:103,104:104)-LOOKUP(C33,103:103,104:104)+100</f>
        <v>108</v>
      </c>
      <c r="I33" s="511">
        <f>Sheet4!G34</f>
        <v>42327</v>
      </c>
      <c r="J33" s="253">
        <f>LOOKUP(I33,103:103,104:104)-LOOKUP(C33,103:103,104:104)+100</f>
        <v>100</v>
      </c>
      <c r="K33" s="837"/>
      <c r="L33" s="1974"/>
      <c r="M33" s="2004"/>
      <c r="N33" s="2004"/>
      <c r="O33" s="1977"/>
      <c r="P33" s="3689"/>
      <c r="Q33" s="1489" t="str">
        <f t="shared" si="11"/>
        <v>项目建筑规模</v>
      </c>
      <c r="R33" s="1465" t="s">
        <v>11</v>
      </c>
      <c r="S33" s="1466">
        <f t="shared" si="12"/>
        <v>108</v>
      </c>
      <c r="T33" s="1465" t="s">
        <v>11</v>
      </c>
      <c r="U33" s="1466">
        <f t="shared" si="13"/>
        <v>108</v>
      </c>
      <c r="V33" s="1465" t="s">
        <v>11</v>
      </c>
      <c r="W33" s="1466">
        <f t="shared" si="14"/>
        <v>100</v>
      </c>
      <c r="X33" s="1467"/>
      <c r="Y33" s="3689"/>
      <c r="Z33" s="1468" t="str">
        <f t="shared" si="15"/>
        <v>项目建筑规模</v>
      </c>
      <c r="AA33" s="3455">
        <f t="shared" si="3"/>
        <v>0.92592592592592593</v>
      </c>
      <c r="AB33" s="3455">
        <f t="shared" si="4"/>
        <v>0.92592592592592593</v>
      </c>
      <c r="AC33" s="3455">
        <f t="shared" si="5"/>
        <v>1</v>
      </c>
    </row>
    <row r="34" spans="1:29" ht="15">
      <c r="A34" s="571"/>
      <c r="B34" s="504" t="s">
        <v>709</v>
      </c>
      <c r="C34" s="3484" t="s">
        <v>3423</v>
      </c>
      <c r="D34" s="517">
        <v>100</v>
      </c>
      <c r="E34" s="3485" t="s">
        <v>3423</v>
      </c>
      <c r="F34" s="552">
        <f>SUMIF(105:105,E34,106:106)-SUMIF(105:105,C34,106:106)+100</f>
        <v>100</v>
      </c>
      <c r="G34" s="3484" t="s">
        <v>3423</v>
      </c>
      <c r="H34" s="517">
        <f>SUMIF(105:105,G34,106:106)-SUMIF(105:105,C34,106:106)+100</f>
        <v>100</v>
      </c>
      <c r="I34" s="3485" t="s">
        <v>3423</v>
      </c>
      <c r="J34" s="517">
        <f>SUMIF(105:105,I34,106:106)-SUMIF(105:105,C34,106:106)+100</f>
        <v>100</v>
      </c>
      <c r="K34" s="836"/>
      <c r="L34" s="1976"/>
      <c r="M34" s="1968"/>
      <c r="N34" s="1968"/>
      <c r="O34" s="1975"/>
      <c r="P34" s="3689"/>
      <c r="Q34" s="3452" t="str">
        <f t="shared" si="11"/>
        <v>建筑结构</v>
      </c>
      <c r="R34" s="1461" t="s">
        <v>11</v>
      </c>
      <c r="S34" s="1462">
        <f t="shared" si="12"/>
        <v>100</v>
      </c>
      <c r="T34" s="1461" t="s">
        <v>11</v>
      </c>
      <c r="U34" s="1462">
        <f t="shared" si="13"/>
        <v>100</v>
      </c>
      <c r="V34" s="1461" t="s">
        <v>11</v>
      </c>
      <c r="W34" s="1462">
        <f t="shared" si="14"/>
        <v>100</v>
      </c>
      <c r="X34" s="3454"/>
      <c r="Y34" s="3689"/>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89"/>
      <c r="Q35" s="3452" t="str">
        <f t="shared" si="11"/>
        <v>建筑品质</v>
      </c>
      <c r="R35" s="1461" t="s">
        <v>11</v>
      </c>
      <c r="S35" s="1462">
        <f t="shared" si="12"/>
        <v>100</v>
      </c>
      <c r="T35" s="1461" t="s">
        <v>11</v>
      </c>
      <c r="U35" s="1462">
        <f t="shared" si="13"/>
        <v>100</v>
      </c>
      <c r="V35" s="1461" t="s">
        <v>11</v>
      </c>
      <c r="W35" s="1462">
        <f t="shared" si="14"/>
        <v>100</v>
      </c>
      <c r="X35" s="3454"/>
      <c r="Y35" s="3689"/>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89"/>
      <c r="Q36" s="3452" t="str">
        <f t="shared" si="11"/>
        <v>公共部分装修</v>
      </c>
      <c r="R36" s="1461" t="s">
        <v>11</v>
      </c>
      <c r="S36" s="1462">
        <f t="shared" si="12"/>
        <v>100</v>
      </c>
      <c r="T36" s="1461" t="s">
        <v>11</v>
      </c>
      <c r="U36" s="1462">
        <f t="shared" si="13"/>
        <v>100</v>
      </c>
      <c r="V36" s="1461" t="s">
        <v>11</v>
      </c>
      <c r="W36" s="1462">
        <f t="shared" si="14"/>
        <v>100</v>
      </c>
      <c r="X36" s="3454"/>
      <c r="Y36" s="3689"/>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89"/>
      <c r="Q37" s="3451" t="str">
        <f t="shared" si="11"/>
        <v>成新度</v>
      </c>
      <c r="R37" s="1456" t="s">
        <v>11</v>
      </c>
      <c r="S37" s="1457">
        <f t="shared" si="12"/>
        <v>100</v>
      </c>
      <c r="T37" s="1456" t="s">
        <v>11</v>
      </c>
      <c r="U37" s="1457">
        <f t="shared" si="13"/>
        <v>100</v>
      </c>
      <c r="V37" s="1456" t="s">
        <v>11</v>
      </c>
      <c r="W37" s="1457">
        <f t="shared" si="14"/>
        <v>100</v>
      </c>
      <c r="X37" s="1458"/>
      <c r="Y37" s="3689"/>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89" t="s">
        <v>533</v>
      </c>
      <c r="Q38" s="3452" t="str">
        <f t="shared" si="11"/>
        <v>物业管理</v>
      </c>
      <c r="R38" s="1461" t="s">
        <v>11</v>
      </c>
      <c r="S38" s="1462">
        <f t="shared" si="12"/>
        <v>100</v>
      </c>
      <c r="T38" s="1461" t="s">
        <v>11</v>
      </c>
      <c r="U38" s="1462">
        <f t="shared" si="13"/>
        <v>100</v>
      </c>
      <c r="V38" s="1461" t="s">
        <v>11</v>
      </c>
      <c r="W38" s="1462">
        <f t="shared" si="14"/>
        <v>100</v>
      </c>
      <c r="X38" s="3454"/>
      <c r="Y38" s="3689"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89"/>
      <c r="Q39" s="3452" t="str">
        <f t="shared" si="11"/>
        <v>市政基础设施</v>
      </c>
      <c r="R39" s="1461" t="s">
        <v>11</v>
      </c>
      <c r="S39" s="1462">
        <f t="shared" si="12"/>
        <v>100</v>
      </c>
      <c r="T39" s="1461" t="s">
        <v>11</v>
      </c>
      <c r="U39" s="1462">
        <f t="shared" si="13"/>
        <v>100</v>
      </c>
      <c r="V39" s="1461" t="s">
        <v>11</v>
      </c>
      <c r="W39" s="1462">
        <f t="shared" si="14"/>
        <v>100</v>
      </c>
      <c r="X39" s="3454"/>
      <c r="Y39" s="3689"/>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89"/>
      <c r="Q40" s="3452" t="str">
        <f t="shared" si="11"/>
        <v>房型</v>
      </c>
      <c r="R40" s="1461" t="s">
        <v>11</v>
      </c>
      <c r="S40" s="1462">
        <f t="shared" si="12"/>
        <v>100</v>
      </c>
      <c r="T40" s="1461" t="s">
        <v>11</v>
      </c>
      <c r="U40" s="1462">
        <f t="shared" si="13"/>
        <v>100</v>
      </c>
      <c r="V40" s="1461" t="s">
        <v>11</v>
      </c>
      <c r="W40" s="1462">
        <f t="shared" si="14"/>
        <v>100</v>
      </c>
      <c r="X40" s="3454"/>
      <c r="Y40" s="3689"/>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89"/>
      <c r="Q41" s="1489" t="str">
        <f t="shared" si="11"/>
        <v>单套/主力户型建筑面积</v>
      </c>
      <c r="R41" s="1465" t="s">
        <v>11</v>
      </c>
      <c r="S41" s="1466">
        <f t="shared" si="12"/>
        <v>100</v>
      </c>
      <c r="T41" s="1465" t="s">
        <v>11</v>
      </c>
      <c r="U41" s="1466">
        <f t="shared" si="13"/>
        <v>100</v>
      </c>
      <c r="V41" s="1465" t="s">
        <v>11</v>
      </c>
      <c r="W41" s="1466">
        <f t="shared" si="14"/>
        <v>100</v>
      </c>
      <c r="X41" s="1467"/>
      <c r="Y41" s="3689"/>
      <c r="Z41" s="1468" t="str">
        <f t="shared" si="15"/>
        <v>单套/主力户型建筑面积</v>
      </c>
      <c r="AA41" s="3455">
        <f t="shared" si="3"/>
        <v>1</v>
      </c>
      <c r="AB41" s="3455">
        <f t="shared" si="4"/>
        <v>1</v>
      </c>
      <c r="AC41" s="3455">
        <f t="shared" si="5"/>
        <v>1</v>
      </c>
    </row>
    <row r="42" spans="1:29" ht="15">
      <c r="A42" s="571"/>
      <c r="B42" s="504" t="s">
        <v>716</v>
      </c>
      <c r="C42" s="3486" t="s">
        <v>3424</v>
      </c>
      <c r="D42" s="517">
        <v>100</v>
      </c>
      <c r="E42" s="3487" t="s">
        <v>3458</v>
      </c>
      <c r="F42" s="552">
        <f>SUMIF(122:122,E42,123:123)-SUMIF(122:122,C42,123:123)+100</f>
        <v>104</v>
      </c>
      <c r="G42" s="3486" t="s">
        <v>3458</v>
      </c>
      <c r="H42" s="517">
        <f>SUMIF(122:122,G42,123:123)-SUMIF(122:122,C42,123:123)+100</f>
        <v>104</v>
      </c>
      <c r="I42" s="3487" t="s">
        <v>3458</v>
      </c>
      <c r="J42" s="517">
        <f>SUMIF(122:122,I42,123:123)-SUMIF(122:122,C42,123:123)+100</f>
        <v>104</v>
      </c>
      <c r="K42" s="836">
        <v>2</v>
      </c>
      <c r="L42" s="1976"/>
      <c r="M42" s="1968"/>
      <c r="N42" s="1968"/>
      <c r="O42" s="1975"/>
      <c r="P42" s="3689"/>
      <c r="Q42" s="3452" t="str">
        <f t="shared" si="11"/>
        <v>内部装修</v>
      </c>
      <c r="R42" s="1461" t="s">
        <v>11</v>
      </c>
      <c r="S42" s="1462">
        <f t="shared" si="12"/>
        <v>104</v>
      </c>
      <c r="T42" s="1461" t="s">
        <v>11</v>
      </c>
      <c r="U42" s="1462">
        <f t="shared" si="13"/>
        <v>104</v>
      </c>
      <c r="V42" s="1461" t="s">
        <v>11</v>
      </c>
      <c r="W42" s="1462">
        <f t="shared" si="14"/>
        <v>104</v>
      </c>
      <c r="X42" s="3454"/>
      <c r="Y42" s="3689"/>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89"/>
      <c r="Q43" s="3452" t="str">
        <f t="shared" si="11"/>
        <v>内部装修维护情况</v>
      </c>
      <c r="R43" s="1461" t="s">
        <v>11</v>
      </c>
      <c r="S43" s="1462">
        <f t="shared" si="12"/>
        <v>100</v>
      </c>
      <c r="T43" s="1461" t="s">
        <v>11</v>
      </c>
      <c r="U43" s="1462">
        <f t="shared" si="13"/>
        <v>100</v>
      </c>
      <c r="V43" s="1461" t="s">
        <v>11</v>
      </c>
      <c r="W43" s="1462">
        <f t="shared" si="14"/>
        <v>100</v>
      </c>
      <c r="X43" s="3454"/>
      <c r="Y43" s="3689"/>
      <c r="Z43" s="3453" t="str">
        <f t="shared" si="15"/>
        <v>内部装修维护情况</v>
      </c>
      <c r="AA43" s="3455">
        <f t="shared" si="3"/>
        <v>1</v>
      </c>
      <c r="AB43" s="3455">
        <f t="shared" si="4"/>
        <v>1</v>
      </c>
      <c r="AC43" s="3455">
        <f t="shared" si="5"/>
        <v>1</v>
      </c>
    </row>
    <row r="44" spans="1:29" s="1165" customFormat="1" ht="15">
      <c r="A44" s="577"/>
      <c r="B44" s="849">
        <v>111</v>
      </c>
      <c r="C44" s="3492" t="s">
        <v>3459</v>
      </c>
      <c r="D44" s="253">
        <v>100</v>
      </c>
      <c r="E44" s="3492" t="s">
        <v>3460</v>
      </c>
      <c r="F44" s="835">
        <f>SUMIF(126:126,E44,127:127)-SUMIF(126:126,C44,127:127)+100</f>
        <v>95</v>
      </c>
      <c r="G44" s="3492" t="s">
        <v>3460</v>
      </c>
      <c r="H44" s="253">
        <f>SUMIF(126:126,G44,127:127)-SUMIF(126:126,C44,127:127)+100</f>
        <v>95</v>
      </c>
      <c r="I44" s="3492" t="s">
        <v>3461</v>
      </c>
      <c r="J44" s="253">
        <f>SUMIF(126:126,I44,127:127)-SUMIF(126:126,C44,127:127)+100</f>
        <v>95</v>
      </c>
      <c r="K44" s="837"/>
      <c r="L44" s="1969"/>
      <c r="M44" s="1970"/>
      <c r="N44" s="1970"/>
      <c r="O44" s="1971"/>
      <c r="P44" s="3689"/>
      <c r="Q44" s="3451">
        <f t="shared" si="11"/>
        <v>111</v>
      </c>
      <c r="R44" s="1456" t="s">
        <v>11</v>
      </c>
      <c r="S44" s="1457">
        <f t="shared" si="12"/>
        <v>95</v>
      </c>
      <c r="T44" s="1456" t="s">
        <v>11</v>
      </c>
      <c r="U44" s="1457">
        <f t="shared" si="13"/>
        <v>95</v>
      </c>
      <c r="V44" s="1456" t="s">
        <v>11</v>
      </c>
      <c r="W44" s="1457">
        <f t="shared" si="14"/>
        <v>95</v>
      </c>
      <c r="X44" s="1458"/>
      <c r="Y44" s="3689"/>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89"/>
      <c r="Q45" s="3452">
        <f t="shared" si="11"/>
        <v>111</v>
      </c>
      <c r="R45" s="1461" t="s">
        <v>11</v>
      </c>
      <c r="S45" s="1462">
        <f t="shared" si="12"/>
        <v>100</v>
      </c>
      <c r="T45" s="1461" t="s">
        <v>11</v>
      </c>
      <c r="U45" s="1462">
        <f t="shared" si="13"/>
        <v>100</v>
      </c>
      <c r="V45" s="1461" t="s">
        <v>11</v>
      </c>
      <c r="W45" s="1462">
        <f t="shared" si="14"/>
        <v>100</v>
      </c>
      <c r="X45" s="3454"/>
      <c r="Y45" s="3689"/>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1"/>
      <c r="Q46" s="3452">
        <f t="shared" si="11"/>
        <v>111</v>
      </c>
      <c r="R46" s="1461" t="s">
        <v>8</v>
      </c>
      <c r="S46" s="1462">
        <f t="shared" si="12"/>
        <v>100</v>
      </c>
      <c r="T46" s="1461" t="s">
        <v>8</v>
      </c>
      <c r="U46" s="1462">
        <f t="shared" si="13"/>
        <v>100</v>
      </c>
      <c r="V46" s="1461" t="s">
        <v>8</v>
      </c>
      <c r="W46" s="1462">
        <f t="shared" si="14"/>
        <v>100</v>
      </c>
      <c r="X46" s="3454"/>
      <c r="Y46" s="3801"/>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84" t="str">
        <f>A47</f>
        <v>成交单价（元/平方米）</v>
      </c>
      <c r="Q47" s="3684"/>
      <c r="R47" s="3800">
        <f>E47</f>
        <v>7902</v>
      </c>
      <c r="S47" s="3800"/>
      <c r="T47" s="3800">
        <f>G47</f>
        <v>8521</v>
      </c>
      <c r="U47" s="3800"/>
      <c r="V47" s="3800">
        <f>I47</f>
        <v>8602</v>
      </c>
      <c r="W47" s="3800"/>
      <c r="X47" s="1450"/>
      <c r="Y47" s="1469"/>
      <c r="Z47" s="1450"/>
      <c r="AA47" s="1450"/>
      <c r="AB47" s="1450"/>
      <c r="AC47" s="1450"/>
    </row>
    <row r="48" spans="1:29" ht="15.75" thickBot="1">
      <c r="A48" s="592" t="s">
        <v>2476</v>
      </c>
      <c r="B48" s="858"/>
      <c r="C48" s="2396">
        <f>R49</f>
        <v>7627</v>
      </c>
      <c r="D48" s="2919" t="s">
        <v>2700</v>
      </c>
      <c r="E48" s="2397">
        <f>R48</f>
        <v>7557</v>
      </c>
      <c r="F48" s="2920"/>
      <c r="G48" s="2396">
        <f>T48</f>
        <v>7408</v>
      </c>
      <c r="H48" s="2920"/>
      <c r="I48" s="2397">
        <f>V48</f>
        <v>7915</v>
      </c>
      <c r="J48" s="2920"/>
      <c r="K48" s="2928">
        <f>F48+H48+J48</f>
        <v>0</v>
      </c>
      <c r="L48" s="1978"/>
      <c r="M48" s="1979"/>
      <c r="N48" s="1979"/>
      <c r="O48" s="1979"/>
      <c r="P48" s="3684" t="str">
        <f>A48</f>
        <v>比较价格（元/平方米）</v>
      </c>
      <c r="Q48" s="3684"/>
      <c r="R48" s="3800">
        <f>IF(F1="售价",ROUND(PRODUCT(R47,AA7:AA46),0),ROUND(PRODUCT(R47,AA7:AA46),1))</f>
        <v>7557</v>
      </c>
      <c r="S48" s="3800"/>
      <c r="T48" s="3800">
        <f>IF(F1="售价",ROUND(PRODUCT(T47,AB7:AB46),0),ROUND(PRODUCT(T47,AB7:AB46),1))</f>
        <v>7408</v>
      </c>
      <c r="U48" s="3800"/>
      <c r="V48" s="3800">
        <f>IF(F1="售价",ROUND(PRODUCT(V47,AC7:AC46),0),ROUND(PRODUCT(V47,AC7:AC46),1))</f>
        <v>7915</v>
      </c>
      <c r="W48" s="3800"/>
      <c r="X48" s="1450"/>
      <c r="Y48" s="1450"/>
      <c r="Z48" s="1450"/>
      <c r="AA48" s="1450"/>
      <c r="AB48" s="1450"/>
      <c r="AC48" s="1450"/>
    </row>
    <row r="49" spans="1:29" ht="15.75" thickBot="1">
      <c r="A49" s="596" t="s">
        <v>2636</v>
      </c>
      <c r="B49" s="597"/>
      <c r="C49" s="2398">
        <f>R49</f>
        <v>7627</v>
      </c>
      <c r="D49" s="2398"/>
      <c r="E49" s="2398"/>
      <c r="F49" s="2398"/>
      <c r="G49" s="2398"/>
      <c r="H49" s="2398"/>
      <c r="I49" s="2398"/>
      <c r="J49" s="2398"/>
      <c r="K49" s="1491"/>
      <c r="L49" s="1978"/>
      <c r="M49" s="1979"/>
      <c r="N49" s="1979"/>
      <c r="O49" s="1979"/>
      <c r="P49" s="3690" t="str">
        <f>A49</f>
        <v>估价对象XX用房的比较价格（楼面单价，元/平方米）</v>
      </c>
      <c r="Q49" s="3691"/>
      <c r="R49" s="3799">
        <f>IF(F1="售价",ROUND(IF(D48="简单平均",AVERAGE(R48:V48),R48*F48+T48*H48+V48*J48),0),ROUND(IF(D48="简单平均",AVERAGE(R48:V48),R48*F48+T48*H48+V48*J48),1))</f>
        <v>7627</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4.565303691941236E-2</v>
      </c>
      <c r="F52" s="602" t="str">
        <f>IF(OR(E52&gt;=0.3,E52&lt;=-0.3),"超过30%","")</f>
        <v/>
      </c>
      <c r="G52" s="601">
        <f>IF(G47&lt;G48,G48/G47-1,G47/G48-1)</f>
        <v>0.15024298056155505</v>
      </c>
      <c r="H52" s="602" t="str">
        <f>IF(OR(G52&gt;=0.3,G52&lt;=-0.3),"超过30%","")</f>
        <v/>
      </c>
      <c r="I52" s="601">
        <f>IF(I47&lt;I48,I48/I47-1,I47/I48-1)</f>
        <v>8.679722046746674E-2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2.0113390928725661E-2</v>
      </c>
      <c r="F53" s="602" t="str">
        <f>IF(OR(E53&gt;=0.2,E53&lt;=-0.2),"超过20%","")</f>
        <v/>
      </c>
      <c r="G53" s="601">
        <f>IF(G48&lt;I48,I48/G48-1,G48/I48-1)</f>
        <v>6.8439524838012966E-2</v>
      </c>
      <c r="H53" s="602" t="str">
        <f>IF(OR(G53&gt;=0.2,G53&lt;=-0.2),"超过20%","")</f>
        <v/>
      </c>
      <c r="I53" s="601">
        <f>IF(I48&lt;E48,E48/I48-1,I48/E48-1)</f>
        <v>4.7373296281593147E-2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3456</v>
      </c>
      <c r="D100" s="3479" t="s">
        <v>3457</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8" t="s">
        <v>3425</v>
      </c>
      <c r="D122" s="3488" t="s">
        <v>3426</v>
      </c>
      <c r="E122" s="3488" t="s">
        <v>3427</v>
      </c>
      <c r="F122" s="3476" t="s">
        <v>3424</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8" t="s">
        <v>3459</v>
      </c>
      <c r="D126" s="3488" t="s">
        <v>3461</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2" t="s">
        <v>780</v>
      </c>
      <c r="D4" s="3693"/>
      <c r="E4" s="3692" t="s">
        <v>781</v>
      </c>
      <c r="F4" s="3693"/>
      <c r="G4" s="3692" t="s">
        <v>782</v>
      </c>
      <c r="H4" s="3693"/>
      <c r="I4" s="3692" t="s">
        <v>783</v>
      </c>
      <c r="J4" s="3693"/>
      <c r="K4" s="491" t="s">
        <v>784</v>
      </c>
      <c r="L4" s="1967"/>
      <c r="M4" s="1968"/>
      <c r="N4" s="1968"/>
      <c r="O4" s="1968"/>
      <c r="P4" s="3694" t="s">
        <v>785</v>
      </c>
      <c r="Q4" s="3695"/>
      <c r="R4" s="3678" t="s">
        <v>781</v>
      </c>
      <c r="S4" s="3679"/>
      <c r="T4" s="3678" t="s">
        <v>782</v>
      </c>
      <c r="U4" s="3679"/>
      <c r="V4" s="3700" t="s">
        <v>783</v>
      </c>
      <c r="W4" s="3700"/>
      <c r="X4" s="1455"/>
      <c r="Y4" s="3678" t="s">
        <v>785</v>
      </c>
      <c r="Z4" s="3679"/>
      <c r="AA4" s="3673" t="s">
        <v>781</v>
      </c>
      <c r="AB4" s="3674" t="s">
        <v>782</v>
      </c>
      <c r="AC4" s="3673" t="s">
        <v>783</v>
      </c>
    </row>
    <row r="5" spans="1:29" ht="15">
      <c r="A5" s="492"/>
      <c r="B5" s="493"/>
      <c r="C5" s="3703" t="s">
        <v>2630</v>
      </c>
      <c r="D5" s="3704"/>
      <c r="E5" s="3703" t="s">
        <v>2631</v>
      </c>
      <c r="F5" s="3704"/>
      <c r="G5" s="3703" t="s">
        <v>2632</v>
      </c>
      <c r="H5" s="3704"/>
      <c r="I5" s="3703" t="s">
        <v>2633</v>
      </c>
      <c r="J5" s="3704"/>
      <c r="K5" s="491"/>
      <c r="L5" s="1967"/>
      <c r="M5" s="1968"/>
      <c r="N5" s="1968"/>
      <c r="O5" s="1968"/>
      <c r="P5" s="3696"/>
      <c r="Q5" s="3697"/>
      <c r="R5" s="3680"/>
      <c r="S5" s="3681"/>
      <c r="T5" s="3680"/>
      <c r="U5" s="3681"/>
      <c r="V5" s="3700"/>
      <c r="W5" s="3700"/>
      <c r="X5" s="1455"/>
      <c r="Y5" s="3680"/>
      <c r="Z5" s="3681"/>
      <c r="AA5" s="3674"/>
      <c r="AB5" s="3674"/>
      <c r="AC5" s="3674"/>
    </row>
    <row r="6" spans="1:29" ht="15.75" thickBot="1">
      <c r="A6" s="494"/>
      <c r="B6" s="495"/>
      <c r="C6" s="3701" t="s">
        <v>2634</v>
      </c>
      <c r="D6" s="3702"/>
      <c r="E6" s="3705" t="s">
        <v>2634</v>
      </c>
      <c r="F6" s="3706"/>
      <c r="G6" s="3701" t="s">
        <v>2634</v>
      </c>
      <c r="H6" s="3702"/>
      <c r="I6" s="3701" t="s">
        <v>2634</v>
      </c>
      <c r="J6" s="3702"/>
      <c r="K6" s="491" t="s">
        <v>511</v>
      </c>
      <c r="L6" s="1967"/>
      <c r="M6" s="1968"/>
      <c r="N6" s="1968"/>
      <c r="O6" s="1968"/>
      <c r="P6" s="3698"/>
      <c r="Q6" s="3699"/>
      <c r="R6" s="3680"/>
      <c r="S6" s="3681"/>
      <c r="T6" s="3682"/>
      <c r="U6" s="3683"/>
      <c r="V6" s="3700"/>
      <c r="W6" s="3700"/>
      <c r="X6" s="1455"/>
      <c r="Y6" s="3682"/>
      <c r="Z6" s="3683"/>
      <c r="AA6" s="3675"/>
      <c r="AB6" s="3675"/>
      <c r="AC6" s="3675"/>
    </row>
    <row r="7" spans="1:29" s="1165" customFormat="1" ht="15.75" thickBot="1">
      <c r="A7" s="2548"/>
      <c r="B7" s="2555" t="s">
        <v>512</v>
      </c>
      <c r="C7" s="496">
        <f>'数据-取费表'!B2</f>
        <v>44901</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76" t="s">
        <v>513</v>
      </c>
      <c r="Q7" s="3685"/>
      <c r="R7" s="1456" t="s">
        <v>8</v>
      </c>
      <c r="S7" s="1457">
        <f t="shared" ref="S7:S14" si="0">F7</f>
        <v>0</v>
      </c>
      <c r="T7" s="1456" t="s">
        <v>8</v>
      </c>
      <c r="U7" s="1457">
        <f t="shared" ref="U7:U14" si="1">H7</f>
        <v>0</v>
      </c>
      <c r="V7" s="1456" t="s">
        <v>8</v>
      </c>
      <c r="W7" s="1457">
        <f t="shared" ref="W7:W14" si="2">J7</f>
        <v>0</v>
      </c>
      <c r="X7" s="1458"/>
      <c r="Y7" s="3676" t="s">
        <v>513</v>
      </c>
      <c r="Z7" s="3677"/>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76" t="s">
        <v>516</v>
      </c>
      <c r="Q8" s="3677"/>
      <c r="R8" s="1456" t="s">
        <v>8</v>
      </c>
      <c r="S8" s="1457">
        <f t="shared" si="0"/>
        <v>0</v>
      </c>
      <c r="T8" s="1456" t="s">
        <v>8</v>
      </c>
      <c r="U8" s="1457">
        <f t="shared" si="1"/>
        <v>0</v>
      </c>
      <c r="V8" s="1456" t="s">
        <v>8</v>
      </c>
      <c r="W8" s="1457">
        <f t="shared" si="2"/>
        <v>0</v>
      </c>
      <c r="X8" s="1458"/>
      <c r="Y8" s="3676" t="s">
        <v>516</v>
      </c>
      <c r="Z8" s="3677"/>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84" t="s">
        <v>518</v>
      </c>
      <c r="Q9" s="1096" t="str">
        <f t="shared" ref="Q9:Q14" si="6">B9</f>
        <v>用途</v>
      </c>
      <c r="R9" s="1456" t="s">
        <v>8</v>
      </c>
      <c r="S9" s="1457">
        <f t="shared" si="0"/>
        <v>100</v>
      </c>
      <c r="T9" s="1456" t="s">
        <v>8</v>
      </c>
      <c r="U9" s="1457">
        <f t="shared" si="1"/>
        <v>100</v>
      </c>
      <c r="V9" s="1456" t="s">
        <v>8</v>
      </c>
      <c r="W9" s="1457">
        <f t="shared" si="2"/>
        <v>100</v>
      </c>
      <c r="X9" s="1458"/>
      <c r="Y9" s="3636"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84"/>
      <c r="Q11" s="1096">
        <f t="shared" si="6"/>
        <v>111</v>
      </c>
      <c r="R11" s="1456" t="s">
        <v>8</v>
      </c>
      <c r="S11" s="1457">
        <f t="shared" si="0"/>
        <v>100</v>
      </c>
      <c r="T11" s="1456" t="s">
        <v>8</v>
      </c>
      <c r="U11" s="1457">
        <f t="shared" si="1"/>
        <v>100</v>
      </c>
      <c r="V11" s="1456" t="s">
        <v>8</v>
      </c>
      <c r="W11" s="1457">
        <f t="shared" si="2"/>
        <v>100</v>
      </c>
      <c r="X11" s="1458"/>
      <c r="Y11" s="3636"/>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84"/>
      <c r="Q12" s="1096">
        <f t="shared" si="6"/>
        <v>111</v>
      </c>
      <c r="R12" s="1456" t="s">
        <v>8</v>
      </c>
      <c r="S12" s="1457">
        <f t="shared" si="0"/>
        <v>100</v>
      </c>
      <c r="T12" s="1456" t="s">
        <v>8</v>
      </c>
      <c r="U12" s="1457">
        <f t="shared" si="1"/>
        <v>100</v>
      </c>
      <c r="V12" s="1456" t="s">
        <v>8</v>
      </c>
      <c r="W12" s="1457">
        <f t="shared" si="2"/>
        <v>100</v>
      </c>
      <c r="X12" s="1458"/>
      <c r="Y12" s="3636"/>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84"/>
      <c r="Q13" s="1096">
        <f t="shared" si="6"/>
        <v>111</v>
      </c>
      <c r="R13" s="1456" t="s">
        <v>8</v>
      </c>
      <c r="S13" s="1457">
        <f t="shared" si="0"/>
        <v>100</v>
      </c>
      <c r="T13" s="1456" t="s">
        <v>8</v>
      </c>
      <c r="U13" s="1457">
        <f t="shared" si="1"/>
        <v>100</v>
      </c>
      <c r="V13" s="1456" t="s">
        <v>8</v>
      </c>
      <c r="W13" s="1457">
        <f t="shared" si="2"/>
        <v>100</v>
      </c>
      <c r="X13" s="1458"/>
      <c r="Y13" s="3636"/>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686" t="s">
        <v>523</v>
      </c>
      <c r="Q14" s="1460" t="str">
        <f t="shared" si="6"/>
        <v>交通便捷度</v>
      </c>
      <c r="R14" s="1461" t="s">
        <v>8</v>
      </c>
      <c r="S14" s="1462">
        <f t="shared" si="0"/>
        <v>100</v>
      </c>
      <c r="T14" s="1461" t="s">
        <v>8</v>
      </c>
      <c r="U14" s="1462">
        <f t="shared" si="1"/>
        <v>100</v>
      </c>
      <c r="V14" s="1461" t="s">
        <v>8</v>
      </c>
      <c r="W14" s="1462">
        <f t="shared" si="2"/>
        <v>100</v>
      </c>
      <c r="X14" s="1455"/>
      <c r="Y14" s="3686"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687"/>
      <c r="Q15" s="1460"/>
      <c r="R15" s="1461"/>
      <c r="S15" s="1462"/>
      <c r="T15" s="1461"/>
      <c r="U15" s="1462"/>
      <c r="V15" s="1461"/>
      <c r="W15" s="1462"/>
      <c r="X15" s="1455"/>
      <c r="Y15" s="3687"/>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687"/>
      <c r="Q16" s="1460" t="str">
        <f>B16</f>
        <v>公共配套设施</v>
      </c>
      <c r="R16" s="1461" t="s">
        <v>8</v>
      </c>
      <c r="S16" s="1462">
        <f>F16</f>
        <v>100</v>
      </c>
      <c r="T16" s="1461" t="s">
        <v>8</v>
      </c>
      <c r="U16" s="1462">
        <f>H16</f>
        <v>100</v>
      </c>
      <c r="V16" s="1461" t="s">
        <v>8</v>
      </c>
      <c r="W16" s="1462">
        <f>J16</f>
        <v>100</v>
      </c>
      <c r="X16" s="1455"/>
      <c r="Y16" s="3687"/>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687"/>
      <c r="Q17" s="1460"/>
      <c r="R17" s="1461"/>
      <c r="S17" s="1462"/>
      <c r="T17" s="1461"/>
      <c r="U17" s="1462"/>
      <c r="V17" s="1461"/>
      <c r="W17" s="1462"/>
      <c r="X17" s="1455"/>
      <c r="Y17" s="3687"/>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687"/>
      <c r="Q18" s="2349" t="str">
        <f>B18</f>
        <v>基础设施水平</v>
      </c>
      <c r="R18" s="1461" t="s">
        <v>8</v>
      </c>
      <c r="S18" s="1462">
        <f>F18</f>
        <v>100</v>
      </c>
      <c r="T18" s="1461" t="s">
        <v>8</v>
      </c>
      <c r="U18" s="1462">
        <f>H18</f>
        <v>100</v>
      </c>
      <c r="V18" s="1461" t="s">
        <v>8</v>
      </c>
      <c r="W18" s="1462">
        <f>J18</f>
        <v>100</v>
      </c>
      <c r="X18" s="2351"/>
      <c r="Y18" s="3687"/>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687"/>
      <c r="Q19" s="2349"/>
      <c r="R19" s="1461"/>
      <c r="S19" s="1462"/>
      <c r="T19" s="1461"/>
      <c r="U19" s="1462"/>
      <c r="V19" s="1461"/>
      <c r="W19" s="1462"/>
      <c r="X19" s="2351"/>
      <c r="Y19" s="3687"/>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687"/>
      <c r="Q20" s="1460" t="str">
        <f>B20</f>
        <v>自然及人文环境</v>
      </c>
      <c r="R20" s="1461" t="s">
        <v>8</v>
      </c>
      <c r="S20" s="1462">
        <f>F20</f>
        <v>100</v>
      </c>
      <c r="T20" s="1461" t="s">
        <v>8</v>
      </c>
      <c r="U20" s="1462">
        <f>H20</f>
        <v>100</v>
      </c>
      <c r="V20" s="1461" t="s">
        <v>8</v>
      </c>
      <c r="W20" s="1462">
        <f>J20</f>
        <v>100</v>
      </c>
      <c r="X20" s="1455"/>
      <c r="Y20" s="3687"/>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687"/>
      <c r="Q21" s="1460"/>
      <c r="R21" s="1461"/>
      <c r="S21" s="1462"/>
      <c r="T21" s="1461"/>
      <c r="U21" s="1462"/>
      <c r="V21" s="1461"/>
      <c r="W21" s="1462"/>
      <c r="X21" s="1455"/>
      <c r="Y21" s="3687"/>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87"/>
      <c r="Q22" s="1460" t="str">
        <f>B22</f>
        <v>楼层</v>
      </c>
      <c r="R22" s="1461" t="s">
        <v>8</v>
      </c>
      <c r="S22" s="1462">
        <f>F22</f>
        <v>100</v>
      </c>
      <c r="T22" s="1461" t="s">
        <v>8</v>
      </c>
      <c r="U22" s="1462">
        <f>H22</f>
        <v>100</v>
      </c>
      <c r="V22" s="1461" t="s">
        <v>8</v>
      </c>
      <c r="W22" s="1462">
        <f>J22</f>
        <v>100</v>
      </c>
      <c r="X22" s="1455"/>
      <c r="Y22" s="3687"/>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87"/>
      <c r="Q23" s="1460">
        <f>B23</f>
        <v>111</v>
      </c>
      <c r="R23" s="1461" t="s">
        <v>8</v>
      </c>
      <c r="S23" s="1462">
        <f>F23</f>
        <v>100</v>
      </c>
      <c r="T23" s="1461" t="s">
        <v>8</v>
      </c>
      <c r="U23" s="1462">
        <f>H23</f>
        <v>100</v>
      </c>
      <c r="V23" s="1461" t="s">
        <v>8</v>
      </c>
      <c r="W23" s="1462">
        <f>J23</f>
        <v>100</v>
      </c>
      <c r="X23" s="1455"/>
      <c r="Y23" s="3687"/>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87"/>
      <c r="Q24" s="1460">
        <f t="shared" ref="Q24:Q36" si="11">B24</f>
        <v>111</v>
      </c>
      <c r="R24" s="1461" t="s">
        <v>8</v>
      </c>
      <c r="S24" s="1462">
        <f>F24</f>
        <v>100</v>
      </c>
      <c r="T24" s="1461" t="s">
        <v>8</v>
      </c>
      <c r="U24" s="1462">
        <f>H24</f>
        <v>100</v>
      </c>
      <c r="V24" s="1461" t="s">
        <v>8</v>
      </c>
      <c r="W24" s="1462">
        <f>J24</f>
        <v>100</v>
      </c>
      <c r="X24" s="1455"/>
      <c r="Y24" s="3687"/>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687"/>
      <c r="Q25" s="1096">
        <f t="shared" si="11"/>
        <v>111</v>
      </c>
      <c r="R25" s="1456" t="s">
        <v>8</v>
      </c>
      <c r="S25" s="1457">
        <f>F25</f>
        <v>100</v>
      </c>
      <c r="T25" s="1456" t="s">
        <v>8</v>
      </c>
      <c r="U25" s="1457">
        <f>H25</f>
        <v>100</v>
      </c>
      <c r="V25" s="1456" t="s">
        <v>8</v>
      </c>
      <c r="W25" s="1457">
        <f>J25</f>
        <v>100</v>
      </c>
      <c r="X25" s="1458"/>
      <c r="Y25" s="3687"/>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88"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89"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689"/>
      <c r="Q27" s="1489" t="str">
        <f t="shared" si="11"/>
        <v>项目停车位配比</v>
      </c>
      <c r="R27" s="1465" t="s">
        <v>8</v>
      </c>
      <c r="S27" s="1466">
        <f t="shared" si="12"/>
        <v>100</v>
      </c>
      <c r="T27" s="1465" t="s">
        <v>8</v>
      </c>
      <c r="U27" s="1466">
        <f t="shared" si="13"/>
        <v>100</v>
      </c>
      <c r="V27" s="1465" t="s">
        <v>8</v>
      </c>
      <c r="W27" s="1466">
        <f t="shared" si="14"/>
        <v>100</v>
      </c>
      <c r="X27" s="1467"/>
      <c r="Y27" s="3689"/>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89"/>
      <c r="Q28" s="1460" t="str">
        <f t="shared" si="11"/>
        <v>公共部分装修</v>
      </c>
      <c r="R28" s="1461" t="s">
        <v>8</v>
      </c>
      <c r="S28" s="1462">
        <f t="shared" si="12"/>
        <v>100</v>
      </c>
      <c r="T28" s="1461" t="s">
        <v>8</v>
      </c>
      <c r="U28" s="1462">
        <f t="shared" si="13"/>
        <v>100</v>
      </c>
      <c r="V28" s="1461" t="s">
        <v>8</v>
      </c>
      <c r="W28" s="1462">
        <f t="shared" si="14"/>
        <v>100</v>
      </c>
      <c r="X28" s="1455"/>
      <c r="Y28" s="3689"/>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689"/>
      <c r="Q29" s="1460" t="str">
        <f t="shared" si="11"/>
        <v>成新率</v>
      </c>
      <c r="R29" s="1461" t="s">
        <v>8</v>
      </c>
      <c r="S29" s="1462" t="e">
        <f t="shared" si="12"/>
        <v>#N/A</v>
      </c>
      <c r="T29" s="1461" t="s">
        <v>8</v>
      </c>
      <c r="U29" s="1462" t="e">
        <f t="shared" si="13"/>
        <v>#N/A</v>
      </c>
      <c r="V29" s="1461" t="s">
        <v>8</v>
      </c>
      <c r="W29" s="1462" t="e">
        <f t="shared" si="14"/>
        <v>#N/A</v>
      </c>
      <c r="X29" s="1455"/>
      <c r="Y29" s="3689"/>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689"/>
      <c r="Q30" s="1460" t="str">
        <f t="shared" si="11"/>
        <v>物业等级</v>
      </c>
      <c r="R30" s="1461" t="s">
        <v>8</v>
      </c>
      <c r="S30" s="1462">
        <f t="shared" si="12"/>
        <v>100</v>
      </c>
      <c r="T30" s="1461" t="s">
        <v>8</v>
      </c>
      <c r="U30" s="1462">
        <f t="shared" si="13"/>
        <v>100</v>
      </c>
      <c r="V30" s="1461" t="s">
        <v>8</v>
      </c>
      <c r="W30" s="1462">
        <f t="shared" si="14"/>
        <v>100</v>
      </c>
      <c r="X30" s="1455"/>
      <c r="Y30" s="3689"/>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689"/>
      <c r="Q31" s="1096" t="str">
        <f t="shared" si="11"/>
        <v>停车位面积</v>
      </c>
      <c r="R31" s="1456" t="s">
        <v>8</v>
      </c>
      <c r="S31" s="1457" t="e">
        <f t="shared" si="12"/>
        <v>#N/A</v>
      </c>
      <c r="T31" s="1456" t="s">
        <v>8</v>
      </c>
      <c r="U31" s="1457" t="e">
        <f t="shared" si="13"/>
        <v>#N/A</v>
      </c>
      <c r="V31" s="1456" t="s">
        <v>8</v>
      </c>
      <c r="W31" s="1457" t="e">
        <f t="shared" si="14"/>
        <v>#N/A</v>
      </c>
      <c r="X31" s="1458"/>
      <c r="Y31" s="3689"/>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89" t="s">
        <v>533</v>
      </c>
      <c r="Q32" s="1460" t="str">
        <f t="shared" si="11"/>
        <v>车位类型</v>
      </c>
      <c r="R32" s="1461" t="s">
        <v>8</v>
      </c>
      <c r="S32" s="1462">
        <f t="shared" si="12"/>
        <v>100</v>
      </c>
      <c r="T32" s="1461" t="s">
        <v>8</v>
      </c>
      <c r="U32" s="1462">
        <f t="shared" si="13"/>
        <v>100</v>
      </c>
      <c r="V32" s="1461" t="s">
        <v>8</v>
      </c>
      <c r="W32" s="1462">
        <f t="shared" si="14"/>
        <v>100</v>
      </c>
      <c r="X32" s="1455"/>
      <c r="Y32" s="3689"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89"/>
      <c r="Q33" s="1460" t="str">
        <f t="shared" si="11"/>
        <v>是否直接入户</v>
      </c>
      <c r="R33" s="1461" t="s">
        <v>8</v>
      </c>
      <c r="S33" s="1462">
        <f t="shared" si="12"/>
        <v>100</v>
      </c>
      <c r="T33" s="1461" t="s">
        <v>8</v>
      </c>
      <c r="U33" s="1462">
        <f t="shared" si="13"/>
        <v>100</v>
      </c>
      <c r="V33" s="1461" t="s">
        <v>8</v>
      </c>
      <c r="W33" s="1462">
        <f t="shared" si="14"/>
        <v>100</v>
      </c>
      <c r="X33" s="1455"/>
      <c r="Y33" s="3689"/>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89"/>
      <c r="Q34" s="1460">
        <f t="shared" si="11"/>
        <v>111</v>
      </c>
      <c r="R34" s="1461" t="s">
        <v>8</v>
      </c>
      <c r="S34" s="1462">
        <f t="shared" si="12"/>
        <v>100</v>
      </c>
      <c r="T34" s="1461" t="s">
        <v>8</v>
      </c>
      <c r="U34" s="1462">
        <f t="shared" si="13"/>
        <v>100</v>
      </c>
      <c r="V34" s="1461" t="s">
        <v>8</v>
      </c>
      <c r="W34" s="1462">
        <f t="shared" si="14"/>
        <v>100</v>
      </c>
      <c r="X34" s="1455"/>
      <c r="Y34" s="3689"/>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89"/>
      <c r="Q35" s="1489">
        <f t="shared" si="11"/>
        <v>111</v>
      </c>
      <c r="R35" s="1465" t="s">
        <v>8</v>
      </c>
      <c r="S35" s="1466">
        <f t="shared" si="12"/>
        <v>100</v>
      </c>
      <c r="T35" s="1465" t="s">
        <v>8</v>
      </c>
      <c r="U35" s="1466">
        <f t="shared" si="13"/>
        <v>100</v>
      </c>
      <c r="V35" s="1465" t="s">
        <v>8</v>
      </c>
      <c r="W35" s="1466">
        <f t="shared" si="14"/>
        <v>100</v>
      </c>
      <c r="X35" s="1467"/>
      <c r="Y35" s="3689"/>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89"/>
      <c r="Q36" s="1460">
        <f t="shared" si="11"/>
        <v>111</v>
      </c>
      <c r="R36" s="1461" t="s">
        <v>8</v>
      </c>
      <c r="S36" s="1462">
        <f t="shared" si="12"/>
        <v>100</v>
      </c>
      <c r="T36" s="1461" t="s">
        <v>8</v>
      </c>
      <c r="U36" s="1462">
        <f t="shared" si="13"/>
        <v>100</v>
      </c>
      <c r="V36" s="1461" t="s">
        <v>8</v>
      </c>
      <c r="W36" s="1462">
        <f t="shared" si="14"/>
        <v>100</v>
      </c>
      <c r="X36" s="1455"/>
      <c r="Y36" s="3689"/>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84" t="str">
        <f>A37</f>
        <v>成交单价</v>
      </c>
      <c r="Q37" s="3684"/>
      <c r="R37" s="3800">
        <f>E37</f>
        <v>0</v>
      </c>
      <c r="S37" s="3800"/>
      <c r="T37" s="3800">
        <f>G37</f>
        <v>0</v>
      </c>
      <c r="U37" s="3800"/>
      <c r="V37" s="3800">
        <f>I37</f>
        <v>0</v>
      </c>
      <c r="W37" s="3800"/>
      <c r="X37" s="1450"/>
      <c r="Y37" s="1469"/>
      <c r="Z37" s="1450"/>
      <c r="AA37" s="1450"/>
      <c r="AB37" s="1450"/>
      <c r="AC37" s="1450"/>
    </row>
    <row r="38" spans="1:29" ht="15.7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84" t="str">
        <f>A38</f>
        <v>比较价格（元/平方米）</v>
      </c>
      <c r="Q38" s="3684"/>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690" t="str">
        <f>A39</f>
        <v>估价对象XX用房的比较价格（楼面单价，元/平方米）</v>
      </c>
      <c r="Q39" s="3691"/>
      <c r="R39" s="3799" t="e">
        <f>IF(F1="售价",ROUND(IF(D38="简单平均",AVERAGE(R38:W38),R38*F38+T38*H38+V38*J38),0),ROUND(IF(D38="简单平均",AVERAGE(R38:V38),R38*F38+T38*H38+V38*J38),1))</f>
        <v>#DIV/0!</v>
      </c>
      <c r="S39" s="3799"/>
      <c r="T39" s="3799"/>
      <c r="U39" s="3799"/>
      <c r="V39" s="3799"/>
      <c r="W39" s="3799"/>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2022-12</v>
      </c>
      <c r="D48" s="2441">
        <f>EDATE(C48,-1)</f>
        <v>44866</v>
      </c>
      <c r="E48" s="2441">
        <f t="shared" ref="E48:O48" si="16">EDATE(D48,-1)</f>
        <v>44835</v>
      </c>
      <c r="F48" s="2441">
        <f t="shared" si="16"/>
        <v>44805</v>
      </c>
      <c r="G48" s="2441">
        <f t="shared" si="16"/>
        <v>44774</v>
      </c>
      <c r="H48" s="2441">
        <f t="shared" si="16"/>
        <v>44743</v>
      </c>
      <c r="I48" s="2441">
        <f t="shared" si="16"/>
        <v>44713</v>
      </c>
      <c r="J48" s="2441">
        <f t="shared" si="16"/>
        <v>44682</v>
      </c>
      <c r="K48" s="2441">
        <f t="shared" si="16"/>
        <v>44652</v>
      </c>
      <c r="L48" s="2441">
        <f t="shared" si="16"/>
        <v>44621</v>
      </c>
      <c r="M48" s="2441">
        <f t="shared" si="16"/>
        <v>44593</v>
      </c>
      <c r="N48" s="2441">
        <f t="shared" si="16"/>
        <v>44562</v>
      </c>
      <c r="O48" s="2441">
        <f t="shared" si="16"/>
        <v>44531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93.75">
      <c r="A7" s="2510" t="s">
        <v>2464</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9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2" t="s">
        <v>780</v>
      </c>
      <c r="D4" s="3693"/>
      <c r="E4" s="3718" t="s">
        <v>781</v>
      </c>
      <c r="F4" s="3719"/>
      <c r="G4" s="3692" t="s">
        <v>782</v>
      </c>
      <c r="H4" s="3693"/>
      <c r="I4" s="3692" t="s">
        <v>783</v>
      </c>
      <c r="J4" s="3693"/>
      <c r="K4" s="491" t="s">
        <v>784</v>
      </c>
      <c r="L4" s="1967"/>
      <c r="M4" s="1968"/>
      <c r="N4" s="1968"/>
      <c r="O4" s="1968"/>
      <c r="P4" s="3694" t="s">
        <v>785</v>
      </c>
      <c r="Q4" s="3695"/>
      <c r="R4" s="3678" t="s">
        <v>781</v>
      </c>
      <c r="S4" s="3679"/>
      <c r="T4" s="3678" t="s">
        <v>782</v>
      </c>
      <c r="U4" s="3679"/>
      <c r="V4" s="3700" t="s">
        <v>783</v>
      </c>
      <c r="W4" s="3700"/>
      <c r="X4" s="1455"/>
      <c r="Y4" s="3678" t="s">
        <v>785</v>
      </c>
      <c r="Z4" s="3679"/>
      <c r="AA4" s="3673" t="s">
        <v>781</v>
      </c>
      <c r="AB4" s="3674" t="s">
        <v>782</v>
      </c>
      <c r="AC4" s="3673" t="s">
        <v>783</v>
      </c>
    </row>
    <row r="5" spans="1:29" ht="15">
      <c r="A5" s="492"/>
      <c r="B5" s="493"/>
      <c r="C5" s="3703" t="s">
        <v>2630</v>
      </c>
      <c r="D5" s="3704"/>
      <c r="E5" s="3720" t="s">
        <v>2631</v>
      </c>
      <c r="F5" s="3721"/>
      <c r="G5" s="3703" t="s">
        <v>2632</v>
      </c>
      <c r="H5" s="3704"/>
      <c r="I5" s="3703" t="s">
        <v>2633</v>
      </c>
      <c r="J5" s="3704"/>
      <c r="K5" s="491"/>
      <c r="L5" s="1967"/>
      <c r="M5" s="1968"/>
      <c r="N5" s="1968"/>
      <c r="O5" s="1968"/>
      <c r="P5" s="3696"/>
      <c r="Q5" s="3697"/>
      <c r="R5" s="3680"/>
      <c r="S5" s="3681"/>
      <c r="T5" s="3680"/>
      <c r="U5" s="3681"/>
      <c r="V5" s="3700"/>
      <c r="W5" s="3700"/>
      <c r="X5" s="1455"/>
      <c r="Y5" s="3680"/>
      <c r="Z5" s="3681"/>
      <c r="AA5" s="3674"/>
      <c r="AB5" s="3674"/>
      <c r="AC5" s="3674"/>
    </row>
    <row r="6" spans="1:29" ht="15.75" thickBot="1">
      <c r="A6" s="494"/>
      <c r="B6" s="495"/>
      <c r="C6" s="3701" t="s">
        <v>2634</v>
      </c>
      <c r="D6" s="3702"/>
      <c r="E6" s="3722" t="s">
        <v>2634</v>
      </c>
      <c r="F6" s="3723"/>
      <c r="G6" s="3701" t="s">
        <v>2634</v>
      </c>
      <c r="H6" s="3702"/>
      <c r="I6" s="3701" t="s">
        <v>2634</v>
      </c>
      <c r="J6" s="3702"/>
      <c r="K6" s="491" t="s">
        <v>511</v>
      </c>
      <c r="L6" s="1967"/>
      <c r="M6" s="1968"/>
      <c r="N6" s="1968"/>
      <c r="O6" s="1968"/>
      <c r="P6" s="3698"/>
      <c r="Q6" s="3699"/>
      <c r="R6" s="3680"/>
      <c r="S6" s="3681"/>
      <c r="T6" s="3682"/>
      <c r="U6" s="3683"/>
      <c r="V6" s="3700"/>
      <c r="W6" s="3700"/>
      <c r="X6" s="1455"/>
      <c r="Y6" s="3682"/>
      <c r="Z6" s="3683"/>
      <c r="AA6" s="3675"/>
      <c r="AB6" s="3675"/>
      <c r="AC6" s="3675"/>
    </row>
    <row r="7" spans="1:29" s="1165" customFormat="1" ht="15.75" thickBot="1">
      <c r="A7" s="2548"/>
      <c r="B7" s="2555" t="s">
        <v>512</v>
      </c>
      <c r="C7" s="496">
        <f>'数据-取费表'!B2</f>
        <v>44901</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76" t="s">
        <v>513</v>
      </c>
      <c r="Q7" s="3685"/>
      <c r="R7" s="1456" t="s">
        <v>8</v>
      </c>
      <c r="S7" s="1457">
        <f t="shared" ref="S7:S14" si="0">F7</f>
        <v>0</v>
      </c>
      <c r="T7" s="1456" t="s">
        <v>8</v>
      </c>
      <c r="U7" s="1457">
        <f t="shared" ref="U7:U14" si="1">H7</f>
        <v>0</v>
      </c>
      <c r="V7" s="1456" t="s">
        <v>8</v>
      </c>
      <c r="W7" s="1457">
        <f t="shared" ref="W7:W14" si="2">J7</f>
        <v>0</v>
      </c>
      <c r="X7" s="1458"/>
      <c r="Y7" s="3676" t="s">
        <v>513</v>
      </c>
      <c r="Z7" s="3677"/>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76" t="s">
        <v>516</v>
      </c>
      <c r="Q8" s="3677"/>
      <c r="R8" s="1456" t="s">
        <v>8</v>
      </c>
      <c r="S8" s="1457">
        <f t="shared" si="0"/>
        <v>0</v>
      </c>
      <c r="T8" s="1456" t="s">
        <v>8</v>
      </c>
      <c r="U8" s="1457">
        <f t="shared" si="1"/>
        <v>0</v>
      </c>
      <c r="V8" s="1456" t="s">
        <v>8</v>
      </c>
      <c r="W8" s="1457">
        <f t="shared" si="2"/>
        <v>0</v>
      </c>
      <c r="X8" s="1458"/>
      <c r="Y8" s="3676" t="s">
        <v>516</v>
      </c>
      <c r="Z8" s="3677"/>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84" t="s">
        <v>518</v>
      </c>
      <c r="Q9" s="1096" t="str">
        <f t="shared" ref="Q9:Q14" si="6">B9</f>
        <v>用途</v>
      </c>
      <c r="R9" s="1456" t="s">
        <v>8</v>
      </c>
      <c r="S9" s="1457">
        <f t="shared" si="0"/>
        <v>100</v>
      </c>
      <c r="T9" s="1456" t="s">
        <v>8</v>
      </c>
      <c r="U9" s="1457">
        <f t="shared" si="1"/>
        <v>100</v>
      </c>
      <c r="V9" s="1456" t="s">
        <v>8</v>
      </c>
      <c r="W9" s="1457">
        <f t="shared" si="2"/>
        <v>100</v>
      </c>
      <c r="X9" s="1458"/>
      <c r="Y9" s="3636"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84"/>
      <c r="Q10" s="1096" t="str">
        <f t="shared" si="6"/>
        <v>土地使用年限（年）</v>
      </c>
      <c r="R10" s="1456" t="s">
        <v>8</v>
      </c>
      <c r="S10" s="1457">
        <f t="shared" si="0"/>
        <v>100</v>
      </c>
      <c r="T10" s="1456" t="s">
        <v>8</v>
      </c>
      <c r="U10" s="1457">
        <f t="shared" si="1"/>
        <v>100</v>
      </c>
      <c r="V10" s="1456" t="s">
        <v>8</v>
      </c>
      <c r="W10" s="1457">
        <f t="shared" si="2"/>
        <v>100</v>
      </c>
      <c r="X10" s="1458"/>
      <c r="Y10" s="3636"/>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84"/>
      <c r="Q11" s="1096">
        <f t="shared" si="6"/>
        <v>111</v>
      </c>
      <c r="R11" s="1456" t="s">
        <v>8</v>
      </c>
      <c r="S11" s="1457">
        <f t="shared" si="0"/>
        <v>100</v>
      </c>
      <c r="T11" s="1456" t="s">
        <v>8</v>
      </c>
      <c r="U11" s="1457">
        <f t="shared" si="1"/>
        <v>100</v>
      </c>
      <c r="V11" s="1456" t="s">
        <v>8</v>
      </c>
      <c r="W11" s="1457">
        <f t="shared" si="2"/>
        <v>100</v>
      </c>
      <c r="X11" s="1458"/>
      <c r="Y11" s="3636"/>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84"/>
      <c r="Q12" s="1096">
        <f t="shared" si="6"/>
        <v>111</v>
      </c>
      <c r="R12" s="1456" t="s">
        <v>8</v>
      </c>
      <c r="S12" s="1457">
        <f t="shared" si="0"/>
        <v>100</v>
      </c>
      <c r="T12" s="1456" t="s">
        <v>8</v>
      </c>
      <c r="U12" s="1457">
        <f t="shared" si="1"/>
        <v>100</v>
      </c>
      <c r="V12" s="1456" t="s">
        <v>8</v>
      </c>
      <c r="W12" s="1457">
        <f t="shared" si="2"/>
        <v>100</v>
      </c>
      <c r="X12" s="1458"/>
      <c r="Y12" s="3636"/>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84"/>
      <c r="Q13" s="1096">
        <f t="shared" si="6"/>
        <v>111</v>
      </c>
      <c r="R13" s="1456" t="s">
        <v>8</v>
      </c>
      <c r="S13" s="1457">
        <f t="shared" si="0"/>
        <v>100</v>
      </c>
      <c r="T13" s="1456" t="s">
        <v>8</v>
      </c>
      <c r="U13" s="1457">
        <f t="shared" si="1"/>
        <v>100</v>
      </c>
      <c r="V13" s="1456" t="s">
        <v>8</v>
      </c>
      <c r="W13" s="1457">
        <f t="shared" si="2"/>
        <v>100</v>
      </c>
      <c r="X13" s="1458"/>
      <c r="Y13" s="3636"/>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686" t="s">
        <v>523</v>
      </c>
      <c r="Q14" s="1460" t="str">
        <f t="shared" si="6"/>
        <v>交通便捷度</v>
      </c>
      <c r="R14" s="1461" t="s">
        <v>8</v>
      </c>
      <c r="S14" s="1462">
        <f t="shared" si="0"/>
        <v>100</v>
      </c>
      <c r="T14" s="1461" t="s">
        <v>8</v>
      </c>
      <c r="U14" s="1462">
        <f t="shared" si="1"/>
        <v>100</v>
      </c>
      <c r="V14" s="1461" t="s">
        <v>8</v>
      </c>
      <c r="W14" s="1462">
        <f t="shared" si="2"/>
        <v>100</v>
      </c>
      <c r="X14" s="1455"/>
      <c r="Y14" s="3686"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687"/>
      <c r="Q15" s="1460"/>
      <c r="R15" s="1461"/>
      <c r="S15" s="1462"/>
      <c r="T15" s="1461"/>
      <c r="U15" s="1462"/>
      <c r="V15" s="1461"/>
      <c r="W15" s="1462"/>
      <c r="X15" s="1455"/>
      <c r="Y15" s="3687"/>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687"/>
      <c r="Q16" s="1460" t="str">
        <f>B16</f>
        <v>公共配套设施</v>
      </c>
      <c r="R16" s="1461" t="s">
        <v>8</v>
      </c>
      <c r="S16" s="1462">
        <f>F16</f>
        <v>100</v>
      </c>
      <c r="T16" s="1461" t="s">
        <v>8</v>
      </c>
      <c r="U16" s="1462">
        <f>H16</f>
        <v>100</v>
      </c>
      <c r="V16" s="1461" t="s">
        <v>8</v>
      </c>
      <c r="W16" s="1462">
        <f>J16</f>
        <v>100</v>
      </c>
      <c r="X16" s="1455"/>
      <c r="Y16" s="3687"/>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687"/>
      <c r="Q17" s="1460"/>
      <c r="R17" s="1461"/>
      <c r="S17" s="1462"/>
      <c r="T17" s="1461"/>
      <c r="U17" s="1462"/>
      <c r="V17" s="1461"/>
      <c r="W17" s="1462"/>
      <c r="X17" s="1455"/>
      <c r="Y17" s="3687"/>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687"/>
      <c r="Q18" s="2349" t="str">
        <f>B18</f>
        <v>基础设施水平</v>
      </c>
      <c r="R18" s="1461" t="s">
        <v>8</v>
      </c>
      <c r="S18" s="1462">
        <f>F18</f>
        <v>100</v>
      </c>
      <c r="T18" s="1461" t="s">
        <v>8</v>
      </c>
      <c r="U18" s="1462">
        <f>H18</f>
        <v>100</v>
      </c>
      <c r="V18" s="1461" t="s">
        <v>8</v>
      </c>
      <c r="W18" s="1462">
        <f>J18</f>
        <v>100</v>
      </c>
      <c r="X18" s="2351"/>
      <c r="Y18" s="3687"/>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687"/>
      <c r="Q19" s="2349"/>
      <c r="R19" s="1461"/>
      <c r="S19" s="1462"/>
      <c r="T19" s="1461"/>
      <c r="U19" s="1462"/>
      <c r="V19" s="1461"/>
      <c r="W19" s="1462"/>
      <c r="X19" s="2351"/>
      <c r="Y19" s="3687"/>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687"/>
      <c r="Q20" s="1460" t="str">
        <f>B20</f>
        <v>自然及人文环境</v>
      </c>
      <c r="R20" s="1461" t="s">
        <v>8</v>
      </c>
      <c r="S20" s="1462">
        <f>F20</f>
        <v>100</v>
      </c>
      <c r="T20" s="1461" t="s">
        <v>8</v>
      </c>
      <c r="U20" s="1462">
        <f>H20</f>
        <v>100</v>
      </c>
      <c r="V20" s="1461" t="s">
        <v>8</v>
      </c>
      <c r="W20" s="1462">
        <f>J20</f>
        <v>100</v>
      </c>
      <c r="X20" s="1455"/>
      <c r="Y20" s="3687"/>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687"/>
      <c r="Q21" s="1460"/>
      <c r="R21" s="1461"/>
      <c r="S21" s="1462"/>
      <c r="T21" s="1461"/>
      <c r="U21" s="1462"/>
      <c r="V21" s="1461"/>
      <c r="W21" s="1462"/>
      <c r="X21" s="1455"/>
      <c r="Y21" s="3687"/>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87"/>
      <c r="Q22" s="1460" t="str">
        <f>B22</f>
        <v>楼层</v>
      </c>
      <c r="R22" s="1461" t="s">
        <v>8</v>
      </c>
      <c r="S22" s="1462">
        <f>F22</f>
        <v>100</v>
      </c>
      <c r="T22" s="1461" t="s">
        <v>8</v>
      </c>
      <c r="U22" s="1462">
        <f>H22</f>
        <v>100</v>
      </c>
      <c r="V22" s="1461" t="s">
        <v>8</v>
      </c>
      <c r="W22" s="1462">
        <f>J22</f>
        <v>100</v>
      </c>
      <c r="X22" s="1455"/>
      <c r="Y22" s="3687"/>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87"/>
      <c r="Q23" s="1460">
        <f>B23</f>
        <v>111</v>
      </c>
      <c r="R23" s="1461" t="s">
        <v>8</v>
      </c>
      <c r="S23" s="1462">
        <f>F23</f>
        <v>100</v>
      </c>
      <c r="T23" s="1461" t="s">
        <v>8</v>
      </c>
      <c r="U23" s="1462">
        <f>H23</f>
        <v>100</v>
      </c>
      <c r="V23" s="1461" t="s">
        <v>8</v>
      </c>
      <c r="W23" s="1462">
        <f>J23</f>
        <v>100</v>
      </c>
      <c r="X23" s="1455"/>
      <c r="Y23" s="3687"/>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87"/>
      <c r="Q24" s="1460">
        <f t="shared" ref="Q24:Q34" si="11">B24</f>
        <v>111</v>
      </c>
      <c r="R24" s="1461" t="s">
        <v>8</v>
      </c>
      <c r="S24" s="1462">
        <f>F24</f>
        <v>100</v>
      </c>
      <c r="T24" s="1461" t="s">
        <v>8</v>
      </c>
      <c r="U24" s="1462">
        <f>H24</f>
        <v>100</v>
      </c>
      <c r="V24" s="1461" t="s">
        <v>8</v>
      </c>
      <c r="W24" s="1462">
        <f>J24</f>
        <v>100</v>
      </c>
      <c r="X24" s="1455"/>
      <c r="Y24" s="3687"/>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687"/>
      <c r="Q25" s="1096">
        <f t="shared" si="11"/>
        <v>111</v>
      </c>
      <c r="R25" s="1456" t="s">
        <v>8</v>
      </c>
      <c r="S25" s="1457">
        <f>F25</f>
        <v>100</v>
      </c>
      <c r="T25" s="1456" t="s">
        <v>8</v>
      </c>
      <c r="U25" s="1457">
        <f>H25</f>
        <v>100</v>
      </c>
      <c r="V25" s="1456" t="s">
        <v>8</v>
      </c>
      <c r="W25" s="1457">
        <f>J25</f>
        <v>100</v>
      </c>
      <c r="X25" s="1458"/>
      <c r="Y25" s="3687"/>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688"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89"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689"/>
      <c r="Q27" s="1489" t="str">
        <f t="shared" si="11"/>
        <v>成新率</v>
      </c>
      <c r="R27" s="1465" t="s">
        <v>8</v>
      </c>
      <c r="S27" s="1466" t="e">
        <f t="shared" si="12"/>
        <v>#N/A</v>
      </c>
      <c r="T27" s="1465" t="s">
        <v>8</v>
      </c>
      <c r="U27" s="1466" t="e">
        <f t="shared" si="13"/>
        <v>#N/A</v>
      </c>
      <c r="V27" s="1465" t="s">
        <v>8</v>
      </c>
      <c r="W27" s="1466" t="e">
        <f t="shared" si="14"/>
        <v>#N/A</v>
      </c>
      <c r="X27" s="1467"/>
      <c r="Y27" s="3689"/>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89"/>
      <c r="Q28" s="1460" t="str">
        <f t="shared" si="11"/>
        <v>物业等级</v>
      </c>
      <c r="R28" s="1461" t="s">
        <v>8</v>
      </c>
      <c r="S28" s="1462">
        <f t="shared" si="12"/>
        <v>100</v>
      </c>
      <c r="T28" s="1461" t="s">
        <v>8</v>
      </c>
      <c r="U28" s="1462">
        <f t="shared" si="13"/>
        <v>100</v>
      </c>
      <c r="V28" s="1461" t="s">
        <v>8</v>
      </c>
      <c r="W28" s="1462">
        <f t="shared" si="14"/>
        <v>100</v>
      </c>
      <c r="X28" s="1455"/>
      <c r="Y28" s="3689"/>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689"/>
      <c r="Q29" s="1460" t="str">
        <f t="shared" si="11"/>
        <v>有无电梯</v>
      </c>
      <c r="R29" s="1461" t="s">
        <v>8</v>
      </c>
      <c r="S29" s="1462">
        <f t="shared" si="12"/>
        <v>100</v>
      </c>
      <c r="T29" s="1461" t="s">
        <v>8</v>
      </c>
      <c r="U29" s="1462">
        <f t="shared" si="13"/>
        <v>100</v>
      </c>
      <c r="V29" s="1461" t="s">
        <v>8</v>
      </c>
      <c r="W29" s="1462">
        <f t="shared" si="14"/>
        <v>100</v>
      </c>
      <c r="X29" s="1455"/>
      <c r="Y29" s="3689"/>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689"/>
      <c r="Q30" s="1460" t="str">
        <f t="shared" si="11"/>
        <v>建筑面积</v>
      </c>
      <c r="R30" s="1461" t="s">
        <v>8</v>
      </c>
      <c r="S30" s="1462" t="e">
        <f t="shared" si="12"/>
        <v>#N/A</v>
      </c>
      <c r="T30" s="1461" t="s">
        <v>8</v>
      </c>
      <c r="U30" s="1462" t="e">
        <f t="shared" si="13"/>
        <v>#N/A</v>
      </c>
      <c r="V30" s="1461" t="s">
        <v>8</v>
      </c>
      <c r="W30" s="1462" t="e">
        <f t="shared" si="14"/>
        <v>#N/A</v>
      </c>
      <c r="X30" s="1455"/>
      <c r="Y30" s="3689"/>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689"/>
      <c r="Q31" s="1096" t="str">
        <f t="shared" si="11"/>
        <v>是否封闭</v>
      </c>
      <c r="R31" s="1456" t="s">
        <v>8</v>
      </c>
      <c r="S31" s="1457">
        <f t="shared" si="12"/>
        <v>100</v>
      </c>
      <c r="T31" s="1456" t="s">
        <v>8</v>
      </c>
      <c r="U31" s="1457">
        <f t="shared" si="13"/>
        <v>100</v>
      </c>
      <c r="V31" s="1456" t="s">
        <v>8</v>
      </c>
      <c r="W31" s="1457">
        <f t="shared" si="14"/>
        <v>100</v>
      </c>
      <c r="X31" s="1458"/>
      <c r="Y31" s="3689"/>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689" t="s">
        <v>533</v>
      </c>
      <c r="Q32" s="1460">
        <f t="shared" si="11"/>
        <v>111</v>
      </c>
      <c r="R32" s="1461" t="s">
        <v>8</v>
      </c>
      <c r="S32" s="1462">
        <f t="shared" si="12"/>
        <v>100</v>
      </c>
      <c r="T32" s="1461" t="s">
        <v>8</v>
      </c>
      <c r="U32" s="1462">
        <f t="shared" si="13"/>
        <v>100</v>
      </c>
      <c r="V32" s="1461" t="s">
        <v>8</v>
      </c>
      <c r="W32" s="1462">
        <f t="shared" si="14"/>
        <v>100</v>
      </c>
      <c r="X32" s="1455"/>
      <c r="Y32" s="3689"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689"/>
      <c r="Q33" s="1460">
        <f t="shared" si="11"/>
        <v>111</v>
      </c>
      <c r="R33" s="1461" t="s">
        <v>8</v>
      </c>
      <c r="S33" s="1462">
        <f t="shared" si="12"/>
        <v>100</v>
      </c>
      <c r="T33" s="1461" t="s">
        <v>8</v>
      </c>
      <c r="U33" s="1462">
        <f t="shared" si="13"/>
        <v>100</v>
      </c>
      <c r="V33" s="1461" t="s">
        <v>8</v>
      </c>
      <c r="W33" s="1462">
        <f t="shared" si="14"/>
        <v>100</v>
      </c>
      <c r="X33" s="1455"/>
      <c r="Y33" s="3689"/>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689"/>
      <c r="Q34" s="1460">
        <f t="shared" si="11"/>
        <v>111</v>
      </c>
      <c r="R34" s="1461" t="s">
        <v>8</v>
      </c>
      <c r="S34" s="1462">
        <f t="shared" si="12"/>
        <v>100</v>
      </c>
      <c r="T34" s="1461" t="s">
        <v>8</v>
      </c>
      <c r="U34" s="1462">
        <f t="shared" si="13"/>
        <v>100</v>
      </c>
      <c r="V34" s="1461" t="s">
        <v>8</v>
      </c>
      <c r="W34" s="1462">
        <f t="shared" si="14"/>
        <v>100</v>
      </c>
      <c r="X34" s="1455"/>
      <c r="Y34" s="3689"/>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84" t="str">
        <f>A35</f>
        <v>成交单价（元/平方米）</v>
      </c>
      <c r="Q35" s="3684"/>
      <c r="R35" s="3800">
        <f>E35</f>
        <v>0</v>
      </c>
      <c r="S35" s="3800"/>
      <c r="T35" s="3800">
        <f>G35</f>
        <v>0</v>
      </c>
      <c r="U35" s="3800"/>
      <c r="V35" s="3800">
        <f>I35</f>
        <v>0</v>
      </c>
      <c r="W35" s="3800"/>
      <c r="X35" s="1450"/>
      <c r="Y35" s="1469"/>
      <c r="Z35" s="1450"/>
      <c r="AA35" s="1450"/>
      <c r="AB35" s="1450"/>
      <c r="AC35" s="1450"/>
    </row>
    <row r="36" spans="1:29" ht="15.7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84" t="str">
        <f>A36</f>
        <v>比较价格（元/平方米）</v>
      </c>
      <c r="Q36" s="3684"/>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690" t="str">
        <f>A37</f>
        <v>估价对象XX用房的比较价格（楼面单价，元/平方米）</v>
      </c>
      <c r="Q37" s="3691"/>
      <c r="R37" s="3799" t="e">
        <f>IF(F1="售价",ROUND(IF(D36="简单平均",AVERAGE(R36:W36),R36*F36+T36*H36+V36*J36),0),ROUND(IF(D36="简单平均",AVERAGE(R36:V36),R36*F36+T36*H36+V36*J36),1))</f>
        <v>#DIV/0!</v>
      </c>
      <c r="S37" s="3799"/>
      <c r="T37" s="3799"/>
      <c r="U37" s="3799"/>
      <c r="V37" s="3799"/>
      <c r="W37" s="3799"/>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2022-12</v>
      </c>
      <c r="D46" s="2441">
        <f>EDATE(C46,-1)</f>
        <v>44866</v>
      </c>
      <c r="E46" s="2441">
        <f t="shared" ref="E46:O46" si="16">EDATE(D46,-1)</f>
        <v>44835</v>
      </c>
      <c r="F46" s="2441">
        <f t="shared" si="16"/>
        <v>44805</v>
      </c>
      <c r="G46" s="2441">
        <f t="shared" si="16"/>
        <v>44774</v>
      </c>
      <c r="H46" s="2441">
        <f t="shared" si="16"/>
        <v>44743</v>
      </c>
      <c r="I46" s="2441">
        <f t="shared" si="16"/>
        <v>44713</v>
      </c>
      <c r="J46" s="2441">
        <f t="shared" si="16"/>
        <v>44682</v>
      </c>
      <c r="K46" s="2441">
        <f t="shared" si="16"/>
        <v>44652</v>
      </c>
      <c r="L46" s="2441">
        <f t="shared" si="16"/>
        <v>44621</v>
      </c>
      <c r="M46" s="2441">
        <f t="shared" si="16"/>
        <v>44593</v>
      </c>
      <c r="N46" s="2441">
        <f t="shared" si="16"/>
        <v>44562</v>
      </c>
      <c r="O46" s="2441">
        <f t="shared" si="16"/>
        <v>44531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44901</v>
      </c>
      <c r="H1" s="2574">
        <f>IF(C1&gt;C13,0,MATCH(C1,C$13:C$109,-1))+IF(SUMIF(C13:C109,C1,D13:D109)=0,13,12)</f>
        <v>13</v>
      </c>
      <c r="I1" s="2574">
        <f ca="1">MATCH(C2,H3:H7,1)+IF(SUMIF(H3:H7,C2,I3:I7)=0,2,1)</f>
        <v>4</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1</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3443</v>
      </c>
      <c r="E1" s="2194" t="s">
        <v>2160</v>
      </c>
      <c r="F1" s="2195">
        <f ca="1">J53</f>
        <v>44.3</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1419</v>
      </c>
      <c r="C2" s="3169"/>
      <c r="D2" s="3170"/>
      <c r="E2" s="3171"/>
      <c r="F2" s="3171"/>
      <c r="G2" s="3165"/>
      <c r="H2" s="1892"/>
      <c r="I2" s="1892"/>
      <c r="J2" s="1892"/>
      <c r="K2" s="1893"/>
      <c r="L2" s="1892"/>
      <c r="M2" s="1892"/>
    </row>
    <row r="3" spans="1:33" ht="18" customHeight="1" thickBot="1">
      <c r="A3" s="805" t="s">
        <v>1526</v>
      </c>
      <c r="B3" s="806">
        <f ca="1">IF(ISERROR(B2*10000/F43),0,ROUND(B2*10000/F43,0))</f>
        <v>2294</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102</v>
      </c>
      <c r="D5" s="2299" t="s">
        <v>2239</v>
      </c>
      <c r="E5" s="2293"/>
      <c r="F5" s="2294"/>
      <c r="G5" s="1897"/>
      <c r="H5" s="754">
        <v>1</v>
      </c>
      <c r="I5" s="755" t="s">
        <v>2236</v>
      </c>
      <c r="J5" s="55">
        <f ca="1">J6+J10+J12</f>
        <v>0</v>
      </c>
      <c r="K5" s="2299" t="s">
        <v>2239</v>
      </c>
      <c r="L5" s="2293"/>
      <c r="M5" s="2294"/>
    </row>
    <row r="6" spans="1:33" ht="18" customHeight="1">
      <c r="A6" s="1698" t="s">
        <v>1623</v>
      </c>
      <c r="B6" s="3774" t="s">
        <v>2241</v>
      </c>
      <c r="C6" s="756">
        <f ca="1">ROUND(F6*F8*F7*(1-F9)/10000,0)</f>
        <v>102</v>
      </c>
      <c r="D6" s="2300" t="s">
        <v>2240</v>
      </c>
      <c r="E6" s="757" t="s">
        <v>1537</v>
      </c>
      <c r="F6" s="758">
        <f ca="1">INDIRECT("'数据-取费表'!u"&amp;$G$1)</f>
        <v>0.5</v>
      </c>
      <c r="G6" s="1897"/>
      <c r="H6" s="2307" t="s">
        <v>2246</v>
      </c>
      <c r="I6" s="3774" t="s">
        <v>2241</v>
      </c>
      <c r="J6" s="756">
        <f ca="1">ROUND(M6*M8*M7*(1-M9)/10000,0)</f>
        <v>0</v>
      </c>
      <c r="K6" s="339" t="s">
        <v>1536</v>
      </c>
      <c r="L6" s="757" t="s">
        <v>1537</v>
      </c>
      <c r="M6" s="758">
        <f ca="1">INDIRECT("'数据-取费表'!z"&amp;$G$1)</f>
        <v>0</v>
      </c>
    </row>
    <row r="7" spans="1:33" ht="18" customHeight="1">
      <c r="A7" s="2303"/>
      <c r="B7" s="3775"/>
      <c r="C7" s="761"/>
      <c r="D7" s="762"/>
      <c r="E7" s="757" t="s">
        <v>1538</v>
      </c>
      <c r="F7" s="758">
        <f ca="1">IF(INDIRECT("'数据-取费表'!ah"&amp;$G$1)="",INDIRECT("'数据-取费表'!k"&amp;$G$1),INDIRECT("'数据-取费表'!ah"&amp;$G$1))</f>
        <v>6185.36</v>
      </c>
      <c r="G7" s="1897"/>
      <c r="H7" s="2292"/>
      <c r="I7" s="3775"/>
      <c r="J7" s="761"/>
      <c r="K7" s="762"/>
      <c r="L7" s="757" t="s">
        <v>1538</v>
      </c>
      <c r="M7" s="758">
        <f ca="1">F7</f>
        <v>6185.36</v>
      </c>
    </row>
    <row r="8" spans="1:33" ht="18" customHeight="1">
      <c r="A8" s="2296"/>
      <c r="B8" s="3776"/>
      <c r="C8" s="761"/>
      <c r="D8" s="762"/>
      <c r="E8" s="757" t="s">
        <v>1539</v>
      </c>
      <c r="F8" s="758">
        <f ca="1">INDIRECT("'数据-取费表'!ai"&amp;$G$1)</f>
        <v>365</v>
      </c>
      <c r="G8" s="1897"/>
      <c r="H8" s="2292"/>
      <c r="I8" s="3776"/>
      <c r="J8" s="761"/>
      <c r="K8" s="762"/>
      <c r="L8" s="757" t="s">
        <v>1539</v>
      </c>
      <c r="M8" s="758">
        <f ca="1">INDIRECT("'数据-取费表'!ai"&amp;$G$1)</f>
        <v>365</v>
      </c>
    </row>
    <row r="9" spans="1:33" ht="18" customHeight="1">
      <c r="A9" s="759"/>
      <c r="B9" s="3777"/>
      <c r="C9" s="761"/>
      <c r="D9" s="762"/>
      <c r="E9" s="757" t="s">
        <v>1540</v>
      </c>
      <c r="F9" s="767">
        <f ca="1">INDIRECT("'数据-取费表'!w"&amp;$G$1)</f>
        <v>0.1</v>
      </c>
      <c r="G9" s="1897"/>
      <c r="H9" s="2308"/>
      <c r="I9" s="3776"/>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3444</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2064</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1555</v>
      </c>
      <c r="D14" s="1845" t="s">
        <v>1544</v>
      </c>
      <c r="E14" s="1846"/>
      <c r="F14" s="778"/>
      <c r="G14" s="1897"/>
      <c r="H14" s="1530" t="s">
        <v>1629</v>
      </c>
      <c r="I14" s="2063" t="s">
        <v>2541</v>
      </c>
      <c r="J14" s="53">
        <f ca="1">C29</f>
        <v>2064</v>
      </c>
      <c r="K14" s="26"/>
      <c r="L14" s="774"/>
      <c r="M14" s="775"/>
    </row>
    <row r="15" spans="1:33" s="1899" customFormat="1" ht="18" customHeight="1" thickBot="1">
      <c r="A15" s="1529" t="s">
        <v>1680</v>
      </c>
      <c r="B15" s="757" t="s">
        <v>629</v>
      </c>
      <c r="C15" s="53">
        <f ca="1">ROUND(C14*F15,0)</f>
        <v>47</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196</v>
      </c>
      <c r="K16" s="1689" t="s">
        <v>1549</v>
      </c>
      <c r="L16" s="2289"/>
      <c r="M16" s="2294"/>
    </row>
    <row r="17" spans="1:33" s="1899" customFormat="1" ht="18" customHeight="1">
      <c r="A17" s="1529" t="s">
        <v>1682</v>
      </c>
      <c r="B17" s="757" t="s">
        <v>635</v>
      </c>
      <c r="C17" s="53">
        <f ca="1">ROUND(F17*(F43+INDIRECT("'数据-取费表'!S"&amp;$G$1))/10000,0)</f>
        <v>124</v>
      </c>
      <c r="D17" s="757" t="s">
        <v>1550</v>
      </c>
      <c r="E17" s="757" t="s">
        <v>1551</v>
      </c>
      <c r="F17" s="56">
        <f>'数据-取费表'!B35</f>
        <v>200</v>
      </c>
      <c r="G17" s="3166"/>
      <c r="H17" s="1530" t="s">
        <v>1629</v>
      </c>
      <c r="I17" s="757" t="s">
        <v>638</v>
      </c>
      <c r="J17" s="2924">
        <f ca="1">ROUND(IF(AND(项目基本情况!B11="自然人",项目基本情况!B10="北京市"),J6*M17/(1+'数据-取费表'!C42),J18+J19+J20),0)</f>
        <v>175</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23</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1749</v>
      </c>
      <c r="D19" s="259" t="s">
        <v>1556</v>
      </c>
      <c r="E19" s="1848"/>
      <c r="F19" s="56"/>
      <c r="G19" s="1897"/>
      <c r="H19" s="1529" t="s">
        <v>1680</v>
      </c>
      <c r="I19" s="757" t="s">
        <v>1557</v>
      </c>
      <c r="J19" s="53">
        <f ca="1">IF(K19="按租金收入计税",ROUND(J6*M19/(1+'数据-取费表'!C42),1),ROUND(C29*F33*0.7,1))</f>
        <v>173.4</v>
      </c>
      <c r="K19" s="783" t="s">
        <v>647</v>
      </c>
      <c r="L19" s="757" t="s">
        <v>1546</v>
      </c>
      <c r="M19" s="782">
        <f>IF(K19="按租金收入计税",'数据-取费表'!B51,'数据-取费表'!B50)</f>
        <v>1.2E-2</v>
      </c>
    </row>
    <row r="20" spans="1:33" s="1899" customFormat="1" ht="18" customHeight="1">
      <c r="A20" s="1530" t="s">
        <v>1684</v>
      </c>
      <c r="B20" s="757" t="s">
        <v>648</v>
      </c>
      <c r="C20" s="53">
        <f ca="1">ROUND(C19*F20,0)</f>
        <v>35</v>
      </c>
      <c r="D20" s="784" t="s">
        <v>1558</v>
      </c>
      <c r="E20" s="757" t="s">
        <v>1546</v>
      </c>
      <c r="F20" s="782">
        <f>'数据-取费表'!B37</f>
        <v>0.02</v>
      </c>
      <c r="G20" s="3166"/>
      <c r="H20" s="1532" t="s">
        <v>1675</v>
      </c>
      <c r="I20" s="339" t="s">
        <v>1559</v>
      </c>
      <c r="J20" s="54">
        <f ca="1">ROUND(M20*M21/10000,0)</f>
        <v>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1301.26</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单利计息。建造成本、管理费用、销售费用产生的利息。</v>
      </c>
      <c r="E22" s="1848"/>
      <c r="F22" s="56"/>
      <c r="G22" s="1897"/>
      <c r="H22" s="1530" t="s">
        <v>1684</v>
      </c>
      <c r="I22" s="757" t="s">
        <v>1567</v>
      </c>
      <c r="J22" s="53">
        <f ca="1">ROUND(J14*M22,0)</f>
        <v>21</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37</v>
      </c>
      <c r="D23" s="2343" t="str">
        <f>IF(F23&lt;=1,"(建造成本+管理费用)×利率×(建设周期÷2)","(建造成本+管理费用)×((1+利率)^(建设周期÷2)-1)")</f>
        <v>(建造成本+管理费用)×利率×(建设周期÷2)</v>
      </c>
      <c r="E23" s="757" t="s">
        <v>1569</v>
      </c>
      <c r="F23" s="615">
        <f>'数据-取费表'!B20</f>
        <v>1</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4.0000000000000002E-4</v>
      </c>
      <c r="D24" s="2343" t="str">
        <f>IF(F23&lt;=1,"销售费用×利率×(建设周期÷2)","销售费用×((1+利率)^(建设周期÷2)-1)")</f>
        <v>销售费用×利率×(建设周期÷2)</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-196</v>
      </c>
      <c r="K25" s="2322" t="s">
        <v>1576</v>
      </c>
      <c r="L25" s="2323"/>
      <c r="M25" s="2324"/>
    </row>
    <row r="26" spans="1:33" ht="18" customHeight="1">
      <c r="A26" s="1529" t="s">
        <v>1630</v>
      </c>
      <c r="B26" s="757" t="s">
        <v>2219</v>
      </c>
      <c r="C26" s="53">
        <f ca="1">ROUND((C19+C20)*F26,0)</f>
        <v>89</v>
      </c>
      <c r="D26" s="784" t="s">
        <v>1577</v>
      </c>
      <c r="E26" s="768" t="s">
        <v>1578</v>
      </c>
      <c r="F26" s="767">
        <f ca="1">INDIRECT("'数据-取费表'!q"&amp;$G$1)</f>
        <v>0.05</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1E-3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2064</v>
      </c>
      <c r="D29" s="2319"/>
      <c r="E29" s="2320"/>
      <c r="F29" s="2321"/>
      <c r="G29" s="3166"/>
      <c r="H29" s="795" t="s">
        <v>1586</v>
      </c>
      <c r="I29" s="796" t="s">
        <v>1587</v>
      </c>
      <c r="J29" s="797">
        <f ca="1">ROUND(J26/(1+F40)^F41,0)</f>
        <v>0</v>
      </c>
      <c r="K29" s="798" t="s">
        <v>1588</v>
      </c>
      <c r="L29" s="799"/>
      <c r="M29" s="800">
        <f ca="1">INDIRECT("'数据-取费表'!k"&amp;$G$1)</f>
        <v>6185.36</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43</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19</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5.4</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11.7</v>
      </c>
      <c r="D33" s="783" t="s">
        <v>3445</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2.2999999999999998</v>
      </c>
      <c r="D34" s="786" t="s">
        <v>1598</v>
      </c>
      <c r="E34" s="757" t="s">
        <v>1599</v>
      </c>
      <c r="F34" s="615">
        <f>'数据-取费表'!B52</f>
        <v>18</v>
      </c>
      <c r="G34" s="1897"/>
      <c r="H34" s="1900"/>
      <c r="I34" s="807" t="s">
        <v>1612</v>
      </c>
      <c r="J34" s="808"/>
      <c r="K34" s="1915"/>
      <c r="L34" s="1914"/>
      <c r="M34" s="1914">
        <f ca="1">B3*35/10000</f>
        <v>8.0289999999999999</v>
      </c>
    </row>
    <row r="35" spans="1:18" ht="18" customHeight="1">
      <c r="A35" s="787"/>
      <c r="B35" s="766"/>
      <c r="C35" s="69"/>
      <c r="D35" s="788"/>
      <c r="E35" s="757" t="s">
        <v>1600</v>
      </c>
      <c r="F35" s="758">
        <f ca="1">INDIRECT("'数据-取费表'!r"&amp;$G$1)</f>
        <v>1301.26</v>
      </c>
      <c r="G35" s="1897"/>
      <c r="H35" s="1900"/>
      <c r="I35" s="809" t="s">
        <v>1613</v>
      </c>
      <c r="J35" s="810">
        <f ca="1">ROUND(C13*J36,0)</f>
        <v>144</v>
      </c>
      <c r="K35" s="1913"/>
      <c r="L35" s="1912"/>
      <c r="M35" s="1912"/>
    </row>
    <row r="36" spans="1:18" ht="18" customHeight="1">
      <c r="A36" s="1530" t="s">
        <v>1684</v>
      </c>
      <c r="B36" s="757" t="s">
        <v>1601</v>
      </c>
      <c r="C36" s="53">
        <f ca="1">ROUND(C29*F36,1)</f>
        <v>20.6</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2.1</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1</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59</v>
      </c>
      <c r="D39" s="2322" t="s">
        <v>1605</v>
      </c>
      <c r="E39" s="2323"/>
      <c r="F39" s="2324"/>
      <c r="G39" s="1897"/>
      <c r="H39" s="1912"/>
      <c r="I39" s="809" t="s">
        <v>1617</v>
      </c>
      <c r="J39" s="817">
        <f ca="1">ROUND(J35/C39,3)</f>
        <v>2.4409999999999998</v>
      </c>
      <c r="K39" s="1917"/>
      <c r="L39" s="1912"/>
      <c r="M39" s="1912"/>
    </row>
    <row r="40" spans="1:18" ht="18" customHeight="1">
      <c r="A40" s="754" t="s">
        <v>1690</v>
      </c>
      <c r="B40" s="2064" t="s">
        <v>2090</v>
      </c>
      <c r="C40" s="756">
        <f ca="1">ROUND(C39*(1-((1+F42)/(1+F40))^F41)/(F40-F42),0)</f>
        <v>1419</v>
      </c>
      <c r="D40" s="786" t="s">
        <v>1606</v>
      </c>
      <c r="E40" s="757" t="s">
        <v>2205</v>
      </c>
      <c r="F40" s="767">
        <f ca="1">INDIRECT("'数据-取费表'!I"&amp;$G$1)</f>
        <v>5.5E-2</v>
      </c>
      <c r="G40" s="1897"/>
      <c r="H40" s="1897"/>
      <c r="I40" s="809" t="s">
        <v>1618</v>
      </c>
      <c r="J40" s="817">
        <f ca="1">1-J39</f>
        <v>-1.4409999999999998</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44.3</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1.4550000000000001</v>
      </c>
      <c r="K42" s="1916"/>
      <c r="L42" s="1852"/>
      <c r="M42" s="1852"/>
    </row>
    <row r="43" spans="1:18" ht="18" customHeight="1" thickBot="1">
      <c r="A43" s="795" t="s">
        <v>1586</v>
      </c>
      <c r="B43" s="796" t="s">
        <v>1609</v>
      </c>
      <c r="C43" s="797">
        <f ca="1">ROUND(C40*10000/F43,0)</f>
        <v>2294</v>
      </c>
      <c r="D43" s="798" t="s">
        <v>1610</v>
      </c>
      <c r="E43" s="799" t="s">
        <v>1611</v>
      </c>
      <c r="F43" s="800">
        <f ca="1">INDIRECT("'数据-取费表'!k"&amp;$G$1)</f>
        <v>6185.36</v>
      </c>
      <c r="G43" s="1897"/>
      <c r="H43" s="1852"/>
      <c r="I43" s="819" t="s">
        <v>1621</v>
      </c>
      <c r="J43" s="820">
        <f ca="1">1-J42</f>
        <v>-0.45500000000000007</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-1831</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3422</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v>
      </c>
      <c r="M48" s="3168"/>
      <c r="O48" s="2205" t="s">
        <v>2165</v>
      </c>
      <c r="P48" s="2206" t="s">
        <v>2191</v>
      </c>
      <c r="Q48" s="2207">
        <f ca="1">C40+J29</f>
        <v>1419</v>
      </c>
      <c r="R48" s="2206" t="s">
        <v>2166</v>
      </c>
    </row>
    <row r="49" spans="1:18" s="1894" customFormat="1" ht="18" customHeight="1" thickBot="1">
      <c r="A49" s="759"/>
      <c r="B49" s="760"/>
      <c r="C49" s="761"/>
      <c r="D49" s="762"/>
      <c r="E49" s="757" t="s">
        <v>1538</v>
      </c>
      <c r="F49" s="758">
        <f ca="1">F7</f>
        <v>6185.36</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2064</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-1627</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44.3</v>
      </c>
      <c r="K53" s="3812" t="s">
        <v>2664</v>
      </c>
      <c r="L53" s="3813"/>
      <c r="M53" s="3168"/>
      <c r="O53" s="2208" t="s">
        <v>2174</v>
      </c>
      <c r="P53" s="2206" t="s">
        <v>2175</v>
      </c>
      <c r="Q53" s="2207">
        <f ca="1">J53</f>
        <v>44.3</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1419</v>
      </c>
      <c r="R54" s="2210" t="s">
        <v>2178</v>
      </c>
    </row>
    <row r="55" spans="1:18" s="1894" customFormat="1" ht="18" customHeight="1" thickTop="1" thickBot="1">
      <c r="A55" s="770">
        <v>2</v>
      </c>
      <c r="B55" s="771" t="s">
        <v>626</v>
      </c>
      <c r="C55" s="772">
        <f ca="1">C13</f>
        <v>2064</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2064</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25</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1419</v>
      </c>
      <c r="R57" s="2206" t="s">
        <v>2166</v>
      </c>
    </row>
    <row r="58" spans="1:18" s="1894" customFormat="1" ht="28.5" customHeight="1" thickBot="1">
      <c r="A58" s="1530" t="s">
        <v>1623</v>
      </c>
      <c r="B58" s="757" t="s">
        <v>638</v>
      </c>
      <c r="C58" s="2924">
        <f ca="1">ROUND(IF(AND(项目基本情况!B11="自然人",项目基本情况!B10="北京市"),C48*F58/(1+'数据-取费表'!C42),C59+C60+C61),0)</f>
        <v>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2.2999999999999998</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1301.26</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20.6</v>
      </c>
      <c r="D63" s="2401" t="s">
        <v>1602</v>
      </c>
      <c r="E63" s="757" t="s">
        <v>1546</v>
      </c>
      <c r="F63" s="789">
        <f t="shared" ca="1" si="0"/>
        <v>0.01</v>
      </c>
      <c r="I63" s="2739" t="s">
        <v>2156</v>
      </c>
      <c r="J63" s="2740">
        <v>70</v>
      </c>
      <c r="K63" s="2740">
        <v>50</v>
      </c>
      <c r="L63" s="2740">
        <v>80</v>
      </c>
      <c r="M63" s="2742">
        <v>0.02</v>
      </c>
      <c r="O63" s="2205" t="s">
        <v>2177</v>
      </c>
      <c r="P63" s="2206" t="s">
        <v>2194</v>
      </c>
      <c r="Q63" s="2207">
        <f ca="1">Q57+Q58</f>
        <v>1419</v>
      </c>
      <c r="R63" s="2210" t="s">
        <v>2178</v>
      </c>
    </row>
    <row r="64" spans="1:18" s="1894" customFormat="1" ht="16.5" thickBot="1">
      <c r="A64" s="1530" t="s">
        <v>1685</v>
      </c>
      <c r="B64" s="757" t="s">
        <v>661</v>
      </c>
      <c r="C64" s="53">
        <f ca="1">ROUND(C55*F64,1)</f>
        <v>2.1</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-25</v>
      </c>
      <c r="D66" s="2400" t="s">
        <v>682</v>
      </c>
      <c r="E66" s="2399"/>
      <c r="F66" s="792"/>
      <c r="K66" s="1920"/>
      <c r="O66" s="2205" t="s">
        <v>2165</v>
      </c>
      <c r="P66" s="2206" t="s">
        <v>2195</v>
      </c>
      <c r="Q66" s="2207">
        <f ca="1">C40+J29</f>
        <v>1419</v>
      </c>
      <c r="R66" s="2206" t="s">
        <v>2166</v>
      </c>
    </row>
    <row r="67" spans="1:18" s="1894" customFormat="1" ht="20.25" thickBot="1">
      <c r="A67" s="754" t="s">
        <v>1579</v>
      </c>
      <c r="B67" s="2064" t="s">
        <v>2090</v>
      </c>
      <c r="C67" s="756">
        <f ca="1">ROUND(C66*(1-((1+F69)/(1+F67))^F68)/(F67-F69),0)</f>
        <v>-412</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44.3</v>
      </c>
      <c r="O68" s="2208" t="s">
        <v>2169</v>
      </c>
      <c r="P68" s="2206" t="s">
        <v>2199</v>
      </c>
      <c r="Q68" s="2212">
        <f ca="1">L51</f>
        <v>-1627</v>
      </c>
      <c r="R68" s="2213" t="s">
        <v>2202</v>
      </c>
    </row>
    <row r="69" spans="1:18" ht="20.25" thickBot="1">
      <c r="A69" s="763"/>
      <c r="B69" s="764"/>
      <c r="C69" s="765"/>
      <c r="D69" s="788"/>
      <c r="E69" s="757" t="s">
        <v>692</v>
      </c>
      <c r="F69" s="2178"/>
      <c r="O69" s="2208" t="s">
        <v>2170</v>
      </c>
      <c r="P69" s="2214" t="s">
        <v>2184</v>
      </c>
      <c r="Q69" s="2207">
        <f ca="1">ROUND(Q70-Q71*Q72,0)</f>
        <v>-85</v>
      </c>
      <c r="R69" s="2210"/>
    </row>
    <row r="70" spans="1:18" ht="15.75" thickBot="1">
      <c r="A70" s="795" t="s">
        <v>1586</v>
      </c>
      <c r="B70" s="796" t="s">
        <v>1609</v>
      </c>
      <c r="C70" s="797">
        <f ca="1">ROUND(C67*10000/F70,0)</f>
        <v>-666</v>
      </c>
      <c r="D70" s="798" t="s">
        <v>1610</v>
      </c>
      <c r="E70" s="799" t="s">
        <v>1611</v>
      </c>
      <c r="F70" s="800">
        <f ca="1">F43</f>
        <v>6185.36</v>
      </c>
      <c r="O70" s="2208" t="s">
        <v>2185</v>
      </c>
      <c r="P70" s="2214" t="s">
        <v>2186</v>
      </c>
      <c r="Q70" s="2207">
        <f ca="1">C39</f>
        <v>59</v>
      </c>
      <c r="R70" s="2206" t="s">
        <v>2166</v>
      </c>
    </row>
    <row r="71" spans="1:18" ht="15.75" thickBot="1">
      <c r="O71" s="2208" t="s">
        <v>2187</v>
      </c>
      <c r="P71" s="2214" t="s">
        <v>2188</v>
      </c>
      <c r="Q71" s="2207">
        <f ca="1">C13</f>
        <v>2064</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1419</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0"/>
  <sheetViews>
    <sheetView topLeftCell="A7" workbookViewId="0">
      <selection activeCell="R32" sqref="R32"/>
    </sheetView>
  </sheetViews>
  <sheetFormatPr defaultRowHeight="13.5"/>
  <cols>
    <col min="1" max="1" width="25.375" customWidth="1"/>
    <col min="6" max="6" width="10.625" customWidth="1"/>
  </cols>
  <sheetData>
    <row r="1" spans="1:18">
      <c r="A1" s="3457" t="s">
        <v>3160</v>
      </c>
      <c r="B1" s="3457" t="s">
        <v>3161</v>
      </c>
      <c r="C1" s="3457" t="s">
        <v>3162</v>
      </c>
      <c r="D1" s="3457" t="s">
        <v>3163</v>
      </c>
      <c r="E1" s="3457" t="s">
        <v>3164</v>
      </c>
      <c r="F1" s="3457" t="s">
        <v>1823</v>
      </c>
      <c r="G1" s="3457" t="s">
        <v>3165</v>
      </c>
      <c r="H1" s="3457" t="s">
        <v>3166</v>
      </c>
      <c r="I1" s="3457" t="s">
        <v>3167</v>
      </c>
      <c r="J1" s="3457" t="s">
        <v>3168</v>
      </c>
      <c r="K1" s="3457" t="s">
        <v>3169</v>
      </c>
      <c r="L1" s="3457" t="s">
        <v>3170</v>
      </c>
      <c r="M1" s="3457" t="s">
        <v>3171</v>
      </c>
      <c r="N1" s="3457" t="s">
        <v>3172</v>
      </c>
      <c r="O1" s="3457" t="s">
        <v>3173</v>
      </c>
      <c r="P1" s="3457" t="s">
        <v>3174</v>
      </c>
      <c r="Q1" s="3457" t="s">
        <v>3175</v>
      </c>
    </row>
    <row r="2" spans="1:18">
      <c r="A2" s="3457" t="s">
        <v>3176</v>
      </c>
      <c r="B2" s="3457" t="s">
        <v>3177</v>
      </c>
      <c r="C2" s="3457" t="s">
        <v>3178</v>
      </c>
      <c r="D2" s="3457">
        <v>23736.73</v>
      </c>
      <c r="E2" s="3457">
        <v>71210.19</v>
      </c>
      <c r="F2" s="3457" t="s">
        <v>3179</v>
      </c>
      <c r="G2" s="3457" t="s">
        <v>3180</v>
      </c>
      <c r="H2" s="3457" t="s">
        <v>3181</v>
      </c>
      <c r="I2" s="3457" t="s">
        <v>3182</v>
      </c>
      <c r="J2" s="3457" t="s">
        <v>3183</v>
      </c>
      <c r="K2" s="3457" t="s">
        <v>3183</v>
      </c>
      <c r="L2" s="3457">
        <v>28788</v>
      </c>
      <c r="M2" s="3457">
        <v>28788</v>
      </c>
      <c r="N2" s="3457">
        <v>4042.68</v>
      </c>
      <c r="O2" s="3457">
        <v>0</v>
      </c>
      <c r="P2" s="3457" t="s">
        <v>3184</v>
      </c>
      <c r="Q2" s="3457" t="s">
        <v>3185</v>
      </c>
    </row>
    <row r="3" spans="1:18">
      <c r="A3" s="3457" t="s">
        <v>3186</v>
      </c>
      <c r="B3" s="3457" t="s">
        <v>3177</v>
      </c>
      <c r="C3" s="3457" t="s">
        <v>3178</v>
      </c>
      <c r="D3" s="3457">
        <v>17909.02</v>
      </c>
      <c r="E3" s="3457">
        <v>62681.57</v>
      </c>
      <c r="F3" s="3457" t="s">
        <v>3187</v>
      </c>
      <c r="G3" s="3457" t="s">
        <v>3180</v>
      </c>
      <c r="H3" s="3457" t="s">
        <v>3181</v>
      </c>
      <c r="I3" s="3457" t="s">
        <v>3182</v>
      </c>
      <c r="J3" s="3457" t="s">
        <v>3183</v>
      </c>
      <c r="K3" s="3457" t="s">
        <v>3183</v>
      </c>
      <c r="L3" s="3457">
        <v>23880</v>
      </c>
      <c r="M3" s="3457">
        <v>23880</v>
      </c>
      <c r="N3" s="3457">
        <v>3809.73</v>
      </c>
      <c r="O3" s="3457">
        <v>0</v>
      </c>
      <c r="P3" s="3457" t="s">
        <v>3188</v>
      </c>
      <c r="Q3" s="3457" t="s">
        <v>3185</v>
      </c>
    </row>
    <row r="4" spans="1:18">
      <c r="A4" s="3457" t="s">
        <v>3189</v>
      </c>
      <c r="B4" s="3457" t="s">
        <v>3177</v>
      </c>
      <c r="C4" s="3457" t="s">
        <v>3178</v>
      </c>
      <c r="D4" s="3457">
        <v>33519.46</v>
      </c>
      <c r="E4" s="3457">
        <v>97206.43</v>
      </c>
      <c r="F4" s="3457" t="s">
        <v>3190</v>
      </c>
      <c r="G4" s="3457" t="s">
        <v>3180</v>
      </c>
      <c r="H4" s="3457" t="s">
        <v>3181</v>
      </c>
      <c r="I4" s="3457" t="s">
        <v>3182</v>
      </c>
      <c r="J4" s="3457" t="s">
        <v>3183</v>
      </c>
      <c r="K4" s="3457" t="s">
        <v>3183</v>
      </c>
      <c r="L4" s="3457">
        <v>37730</v>
      </c>
      <c r="M4" s="3457">
        <v>37730</v>
      </c>
      <c r="N4" s="3457">
        <v>3881.43</v>
      </c>
      <c r="O4" s="3457">
        <v>0</v>
      </c>
      <c r="P4" s="3457" t="s">
        <v>3191</v>
      </c>
      <c r="Q4" s="3457" t="s">
        <v>3185</v>
      </c>
    </row>
    <row r="5" spans="1:18">
      <c r="A5" s="3457" t="s">
        <v>3192</v>
      </c>
      <c r="B5" s="3457" t="s">
        <v>3177</v>
      </c>
      <c r="C5" s="3457" t="s">
        <v>3178</v>
      </c>
      <c r="D5" s="3457">
        <v>50027.57</v>
      </c>
      <c r="E5" s="3457">
        <v>145079.95000000001</v>
      </c>
      <c r="F5" s="3457" t="s">
        <v>3193</v>
      </c>
      <c r="G5" s="3457" t="s">
        <v>3180</v>
      </c>
      <c r="H5" s="3457" t="s">
        <v>3181</v>
      </c>
      <c r="I5" s="3457" t="s">
        <v>3182</v>
      </c>
      <c r="J5" s="3457" t="s">
        <v>3183</v>
      </c>
      <c r="K5" s="3457" t="s">
        <v>3183</v>
      </c>
      <c r="L5" s="3457">
        <v>59854</v>
      </c>
      <c r="M5" s="3457">
        <v>59854</v>
      </c>
      <c r="N5" s="3457">
        <v>4125.59</v>
      </c>
      <c r="O5" s="3457">
        <v>0</v>
      </c>
      <c r="P5" s="3457" t="s">
        <v>3194</v>
      </c>
      <c r="Q5" s="3457" t="s">
        <v>3185</v>
      </c>
    </row>
    <row r="6" spans="1:18">
      <c r="A6" s="3457" t="s">
        <v>3195</v>
      </c>
      <c r="B6" s="3457" t="s">
        <v>3177</v>
      </c>
      <c r="C6" s="3457" t="s">
        <v>3178</v>
      </c>
      <c r="D6" s="3457">
        <v>41705.629999999997</v>
      </c>
      <c r="E6" s="3457">
        <v>150140.26999999999</v>
      </c>
      <c r="F6" s="3457" t="s">
        <v>3196</v>
      </c>
      <c r="G6" s="3457" t="s">
        <v>3180</v>
      </c>
      <c r="H6" s="3457" t="s">
        <v>3181</v>
      </c>
      <c r="I6" s="3457" t="s">
        <v>3182</v>
      </c>
      <c r="J6" s="3457" t="s">
        <v>3183</v>
      </c>
      <c r="K6" s="3457" t="s">
        <v>3183</v>
      </c>
      <c r="L6" s="3457">
        <v>50111</v>
      </c>
      <c r="M6" s="3457">
        <v>50111</v>
      </c>
      <c r="N6" s="3457">
        <v>3337.61</v>
      </c>
      <c r="O6" s="3457">
        <v>0</v>
      </c>
      <c r="P6" s="3457" t="s">
        <v>3197</v>
      </c>
      <c r="Q6" s="3457" t="s">
        <v>3185</v>
      </c>
    </row>
    <row r="7" spans="1:18">
      <c r="A7" s="3457" t="s">
        <v>3198</v>
      </c>
      <c r="B7" s="3457" t="s">
        <v>3177</v>
      </c>
      <c r="C7" s="3457" t="s">
        <v>3178</v>
      </c>
      <c r="D7" s="3457">
        <v>41965.57</v>
      </c>
      <c r="E7" s="3457">
        <v>113307.04</v>
      </c>
      <c r="F7" s="3457" t="s">
        <v>3199</v>
      </c>
      <c r="G7" s="3457" t="s">
        <v>3180</v>
      </c>
      <c r="H7" s="3457" t="s">
        <v>3181</v>
      </c>
      <c r="I7" s="3457" t="s">
        <v>3182</v>
      </c>
      <c r="J7" s="3457" t="s">
        <v>3183</v>
      </c>
      <c r="K7" s="3457" t="s">
        <v>3183</v>
      </c>
      <c r="L7" s="3457">
        <v>50174</v>
      </c>
      <c r="M7" s="3457">
        <v>50174</v>
      </c>
      <c r="N7" s="3457">
        <v>4428.1400000000003</v>
      </c>
      <c r="O7" s="3457">
        <v>0</v>
      </c>
      <c r="P7" s="3457" t="s">
        <v>3200</v>
      </c>
      <c r="Q7" s="3457" t="s">
        <v>3185</v>
      </c>
    </row>
    <row r="8" spans="1:18">
      <c r="A8" s="3457" t="s">
        <v>3201</v>
      </c>
      <c r="B8" s="3457" t="s">
        <v>3177</v>
      </c>
      <c r="C8" s="3457" t="s">
        <v>3178</v>
      </c>
      <c r="D8" s="3457">
        <v>26354.28</v>
      </c>
      <c r="E8" s="3457">
        <v>79062.84</v>
      </c>
      <c r="F8" s="3457" t="s">
        <v>3202</v>
      </c>
      <c r="G8" s="3457" t="s">
        <v>3180</v>
      </c>
      <c r="H8" s="3457" t="s">
        <v>3181</v>
      </c>
      <c r="I8" s="3457" t="s">
        <v>3182</v>
      </c>
      <c r="J8" s="3457" t="s">
        <v>3183</v>
      </c>
      <c r="K8" s="3457" t="s">
        <v>3183</v>
      </c>
      <c r="L8" s="3457">
        <v>31062</v>
      </c>
      <c r="M8" s="3457">
        <v>31062</v>
      </c>
      <c r="N8" s="3457">
        <v>3928.77</v>
      </c>
      <c r="O8" s="3457">
        <v>0</v>
      </c>
      <c r="P8" s="3457" t="s">
        <v>3203</v>
      </c>
      <c r="Q8" s="3457" t="s">
        <v>3185</v>
      </c>
    </row>
    <row r="9" spans="1:18" s="3460" customFormat="1">
      <c r="A9" s="3459" t="s">
        <v>3481</v>
      </c>
      <c r="B9" s="3459" t="s">
        <v>3177</v>
      </c>
      <c r="C9" s="3459" t="s">
        <v>3205</v>
      </c>
      <c r="D9" s="3459">
        <v>26176.63</v>
      </c>
      <c r="E9" s="3459">
        <v>95544.7</v>
      </c>
      <c r="F9" s="3459" t="s">
        <v>3206</v>
      </c>
      <c r="G9" s="3459" t="s">
        <v>3180</v>
      </c>
      <c r="H9" s="3459" t="s">
        <v>3207</v>
      </c>
      <c r="I9" s="3459" t="s">
        <v>3208</v>
      </c>
      <c r="J9" s="3459" t="s">
        <v>3209</v>
      </c>
      <c r="K9" s="3459" t="s">
        <v>3209</v>
      </c>
      <c r="L9" s="3459">
        <v>37021</v>
      </c>
      <c r="M9" s="3459">
        <v>37021</v>
      </c>
      <c r="N9" s="3459">
        <v>3874.73</v>
      </c>
      <c r="O9" s="3459">
        <v>0</v>
      </c>
      <c r="P9" s="3459" t="s">
        <v>3210</v>
      </c>
      <c r="Q9" s="3459" t="s">
        <v>3211</v>
      </c>
      <c r="R9" s="3460">
        <f>N9*3.65*666.67/10000</f>
        <v>942.85568092149981</v>
      </c>
    </row>
    <row r="10" spans="1:18">
      <c r="A10" s="3457" t="s">
        <v>3212</v>
      </c>
      <c r="B10" s="3457" t="s">
        <v>3177</v>
      </c>
      <c r="C10" s="3457" t="s">
        <v>3205</v>
      </c>
      <c r="D10" s="3457">
        <v>96024.98</v>
      </c>
      <c r="E10" s="3457">
        <v>288074.94</v>
      </c>
      <c r="F10" s="3457" t="s">
        <v>3213</v>
      </c>
      <c r="G10" s="3457" t="s">
        <v>3180</v>
      </c>
      <c r="H10" s="3457" t="s">
        <v>3181</v>
      </c>
      <c r="I10" s="3457" t="s">
        <v>3214</v>
      </c>
      <c r="J10" s="3457" t="s">
        <v>3215</v>
      </c>
      <c r="K10" s="3457" t="s">
        <v>3215</v>
      </c>
      <c r="L10" s="3457">
        <v>115944</v>
      </c>
      <c r="M10" s="3457">
        <v>115944</v>
      </c>
      <c r="N10" s="3457">
        <v>4024.79</v>
      </c>
      <c r="O10" s="3457">
        <v>0</v>
      </c>
      <c r="P10" s="3457" t="s">
        <v>3216</v>
      </c>
      <c r="Q10" s="3457" t="s">
        <v>3211</v>
      </c>
    </row>
    <row r="11" spans="1:18">
      <c r="A11" s="3457" t="s">
        <v>3217</v>
      </c>
      <c r="B11" s="3457" t="s">
        <v>3177</v>
      </c>
      <c r="C11" s="3457" t="s">
        <v>3205</v>
      </c>
      <c r="D11" s="3457">
        <v>28338.23</v>
      </c>
      <c r="E11" s="3457">
        <v>102017.63</v>
      </c>
      <c r="F11" s="3457" t="s">
        <v>3218</v>
      </c>
      <c r="G11" s="3457" t="s">
        <v>3180</v>
      </c>
      <c r="H11" s="3457" t="s">
        <v>3181</v>
      </c>
      <c r="I11" s="3457" t="s">
        <v>3214</v>
      </c>
      <c r="J11" s="3457" t="s">
        <v>3215</v>
      </c>
      <c r="K11" s="3457" t="s">
        <v>3215</v>
      </c>
      <c r="L11" s="3457">
        <v>38606</v>
      </c>
      <c r="M11" s="3457">
        <v>38606</v>
      </c>
      <c r="N11" s="3457">
        <v>3784.25</v>
      </c>
      <c r="O11" s="3457">
        <v>0</v>
      </c>
      <c r="P11" s="3457" t="s">
        <v>3219</v>
      </c>
      <c r="Q11" s="3457" t="s">
        <v>3220</v>
      </c>
    </row>
    <row r="12" spans="1:18">
      <c r="A12" s="3457" t="s">
        <v>3221</v>
      </c>
      <c r="B12" s="3457" t="s">
        <v>3177</v>
      </c>
      <c r="C12" s="3457" t="s">
        <v>3205</v>
      </c>
      <c r="D12" s="3457">
        <v>52086.78</v>
      </c>
      <c r="E12" s="3457">
        <v>156260.34</v>
      </c>
      <c r="F12" s="3457" t="s">
        <v>3202</v>
      </c>
      <c r="G12" s="3457" t="s">
        <v>3180</v>
      </c>
      <c r="H12" s="3457" t="s">
        <v>3181</v>
      </c>
      <c r="I12" s="3457" t="s">
        <v>3214</v>
      </c>
      <c r="J12" s="3457" t="s">
        <v>3215</v>
      </c>
      <c r="K12" s="3457" t="s">
        <v>3215</v>
      </c>
      <c r="L12" s="3457">
        <v>63458</v>
      </c>
      <c r="M12" s="3457">
        <v>63458</v>
      </c>
      <c r="N12" s="3457">
        <v>4061.04</v>
      </c>
      <c r="O12" s="3457">
        <v>0</v>
      </c>
      <c r="P12" s="3457" t="s">
        <v>3222</v>
      </c>
      <c r="Q12" s="3457" t="s">
        <v>3211</v>
      </c>
    </row>
    <row r="13" spans="1:18" s="3462" customFormat="1">
      <c r="A13" s="3461" t="s">
        <v>3223</v>
      </c>
      <c r="B13" s="3461" t="s">
        <v>3177</v>
      </c>
      <c r="C13" s="3461" t="s">
        <v>3205</v>
      </c>
      <c r="D13" s="3461">
        <v>18163.759999999998</v>
      </c>
      <c r="E13" s="3461">
        <v>90818.8</v>
      </c>
      <c r="F13" s="3461" t="s">
        <v>3224</v>
      </c>
      <c r="G13" s="3461" t="s">
        <v>3180</v>
      </c>
      <c r="H13" s="3461" t="s">
        <v>3181</v>
      </c>
      <c r="I13" s="3461" t="s">
        <v>3214</v>
      </c>
      <c r="J13" s="3461" t="s">
        <v>3215</v>
      </c>
      <c r="K13" s="3461" t="s">
        <v>3215</v>
      </c>
      <c r="L13" s="3461">
        <v>42160</v>
      </c>
      <c r="M13" s="3461">
        <v>42160</v>
      </c>
      <c r="N13" s="3461">
        <v>4642.21</v>
      </c>
      <c r="O13" s="3461">
        <v>0</v>
      </c>
      <c r="P13" s="3461" t="s">
        <v>3225</v>
      </c>
      <c r="Q13" s="3461" t="s">
        <v>3226</v>
      </c>
    </row>
    <row r="14" spans="1:18">
      <c r="A14" s="3457" t="s">
        <v>3227</v>
      </c>
      <c r="B14" s="3457" t="s">
        <v>3177</v>
      </c>
      <c r="C14" s="3457" t="s">
        <v>3205</v>
      </c>
      <c r="D14" s="3457">
        <v>34791.67</v>
      </c>
      <c r="E14" s="3457">
        <v>135687.51</v>
      </c>
      <c r="F14" s="3457" t="s">
        <v>3228</v>
      </c>
      <c r="G14" s="3457" t="s">
        <v>3180</v>
      </c>
      <c r="H14" s="3457" t="s">
        <v>3181</v>
      </c>
      <c r="I14" s="3457" t="s">
        <v>3214</v>
      </c>
      <c r="J14" s="3457" t="s">
        <v>3215</v>
      </c>
      <c r="K14" s="3457" t="s">
        <v>3215</v>
      </c>
      <c r="L14" s="3457">
        <v>44376</v>
      </c>
      <c r="M14" s="3457">
        <v>44376</v>
      </c>
      <c r="N14" s="3457">
        <v>3270.46</v>
      </c>
      <c r="O14" s="3457">
        <v>0</v>
      </c>
      <c r="P14" s="3457" t="s">
        <v>3222</v>
      </c>
      <c r="Q14" s="3457" t="s">
        <v>3226</v>
      </c>
    </row>
    <row r="15" spans="1:18">
      <c r="A15" s="3457" t="s">
        <v>3229</v>
      </c>
      <c r="B15" s="3457" t="s">
        <v>3177</v>
      </c>
      <c r="C15" s="3457" t="s">
        <v>3178</v>
      </c>
      <c r="D15" s="3457">
        <v>32867.879999999997</v>
      </c>
      <c r="E15" s="3457">
        <v>82169.7</v>
      </c>
      <c r="F15" s="3457" t="s">
        <v>3230</v>
      </c>
      <c r="G15" s="3457" t="s">
        <v>3180</v>
      </c>
      <c r="H15" s="3457" t="s">
        <v>3181</v>
      </c>
      <c r="I15" s="3457" t="s">
        <v>3182</v>
      </c>
      <c r="J15" s="3457" t="s">
        <v>3231</v>
      </c>
      <c r="K15" s="3457" t="s">
        <v>3231</v>
      </c>
      <c r="L15" s="3457">
        <v>38243</v>
      </c>
      <c r="M15" s="3457">
        <v>38243</v>
      </c>
      <c r="N15" s="3457">
        <v>4654.1499999999996</v>
      </c>
      <c r="O15" s="3457">
        <v>0</v>
      </c>
      <c r="P15" s="3457" t="s">
        <v>3232</v>
      </c>
      <c r="Q15" s="3457" t="s">
        <v>3220</v>
      </c>
    </row>
    <row r="16" spans="1:18">
      <c r="A16" s="3457" t="s">
        <v>3233</v>
      </c>
      <c r="B16" s="3457" t="s">
        <v>3177</v>
      </c>
      <c r="C16" s="3457" t="s">
        <v>3178</v>
      </c>
      <c r="D16" s="3457">
        <v>49754.85</v>
      </c>
      <c r="E16" s="3457">
        <v>223896.83</v>
      </c>
      <c r="F16" s="3457" t="s">
        <v>3234</v>
      </c>
      <c r="G16" s="3457" t="s">
        <v>3180</v>
      </c>
      <c r="H16" s="3457" t="s">
        <v>3235</v>
      </c>
      <c r="I16" s="3457" t="s">
        <v>3182</v>
      </c>
      <c r="J16" s="3457" t="s">
        <v>3231</v>
      </c>
      <c r="K16" s="3457" t="s">
        <v>3231</v>
      </c>
      <c r="L16" s="3457">
        <v>78285</v>
      </c>
      <c r="M16" s="3457">
        <v>78285</v>
      </c>
      <c r="N16" s="3457">
        <v>3496.48</v>
      </c>
      <c r="O16" s="3457">
        <v>0</v>
      </c>
      <c r="P16" s="3457" t="s">
        <v>3236</v>
      </c>
      <c r="Q16" s="3457" t="s">
        <v>3211</v>
      </c>
    </row>
    <row r="17" spans="1:18">
      <c r="A17" s="3457" t="s">
        <v>3237</v>
      </c>
      <c r="B17" s="3457" t="s">
        <v>3177</v>
      </c>
      <c r="C17" s="3457" t="s">
        <v>3178</v>
      </c>
      <c r="D17" s="3457">
        <v>52860.92</v>
      </c>
      <c r="E17" s="3457">
        <v>132152.29999999999</v>
      </c>
      <c r="F17" s="3457" t="s">
        <v>3230</v>
      </c>
      <c r="G17" s="3457" t="s">
        <v>3180</v>
      </c>
      <c r="H17" s="3457" t="s">
        <v>3181</v>
      </c>
      <c r="I17" s="3457" t="s">
        <v>3182</v>
      </c>
      <c r="J17" s="3457" t="s">
        <v>3231</v>
      </c>
      <c r="K17" s="3457" t="s">
        <v>3231</v>
      </c>
      <c r="L17" s="3457">
        <v>61535</v>
      </c>
      <c r="M17" s="3457">
        <v>61535</v>
      </c>
      <c r="N17" s="3457">
        <v>4656.37</v>
      </c>
      <c r="O17" s="3457">
        <v>0</v>
      </c>
      <c r="P17" s="3457" t="s">
        <v>3232</v>
      </c>
      <c r="Q17" s="3457" t="s">
        <v>3220</v>
      </c>
    </row>
    <row r="18" spans="1:18" s="3460" customFormat="1">
      <c r="A18" s="3459" t="s">
        <v>3238</v>
      </c>
      <c r="B18" s="3459" t="s">
        <v>3177</v>
      </c>
      <c r="C18" s="3459" t="s">
        <v>3178</v>
      </c>
      <c r="D18" s="3459">
        <v>25523.57</v>
      </c>
      <c r="E18" s="3459">
        <v>107198.99</v>
      </c>
      <c r="F18" s="3459" t="s">
        <v>3239</v>
      </c>
      <c r="G18" s="3459" t="s">
        <v>3180</v>
      </c>
      <c r="H18" s="3459" t="s">
        <v>3240</v>
      </c>
      <c r="I18" s="3459" t="s">
        <v>3182</v>
      </c>
      <c r="J18" s="3459" t="s">
        <v>3231</v>
      </c>
      <c r="K18" s="3459" t="s">
        <v>3231</v>
      </c>
      <c r="L18" s="3459">
        <v>39043</v>
      </c>
      <c r="M18" s="3459">
        <v>39043</v>
      </c>
      <c r="N18" s="3459">
        <v>3642.11</v>
      </c>
      <c r="O18" s="3459">
        <v>0</v>
      </c>
      <c r="P18" s="3459" t="s">
        <v>3241</v>
      </c>
      <c r="Q18" s="3459" t="s">
        <v>3211</v>
      </c>
      <c r="R18" s="3460">
        <f>N18*4.2*666.67/10000</f>
        <v>1019.795898954</v>
      </c>
    </row>
    <row r="19" spans="1:18">
      <c r="A19" s="3457" t="s">
        <v>3242</v>
      </c>
      <c r="B19" s="3457" t="s">
        <v>3177</v>
      </c>
      <c r="C19" s="3457" t="s">
        <v>3178</v>
      </c>
      <c r="D19" s="3457">
        <v>91288.47</v>
      </c>
      <c r="E19" s="3457">
        <v>328638.49</v>
      </c>
      <c r="F19" s="3457" t="s">
        <v>3218</v>
      </c>
      <c r="G19" s="3457" t="s">
        <v>3180</v>
      </c>
      <c r="H19" s="3457" t="s">
        <v>3181</v>
      </c>
      <c r="I19" s="3457" t="s">
        <v>3182</v>
      </c>
      <c r="J19" s="3457" t="s">
        <v>3231</v>
      </c>
      <c r="K19" s="3457" t="s">
        <v>3231</v>
      </c>
      <c r="L19" s="3457">
        <v>129776</v>
      </c>
      <c r="M19" s="3457">
        <v>129776</v>
      </c>
      <c r="N19" s="3457">
        <v>3948.9</v>
      </c>
      <c r="O19" s="3457">
        <v>0</v>
      </c>
      <c r="P19" s="3457" t="s">
        <v>3243</v>
      </c>
      <c r="Q19" s="3457" t="s">
        <v>3211</v>
      </c>
    </row>
    <row r="20" spans="1:18">
      <c r="A20" s="3457" t="s">
        <v>3244</v>
      </c>
      <c r="B20" s="3457" t="s">
        <v>3177</v>
      </c>
      <c r="C20" s="3457" t="s">
        <v>3205</v>
      </c>
      <c r="D20" s="3457">
        <v>36715.14</v>
      </c>
      <c r="E20" s="3457">
        <v>91787.85</v>
      </c>
      <c r="F20" s="3457" t="s">
        <v>3245</v>
      </c>
      <c r="G20" s="3457" t="s">
        <v>3180</v>
      </c>
      <c r="H20" s="3457" t="s">
        <v>3246</v>
      </c>
      <c r="I20" s="3457" t="s">
        <v>3214</v>
      </c>
      <c r="J20" s="3457" t="s">
        <v>3247</v>
      </c>
      <c r="K20" s="3457" t="s">
        <v>3247</v>
      </c>
      <c r="L20" s="3457">
        <v>39105</v>
      </c>
      <c r="M20" s="3457">
        <v>39105</v>
      </c>
      <c r="N20" s="3457">
        <v>4260.37</v>
      </c>
      <c r="O20" s="3457">
        <v>0</v>
      </c>
      <c r="P20" s="3457" t="s">
        <v>3248</v>
      </c>
      <c r="Q20" s="3457" t="s">
        <v>3211</v>
      </c>
    </row>
    <row r="21" spans="1:18">
      <c r="A21" s="3457" t="s">
        <v>3249</v>
      </c>
      <c r="B21" s="3457" t="s">
        <v>3177</v>
      </c>
      <c r="C21" s="3457" t="s">
        <v>3178</v>
      </c>
      <c r="D21" s="3457">
        <v>46750.17</v>
      </c>
      <c r="E21" s="3457">
        <v>168300.61</v>
      </c>
      <c r="F21" s="3457" t="s">
        <v>3250</v>
      </c>
      <c r="G21" s="3457" t="s">
        <v>3180</v>
      </c>
      <c r="H21" s="3457" t="s">
        <v>3251</v>
      </c>
      <c r="I21" s="3457" t="s">
        <v>3214</v>
      </c>
      <c r="J21" s="3457" t="s">
        <v>3247</v>
      </c>
      <c r="K21" s="3457" t="s">
        <v>3247</v>
      </c>
      <c r="L21" s="3457">
        <v>53455</v>
      </c>
      <c r="M21" s="3457">
        <v>53455</v>
      </c>
      <c r="N21" s="3457">
        <v>3176.16</v>
      </c>
      <c r="O21" s="3457">
        <v>0</v>
      </c>
      <c r="P21" s="3457" t="s">
        <v>3232</v>
      </c>
      <c r="Q21" s="3457" t="s">
        <v>3220</v>
      </c>
    </row>
    <row r="22" spans="1:18">
      <c r="A22" s="3457" t="s">
        <v>3252</v>
      </c>
      <c r="B22" s="3457" t="s">
        <v>3177</v>
      </c>
      <c r="C22" s="3457" t="s">
        <v>3205</v>
      </c>
      <c r="D22" s="3457">
        <v>22234.560000000001</v>
      </c>
      <c r="E22" s="3457">
        <v>81156.14</v>
      </c>
      <c r="F22" s="3457" t="s">
        <v>3206</v>
      </c>
      <c r="G22" s="3457" t="s">
        <v>3180</v>
      </c>
      <c r="H22" s="3457" t="s">
        <v>3181</v>
      </c>
      <c r="I22" s="3457" t="s">
        <v>3214</v>
      </c>
      <c r="J22" s="3457" t="s">
        <v>3247</v>
      </c>
      <c r="K22" s="3457" t="s">
        <v>3247</v>
      </c>
      <c r="L22" s="3457">
        <v>31098</v>
      </c>
      <c r="M22" s="3457">
        <v>31098</v>
      </c>
      <c r="N22" s="3457">
        <v>3831.87</v>
      </c>
      <c r="O22" s="3457">
        <v>0</v>
      </c>
      <c r="P22" s="3457" t="s">
        <v>3253</v>
      </c>
      <c r="Q22" s="3457" t="s">
        <v>3211</v>
      </c>
    </row>
    <row r="23" spans="1:18">
      <c r="A23" s="3457" t="s">
        <v>3254</v>
      </c>
      <c r="B23" s="3457" t="s">
        <v>3177</v>
      </c>
      <c r="C23" s="3457" t="s">
        <v>3178</v>
      </c>
      <c r="D23" s="3457">
        <v>109944.27</v>
      </c>
      <c r="E23" s="3457">
        <v>340827.24</v>
      </c>
      <c r="F23" s="3457" t="s">
        <v>3255</v>
      </c>
      <c r="G23" s="3457" t="s">
        <v>3180</v>
      </c>
      <c r="H23" s="3457" t="s">
        <v>3256</v>
      </c>
      <c r="I23" s="3457" t="s">
        <v>3214</v>
      </c>
      <c r="J23" s="3457" t="s">
        <v>3247</v>
      </c>
      <c r="K23" s="3457" t="s">
        <v>3247</v>
      </c>
      <c r="L23" s="3457">
        <v>120670</v>
      </c>
      <c r="M23" s="3457">
        <v>120670</v>
      </c>
      <c r="N23" s="3457">
        <v>3540.5</v>
      </c>
      <c r="O23" s="3457">
        <v>0</v>
      </c>
      <c r="P23" s="3457" t="s">
        <v>3232</v>
      </c>
      <c r="Q23" s="3457" t="s">
        <v>3220</v>
      </c>
    </row>
    <row r="24" spans="1:18">
      <c r="A24" s="3457" t="s">
        <v>3257</v>
      </c>
      <c r="B24" s="3457" t="s">
        <v>3177</v>
      </c>
      <c r="C24" s="3457" t="s">
        <v>3205</v>
      </c>
      <c r="D24" s="3457">
        <v>55111.41</v>
      </c>
      <c r="E24" s="3457">
        <v>192889.94</v>
      </c>
      <c r="F24" s="3457" t="s">
        <v>3258</v>
      </c>
      <c r="G24" s="3457" t="s">
        <v>3180</v>
      </c>
      <c r="H24" s="3457" t="s">
        <v>3246</v>
      </c>
      <c r="I24" s="3457" t="s">
        <v>3214</v>
      </c>
      <c r="J24" s="3457" t="s">
        <v>3247</v>
      </c>
      <c r="K24" s="3457" t="s">
        <v>3247</v>
      </c>
      <c r="L24" s="3457">
        <v>72900</v>
      </c>
      <c r="M24" s="3457">
        <v>72900</v>
      </c>
      <c r="N24" s="3457">
        <v>3779.36</v>
      </c>
      <c r="O24" s="3457">
        <v>0</v>
      </c>
      <c r="P24" s="3457" t="s">
        <v>3259</v>
      </c>
      <c r="Q24" s="3457" t="s">
        <v>3211</v>
      </c>
    </row>
    <row r="25" spans="1:18">
      <c r="A25" s="3457" t="s">
        <v>3260</v>
      </c>
      <c r="B25" s="3457" t="s">
        <v>3177</v>
      </c>
      <c r="C25" s="3457" t="s">
        <v>3205</v>
      </c>
      <c r="D25" s="3457">
        <v>44598.76</v>
      </c>
      <c r="E25" s="3457">
        <v>187314.79</v>
      </c>
      <c r="F25" s="3457" t="s">
        <v>3239</v>
      </c>
      <c r="G25" s="3457" t="s">
        <v>3180</v>
      </c>
      <c r="H25" s="3457" t="s">
        <v>3181</v>
      </c>
      <c r="I25" s="3457" t="s">
        <v>3214</v>
      </c>
      <c r="J25" s="3457" t="s">
        <v>3247</v>
      </c>
      <c r="K25" s="3457" t="s">
        <v>3247</v>
      </c>
      <c r="L25" s="3457">
        <v>68154</v>
      </c>
      <c r="M25" s="3457">
        <v>68154</v>
      </c>
      <c r="N25" s="3457">
        <v>3638.47</v>
      </c>
      <c r="O25" s="3457">
        <v>0</v>
      </c>
      <c r="P25" s="3457" t="s">
        <v>3241</v>
      </c>
      <c r="Q25" s="3457" t="s">
        <v>3211</v>
      </c>
    </row>
    <row r="26" spans="1:18">
      <c r="A26" s="3457" t="s">
        <v>3261</v>
      </c>
      <c r="B26" s="3457" t="s">
        <v>3177</v>
      </c>
      <c r="C26" s="3457" t="s">
        <v>3205</v>
      </c>
      <c r="D26" s="3457">
        <v>49963.37</v>
      </c>
      <c r="E26" s="3457">
        <v>124908.43</v>
      </c>
      <c r="F26" s="3457" t="s">
        <v>3245</v>
      </c>
      <c r="G26" s="3457" t="s">
        <v>3180</v>
      </c>
      <c r="H26" s="3457" t="s">
        <v>3246</v>
      </c>
      <c r="I26" s="3457" t="s">
        <v>3214</v>
      </c>
      <c r="J26" s="3457" t="s">
        <v>3247</v>
      </c>
      <c r="K26" s="3457" t="s">
        <v>3247</v>
      </c>
      <c r="L26" s="3457">
        <v>53102</v>
      </c>
      <c r="M26" s="3457">
        <v>53102</v>
      </c>
      <c r="N26" s="3457">
        <v>4251.2700000000004</v>
      </c>
      <c r="O26" s="3457">
        <v>0</v>
      </c>
      <c r="P26" s="3457" t="s">
        <v>3262</v>
      </c>
      <c r="Q26" s="3457" t="s">
        <v>3211</v>
      </c>
    </row>
    <row r="27" spans="1:18">
      <c r="A27" s="3457" t="s">
        <v>3263</v>
      </c>
      <c r="B27" s="3457" t="s">
        <v>3177</v>
      </c>
      <c r="C27" s="3457" t="s">
        <v>3205</v>
      </c>
      <c r="D27" s="3457">
        <v>36384.58</v>
      </c>
      <c r="E27" s="3457">
        <v>127346.03</v>
      </c>
      <c r="F27" s="3457" t="s">
        <v>3264</v>
      </c>
      <c r="G27" s="3457" t="s">
        <v>3180</v>
      </c>
      <c r="H27" s="3457" t="s">
        <v>3181</v>
      </c>
      <c r="I27" s="3457" t="s">
        <v>3214</v>
      </c>
      <c r="J27" s="3457" t="s">
        <v>3247</v>
      </c>
      <c r="K27" s="3457" t="s">
        <v>3247</v>
      </c>
      <c r="L27" s="3457">
        <v>47447</v>
      </c>
      <c r="M27" s="3457">
        <v>47447</v>
      </c>
      <c r="N27" s="3457">
        <v>3725.83</v>
      </c>
      <c r="O27" s="3457">
        <v>0</v>
      </c>
      <c r="P27" s="3457" t="s">
        <v>3265</v>
      </c>
      <c r="Q27" s="3457" t="s">
        <v>3211</v>
      </c>
    </row>
    <row r="28" spans="1:18">
      <c r="A28" s="3457" t="s">
        <v>3266</v>
      </c>
      <c r="B28" s="3457" t="s">
        <v>3177</v>
      </c>
      <c r="C28" s="3457" t="s">
        <v>3178</v>
      </c>
      <c r="D28" s="3457">
        <v>43446.48</v>
      </c>
      <c r="E28" s="3457">
        <v>182475.22</v>
      </c>
      <c r="F28" s="3457" t="s">
        <v>3239</v>
      </c>
      <c r="G28" s="3457" t="s">
        <v>3180</v>
      </c>
      <c r="H28" s="3457" t="s">
        <v>3181</v>
      </c>
      <c r="I28" s="3457">
        <v>0</v>
      </c>
      <c r="J28" s="3457" t="s">
        <v>3267</v>
      </c>
      <c r="K28" s="3457" t="s">
        <v>3267</v>
      </c>
      <c r="L28" s="3457">
        <v>65971</v>
      </c>
      <c r="M28" s="3457">
        <v>65971</v>
      </c>
      <c r="N28" s="3457">
        <v>3615.34</v>
      </c>
      <c r="O28" s="3457">
        <v>0</v>
      </c>
      <c r="P28" s="3457" t="s">
        <v>3241</v>
      </c>
      <c r="Q28" s="3457" t="s">
        <v>3211</v>
      </c>
    </row>
    <row r="29" spans="1:18">
      <c r="A29" s="3457" t="s">
        <v>3268</v>
      </c>
      <c r="B29" s="3457" t="s">
        <v>3177</v>
      </c>
      <c r="C29" s="3457" t="s">
        <v>3178</v>
      </c>
      <c r="D29" s="3457">
        <v>16105.01</v>
      </c>
      <c r="E29" s="3457">
        <v>67641.039999999994</v>
      </c>
      <c r="F29" s="3457" t="s">
        <v>3239</v>
      </c>
      <c r="G29" s="3457" t="s">
        <v>3180</v>
      </c>
      <c r="H29" s="3457" t="s">
        <v>3181</v>
      </c>
      <c r="I29" s="3457">
        <v>0</v>
      </c>
      <c r="J29" s="3457" t="s">
        <v>3267</v>
      </c>
      <c r="K29" s="3457" t="s">
        <v>3267</v>
      </c>
      <c r="L29" s="3457">
        <v>24406</v>
      </c>
      <c r="M29" s="3457">
        <v>24406</v>
      </c>
      <c r="N29" s="3457">
        <v>3608.16</v>
      </c>
      <c r="O29" s="3457">
        <v>0</v>
      </c>
      <c r="P29" s="3457" t="s">
        <v>3241</v>
      </c>
      <c r="Q29" s="3457" t="s">
        <v>3211</v>
      </c>
    </row>
    <row r="30" spans="1:18">
      <c r="A30" s="3457" t="s">
        <v>3269</v>
      </c>
      <c r="B30" s="3457" t="s">
        <v>3177</v>
      </c>
      <c r="C30" s="3457" t="s">
        <v>3178</v>
      </c>
      <c r="D30" s="3457">
        <v>21135.67</v>
      </c>
      <c r="E30" s="3457">
        <v>88769.81</v>
      </c>
      <c r="F30" s="3457" t="s">
        <v>3239</v>
      </c>
      <c r="G30" s="3457" t="s">
        <v>3180</v>
      </c>
      <c r="H30" s="3457" t="s">
        <v>3181</v>
      </c>
      <c r="I30" s="3457">
        <v>0</v>
      </c>
      <c r="J30" s="3457" t="s">
        <v>3267</v>
      </c>
      <c r="K30" s="3457" t="s">
        <v>3267</v>
      </c>
      <c r="L30" s="3457">
        <v>32033</v>
      </c>
      <c r="M30" s="3457">
        <v>32033</v>
      </c>
      <c r="N30" s="3457">
        <v>3608.55</v>
      </c>
      <c r="O30" s="3457">
        <v>0</v>
      </c>
      <c r="P30" s="3457" t="s">
        <v>3241</v>
      </c>
      <c r="Q30" s="3457" t="s">
        <v>3211</v>
      </c>
    </row>
    <row r="31" spans="1:18" s="3460" customFormat="1">
      <c r="A31" s="3459" t="s">
        <v>3270</v>
      </c>
      <c r="B31" s="3459" t="s">
        <v>3177</v>
      </c>
      <c r="C31" s="3459" t="s">
        <v>3178</v>
      </c>
      <c r="D31" s="3459">
        <v>33558.800000000003</v>
      </c>
      <c r="E31" s="3459">
        <v>120811.68</v>
      </c>
      <c r="F31" s="3459" t="s">
        <v>3218</v>
      </c>
      <c r="G31" s="3459" t="s">
        <v>3180</v>
      </c>
      <c r="H31" s="3459" t="s">
        <v>3246</v>
      </c>
      <c r="I31" s="3459">
        <v>0</v>
      </c>
      <c r="J31" s="3459" t="s">
        <v>3271</v>
      </c>
      <c r="K31" s="3459" t="s">
        <v>3271</v>
      </c>
      <c r="L31" s="3459">
        <v>45644</v>
      </c>
      <c r="M31" s="3459">
        <v>45644</v>
      </c>
      <c r="N31" s="3459">
        <v>3778.11</v>
      </c>
      <c r="O31" s="3459">
        <v>0</v>
      </c>
      <c r="P31" s="3459" t="s">
        <v>3219</v>
      </c>
      <c r="Q31" s="3459" t="s">
        <v>3211</v>
      </c>
      <c r="R31" s="3460">
        <f>N31*3.6*666.67/10000</f>
        <v>906.75093373200002</v>
      </c>
    </row>
    <row r="32" spans="1:18">
      <c r="A32" s="3457" t="s">
        <v>3272</v>
      </c>
      <c r="B32" s="3457" t="s">
        <v>3177</v>
      </c>
      <c r="C32" s="3457" t="s">
        <v>3178</v>
      </c>
      <c r="D32" s="3457">
        <v>78098</v>
      </c>
      <c r="E32" s="3457">
        <v>429539</v>
      </c>
      <c r="F32" s="3457" t="s">
        <v>3273</v>
      </c>
      <c r="G32" s="3457" t="s">
        <v>3180</v>
      </c>
      <c r="H32" s="3457" t="s">
        <v>3274</v>
      </c>
      <c r="I32" s="3457">
        <v>0</v>
      </c>
      <c r="J32" s="3457" t="s">
        <v>3275</v>
      </c>
      <c r="K32" s="3457" t="s">
        <v>3275</v>
      </c>
      <c r="L32" s="3457">
        <v>134606</v>
      </c>
      <c r="M32" s="3457">
        <v>134606</v>
      </c>
      <c r="N32" s="3457">
        <v>3133.73</v>
      </c>
      <c r="O32" s="3457">
        <v>0</v>
      </c>
      <c r="P32" s="3457" t="s">
        <v>3276</v>
      </c>
      <c r="Q32" s="3457" t="s">
        <v>3226</v>
      </c>
    </row>
    <row r="33" spans="1:17">
      <c r="A33" s="3457" t="s">
        <v>3277</v>
      </c>
      <c r="B33" s="3457" t="s">
        <v>3177</v>
      </c>
      <c r="C33" s="3457" t="s">
        <v>3178</v>
      </c>
      <c r="D33" s="3457">
        <v>12632.79</v>
      </c>
      <c r="E33" s="3457">
        <v>106115.44</v>
      </c>
      <c r="F33" s="3457" t="s">
        <v>3278</v>
      </c>
      <c r="G33" s="3457" t="s">
        <v>3180</v>
      </c>
      <c r="H33" s="3457" t="s">
        <v>3279</v>
      </c>
      <c r="I33" s="3457">
        <v>0</v>
      </c>
      <c r="J33" s="3457" t="s">
        <v>3275</v>
      </c>
      <c r="K33" s="3457" t="s">
        <v>3275</v>
      </c>
      <c r="L33" s="3457">
        <v>30758</v>
      </c>
      <c r="M33" s="3457">
        <v>30758</v>
      </c>
      <c r="N33" s="3457">
        <v>2898.54</v>
      </c>
      <c r="O33" s="3457">
        <v>0</v>
      </c>
      <c r="P33" s="3457" t="s">
        <v>3280</v>
      </c>
      <c r="Q33" s="3457" t="s">
        <v>3226</v>
      </c>
    </row>
    <row r="34" spans="1:17">
      <c r="A34" s="3457" t="s">
        <v>3281</v>
      </c>
      <c r="B34" s="3457" t="s">
        <v>3177</v>
      </c>
      <c r="C34" s="3457" t="s">
        <v>3178</v>
      </c>
      <c r="D34" s="3457">
        <v>66222.91</v>
      </c>
      <c r="E34" s="3457">
        <v>231780.19</v>
      </c>
      <c r="F34" s="3457" t="s">
        <v>3264</v>
      </c>
      <c r="G34" s="3457" t="s">
        <v>3180</v>
      </c>
      <c r="H34" s="3457" t="s">
        <v>3181</v>
      </c>
      <c r="I34" s="3457">
        <v>0</v>
      </c>
      <c r="J34" s="3457" t="s">
        <v>3282</v>
      </c>
      <c r="K34" s="3457" t="s">
        <v>3282</v>
      </c>
      <c r="L34" s="3457">
        <v>74683</v>
      </c>
      <c r="M34" s="3457">
        <v>74683</v>
      </c>
      <c r="N34" s="3457">
        <v>3222.15</v>
      </c>
      <c r="O34" s="3457">
        <v>0</v>
      </c>
      <c r="P34" s="3457" t="s">
        <v>3283</v>
      </c>
      <c r="Q34" s="3457" t="s">
        <v>3211</v>
      </c>
    </row>
    <row r="35" spans="1:17">
      <c r="A35" s="3457" t="s">
        <v>3284</v>
      </c>
      <c r="B35" s="3457" t="s">
        <v>3177</v>
      </c>
      <c r="C35" s="3457" t="s">
        <v>3178</v>
      </c>
      <c r="D35" s="3457">
        <v>30119.02</v>
      </c>
      <c r="E35" s="3457">
        <v>109934.42</v>
      </c>
      <c r="F35" s="3457" t="s">
        <v>3206</v>
      </c>
      <c r="G35" s="3457" t="s">
        <v>3180</v>
      </c>
      <c r="H35" s="3457" t="s">
        <v>3181</v>
      </c>
      <c r="I35" s="3457">
        <v>0</v>
      </c>
      <c r="J35" s="3457" t="s">
        <v>3282</v>
      </c>
      <c r="K35" s="3457" t="s">
        <v>3282</v>
      </c>
      <c r="L35" s="3457">
        <v>41158</v>
      </c>
      <c r="M35" s="3457">
        <v>41158</v>
      </c>
      <c r="N35" s="3457">
        <v>3743.87</v>
      </c>
      <c r="O35" s="3457">
        <v>0</v>
      </c>
      <c r="P35" s="3457" t="s">
        <v>3253</v>
      </c>
      <c r="Q35" s="3457" t="s">
        <v>3211</v>
      </c>
    </row>
    <row r="36" spans="1:17">
      <c r="A36" s="3457" t="s">
        <v>3285</v>
      </c>
      <c r="B36" s="3457" t="s">
        <v>3177</v>
      </c>
      <c r="C36" s="3457" t="s">
        <v>3178</v>
      </c>
      <c r="D36" s="3457">
        <v>57012.9</v>
      </c>
      <c r="E36" s="3457">
        <v>114025.8</v>
      </c>
      <c r="F36" s="3457" t="s">
        <v>3286</v>
      </c>
      <c r="G36" s="3457" t="s">
        <v>3180</v>
      </c>
      <c r="H36" s="3457" t="s">
        <v>3246</v>
      </c>
      <c r="I36" s="3457">
        <v>0</v>
      </c>
      <c r="J36" s="3457" t="s">
        <v>3287</v>
      </c>
      <c r="K36" s="3457" t="s">
        <v>3287</v>
      </c>
      <c r="L36" s="3457">
        <v>56726</v>
      </c>
      <c r="M36" s="3457">
        <v>79326</v>
      </c>
      <c r="N36" s="3457">
        <v>6956.85</v>
      </c>
      <c r="O36" s="3457">
        <v>39.840000000000003</v>
      </c>
      <c r="P36" s="3457" t="s">
        <v>3288</v>
      </c>
      <c r="Q36" s="3457" t="s">
        <v>3220</v>
      </c>
    </row>
    <row r="37" spans="1:17">
      <c r="A37" s="3457" t="s">
        <v>3289</v>
      </c>
      <c r="B37" s="3457" t="s">
        <v>3177</v>
      </c>
      <c r="C37" s="3457" t="s">
        <v>3178</v>
      </c>
      <c r="D37" s="3457">
        <v>55421.84</v>
      </c>
      <c r="E37" s="3457">
        <v>221687.36</v>
      </c>
      <c r="F37" s="3457" t="s">
        <v>3290</v>
      </c>
      <c r="G37" s="3457" t="s">
        <v>3180</v>
      </c>
      <c r="H37" s="3457" t="s">
        <v>3246</v>
      </c>
      <c r="I37" s="3457">
        <v>0</v>
      </c>
      <c r="J37" s="3457" t="s">
        <v>3291</v>
      </c>
      <c r="K37" s="3457" t="s">
        <v>3291</v>
      </c>
      <c r="L37" s="3457">
        <v>73993</v>
      </c>
      <c r="M37" s="3457">
        <v>73993</v>
      </c>
      <c r="N37" s="3457">
        <v>3337.72</v>
      </c>
      <c r="O37" s="3457">
        <v>0</v>
      </c>
      <c r="P37" s="3457" t="s">
        <v>3292</v>
      </c>
      <c r="Q37" s="3457" t="s">
        <v>3220</v>
      </c>
    </row>
    <row r="38" spans="1:17">
      <c r="A38" s="3457" t="s">
        <v>3293</v>
      </c>
      <c r="B38" s="3457" t="s">
        <v>3177</v>
      </c>
      <c r="C38" s="3457" t="s">
        <v>3178</v>
      </c>
      <c r="D38" s="3457">
        <v>77037.759999999995</v>
      </c>
      <c r="E38" s="3457">
        <v>192594.4</v>
      </c>
      <c r="F38" s="3457" t="s">
        <v>3245</v>
      </c>
      <c r="G38" s="3457" t="s">
        <v>3180</v>
      </c>
      <c r="H38" s="3457" t="s">
        <v>3256</v>
      </c>
      <c r="I38" s="3457">
        <v>0</v>
      </c>
      <c r="J38" s="3457" t="s">
        <v>3294</v>
      </c>
      <c r="K38" s="3457" t="s">
        <v>3294</v>
      </c>
      <c r="L38" s="3457">
        <v>82858</v>
      </c>
      <c r="M38" s="3457">
        <v>82858</v>
      </c>
      <c r="N38" s="3457">
        <v>4302.2</v>
      </c>
      <c r="O38" s="3457">
        <v>0</v>
      </c>
      <c r="P38" s="3457" t="s">
        <v>3295</v>
      </c>
      <c r="Q38" s="3457" t="s">
        <v>3211</v>
      </c>
    </row>
    <row r="39" spans="1:17">
      <c r="A39" s="3457" t="s">
        <v>3296</v>
      </c>
      <c r="B39" s="3457" t="s">
        <v>3177</v>
      </c>
      <c r="C39" s="3457" t="s">
        <v>3178</v>
      </c>
      <c r="D39" s="3457">
        <v>44259.71</v>
      </c>
      <c r="E39" s="3457">
        <v>110649.28</v>
      </c>
      <c r="F39" s="3457" t="s">
        <v>3245</v>
      </c>
      <c r="G39" s="3457" t="s">
        <v>3180</v>
      </c>
      <c r="H39" s="3457" t="s">
        <v>3246</v>
      </c>
      <c r="I39" s="3457">
        <v>0</v>
      </c>
      <c r="J39" s="3457" t="s">
        <v>3294</v>
      </c>
      <c r="K39" s="3457" t="s">
        <v>3294</v>
      </c>
      <c r="L39" s="3457">
        <v>45906</v>
      </c>
      <c r="M39" s="3457">
        <v>45906</v>
      </c>
      <c r="N39" s="3457">
        <v>4148.78</v>
      </c>
      <c r="O39" s="3457">
        <v>0</v>
      </c>
      <c r="P39" s="3457" t="s">
        <v>3297</v>
      </c>
      <c r="Q39" s="3457" t="s">
        <v>3211</v>
      </c>
    </row>
    <row r="40" spans="1:17">
      <c r="A40" s="3457" t="s">
        <v>3298</v>
      </c>
      <c r="B40" s="3457" t="s">
        <v>3177</v>
      </c>
      <c r="C40" s="3457" t="s">
        <v>3178</v>
      </c>
      <c r="D40" s="3457">
        <v>26428.55</v>
      </c>
      <c r="E40" s="3457">
        <v>79285.649999999994</v>
      </c>
      <c r="F40" s="3457" t="s">
        <v>3299</v>
      </c>
      <c r="G40" s="3457" t="s">
        <v>3180</v>
      </c>
      <c r="H40" s="3457" t="s">
        <v>3246</v>
      </c>
      <c r="I40" s="3457">
        <v>0</v>
      </c>
      <c r="J40" s="3457" t="s">
        <v>3294</v>
      </c>
      <c r="K40" s="3457" t="s">
        <v>3294</v>
      </c>
      <c r="L40" s="3457">
        <v>28706</v>
      </c>
      <c r="M40" s="3457">
        <v>28706</v>
      </c>
      <c r="N40" s="3457">
        <v>3620.58</v>
      </c>
      <c r="O40" s="3457">
        <v>0</v>
      </c>
      <c r="P40" s="3457" t="s">
        <v>3300</v>
      </c>
      <c r="Q40" s="3457" t="s">
        <v>3211</v>
      </c>
    </row>
    <row r="41" spans="1:17">
      <c r="A41" s="3457" t="s">
        <v>3301</v>
      </c>
      <c r="B41" s="3457" t="s">
        <v>3177</v>
      </c>
      <c r="C41" s="3457" t="s">
        <v>3178</v>
      </c>
      <c r="D41" s="3457">
        <v>108392.92</v>
      </c>
      <c r="E41" s="3457">
        <v>346857.34</v>
      </c>
      <c r="F41" s="3457" t="s">
        <v>3302</v>
      </c>
      <c r="G41" s="3457" t="s">
        <v>3180</v>
      </c>
      <c r="H41" s="3457" t="s">
        <v>3256</v>
      </c>
      <c r="I41" s="3457">
        <v>0</v>
      </c>
      <c r="J41" s="3457" t="s">
        <v>3303</v>
      </c>
      <c r="K41" s="3457" t="s">
        <v>3303</v>
      </c>
      <c r="L41" s="3457">
        <v>120179</v>
      </c>
      <c r="M41" s="3457">
        <v>120179</v>
      </c>
      <c r="N41" s="3457">
        <v>3464.8</v>
      </c>
      <c r="O41" s="3457">
        <v>0</v>
      </c>
      <c r="P41" s="3457" t="s">
        <v>3232</v>
      </c>
      <c r="Q41" s="3457" t="s">
        <v>3220</v>
      </c>
    </row>
    <row r="42" spans="1:17" s="3462" customFormat="1">
      <c r="A42" s="3461" t="s">
        <v>3304</v>
      </c>
      <c r="B42" s="3461" t="s">
        <v>3177</v>
      </c>
      <c r="C42" s="3461" t="s">
        <v>3178</v>
      </c>
      <c r="D42" s="3461">
        <v>41156.9</v>
      </c>
      <c r="E42" s="3461">
        <v>164627.6</v>
      </c>
      <c r="F42" s="3461" t="s">
        <v>3305</v>
      </c>
      <c r="G42" s="3461" t="s">
        <v>3180</v>
      </c>
      <c r="H42" s="3461" t="s">
        <v>3256</v>
      </c>
      <c r="I42" s="3461">
        <v>0</v>
      </c>
      <c r="J42" s="3461" t="s">
        <v>3303</v>
      </c>
      <c r="K42" s="3461" t="s">
        <v>3303</v>
      </c>
      <c r="L42" s="3461">
        <v>65875</v>
      </c>
      <c r="M42" s="3461">
        <v>65875</v>
      </c>
      <c r="N42" s="3461">
        <v>4001.46</v>
      </c>
      <c r="O42" s="3461">
        <v>0</v>
      </c>
      <c r="P42" s="3461" t="s">
        <v>3219</v>
      </c>
      <c r="Q42" s="3461" t="s">
        <v>3211</v>
      </c>
    </row>
    <row r="43" spans="1:17">
      <c r="A43" s="3457" t="s">
        <v>3306</v>
      </c>
      <c r="B43" s="3457" t="s">
        <v>3177</v>
      </c>
      <c r="C43" s="3457" t="s">
        <v>3178</v>
      </c>
      <c r="D43" s="3457">
        <v>48677.06</v>
      </c>
      <c r="E43" s="3457">
        <v>97354.12</v>
      </c>
      <c r="F43" s="3457" t="s">
        <v>3307</v>
      </c>
      <c r="G43" s="3457" t="s">
        <v>3180</v>
      </c>
      <c r="H43" s="3457" t="s">
        <v>3246</v>
      </c>
      <c r="I43" s="3457">
        <v>0</v>
      </c>
      <c r="J43" s="3457" t="s">
        <v>3303</v>
      </c>
      <c r="K43" s="3457" t="s">
        <v>3303</v>
      </c>
      <c r="L43" s="3457">
        <v>48322</v>
      </c>
      <c r="M43" s="3457">
        <v>59522</v>
      </c>
      <c r="N43" s="3457">
        <v>6113.97</v>
      </c>
      <c r="O43" s="3457">
        <v>23.18</v>
      </c>
      <c r="P43" s="3457" t="s">
        <v>3308</v>
      </c>
      <c r="Q43" s="3457" t="s">
        <v>3211</v>
      </c>
    </row>
    <row r="44" spans="1:17">
      <c r="A44" s="3457" t="s">
        <v>3309</v>
      </c>
      <c r="B44" s="3457" t="s">
        <v>3177</v>
      </c>
      <c r="C44" s="3457" t="s">
        <v>3178</v>
      </c>
      <c r="D44" s="3457">
        <v>33407.620000000003</v>
      </c>
      <c r="E44" s="3457">
        <v>116925</v>
      </c>
      <c r="F44" s="3457" t="s">
        <v>3310</v>
      </c>
      <c r="G44" s="3457" t="s">
        <v>3180</v>
      </c>
      <c r="H44" s="3457" t="s">
        <v>3181</v>
      </c>
      <c r="I44" s="3457">
        <v>0</v>
      </c>
      <c r="J44" s="3457" t="s">
        <v>3311</v>
      </c>
      <c r="K44" s="3457" t="s">
        <v>3311</v>
      </c>
      <c r="L44" s="3457">
        <v>40618</v>
      </c>
      <c r="M44" s="3457">
        <v>40618</v>
      </c>
      <c r="N44" s="3457">
        <v>3473.85</v>
      </c>
      <c r="O44" s="3457">
        <v>0</v>
      </c>
      <c r="P44" s="3457" t="s">
        <v>3312</v>
      </c>
      <c r="Q44" s="3457" t="s">
        <v>3211</v>
      </c>
    </row>
    <row r="45" spans="1:17">
      <c r="A45" s="3457" t="s">
        <v>3313</v>
      </c>
      <c r="B45" s="3457" t="s">
        <v>3177</v>
      </c>
      <c r="C45" s="3457" t="s">
        <v>3178</v>
      </c>
      <c r="D45" s="3457">
        <v>45512.81</v>
      </c>
      <c r="E45" s="3457">
        <v>77371.78</v>
      </c>
      <c r="F45" s="3457" t="s">
        <v>3314</v>
      </c>
      <c r="G45" s="3457" t="s">
        <v>3180</v>
      </c>
      <c r="H45" s="3457" t="s">
        <v>3246</v>
      </c>
      <c r="I45" s="3457">
        <v>0</v>
      </c>
      <c r="J45" s="3457" t="s">
        <v>3315</v>
      </c>
      <c r="K45" s="3457" t="s">
        <v>3315</v>
      </c>
      <c r="L45" s="3457">
        <v>44514</v>
      </c>
      <c r="M45" s="3457">
        <v>44514</v>
      </c>
      <c r="N45" s="3457">
        <v>5753.26</v>
      </c>
      <c r="O45" s="3457">
        <v>0</v>
      </c>
      <c r="P45" s="3457" t="s">
        <v>3316</v>
      </c>
      <c r="Q45" s="3457" t="s">
        <v>3211</v>
      </c>
    </row>
    <row r="46" spans="1:17">
      <c r="A46" s="3457" t="s">
        <v>3317</v>
      </c>
      <c r="B46" s="3457" t="s">
        <v>3177</v>
      </c>
      <c r="C46" s="3457" t="s">
        <v>3178</v>
      </c>
      <c r="D46" s="3457">
        <v>86324.61</v>
      </c>
      <c r="E46" s="3457">
        <v>310768.59999999998</v>
      </c>
      <c r="F46" s="3457" t="s">
        <v>3250</v>
      </c>
      <c r="G46" s="3457" t="s">
        <v>3180</v>
      </c>
      <c r="H46" s="3457" t="s">
        <v>3246</v>
      </c>
      <c r="I46" s="3457">
        <v>0</v>
      </c>
      <c r="J46" s="3457" t="s">
        <v>3315</v>
      </c>
      <c r="K46" s="3457" t="s">
        <v>3315</v>
      </c>
      <c r="L46" s="3457">
        <v>95435</v>
      </c>
      <c r="M46" s="3457">
        <v>95435</v>
      </c>
      <c r="N46" s="3457">
        <v>3070.93</v>
      </c>
      <c r="O46" s="3457">
        <v>0</v>
      </c>
      <c r="P46" s="3457" t="s">
        <v>3318</v>
      </c>
      <c r="Q46" s="3457" t="s">
        <v>3220</v>
      </c>
    </row>
    <row r="47" spans="1:17">
      <c r="A47" s="3457" t="s">
        <v>3319</v>
      </c>
      <c r="B47" s="3457" t="s">
        <v>3177</v>
      </c>
      <c r="C47" s="3457" t="s">
        <v>3178</v>
      </c>
      <c r="D47" s="3457">
        <v>95925.87</v>
      </c>
      <c r="E47" s="3457">
        <v>345333.13</v>
      </c>
      <c r="F47" s="3457" t="s">
        <v>3250</v>
      </c>
      <c r="G47" s="3457" t="s">
        <v>3180</v>
      </c>
      <c r="H47" s="3457" t="s">
        <v>3246</v>
      </c>
      <c r="I47" s="3457">
        <v>0</v>
      </c>
      <c r="J47" s="3457" t="s">
        <v>3315</v>
      </c>
      <c r="K47" s="3457" t="s">
        <v>3315</v>
      </c>
      <c r="L47" s="3457">
        <v>106256</v>
      </c>
      <c r="M47" s="3457">
        <v>106256</v>
      </c>
      <c r="N47" s="3457">
        <v>3076.91</v>
      </c>
      <c r="O47" s="3457">
        <v>0</v>
      </c>
      <c r="P47" s="3457" t="s">
        <v>3320</v>
      </c>
      <c r="Q47" s="3457" t="s">
        <v>3211</v>
      </c>
    </row>
    <row r="48" spans="1:17">
      <c r="A48" s="3457" t="s">
        <v>3321</v>
      </c>
      <c r="B48" s="3457" t="s">
        <v>3177</v>
      </c>
      <c r="C48" s="3457" t="s">
        <v>3178</v>
      </c>
      <c r="D48" s="3457">
        <v>73618.009999999995</v>
      </c>
      <c r="E48" s="3457">
        <v>294472.03999999998</v>
      </c>
      <c r="F48" s="3457" t="s">
        <v>3305</v>
      </c>
      <c r="G48" s="3457" t="s">
        <v>3180</v>
      </c>
      <c r="H48" s="3457" t="s">
        <v>3246</v>
      </c>
      <c r="I48" s="3457">
        <v>0</v>
      </c>
      <c r="J48" s="3457" t="s">
        <v>3315</v>
      </c>
      <c r="K48" s="3457" t="s">
        <v>3315</v>
      </c>
      <c r="L48" s="3457">
        <v>95213</v>
      </c>
      <c r="M48" s="3457">
        <v>95213</v>
      </c>
      <c r="N48" s="3457">
        <v>3233.35</v>
      </c>
      <c r="O48" s="3457">
        <v>0</v>
      </c>
      <c r="P48" s="3457" t="s">
        <v>3259</v>
      </c>
      <c r="Q48" s="3457" t="s">
        <v>3211</v>
      </c>
    </row>
    <row r="49" spans="1:17">
      <c r="A49" s="3457" t="s">
        <v>3322</v>
      </c>
      <c r="B49" s="3457" t="s">
        <v>3177</v>
      </c>
      <c r="C49" s="3457" t="s">
        <v>3178</v>
      </c>
      <c r="D49" s="3457">
        <v>26158.28</v>
      </c>
      <c r="E49" s="3457">
        <v>52316.56</v>
      </c>
      <c r="F49" s="3457" t="s">
        <v>3286</v>
      </c>
      <c r="G49" s="3457" t="s">
        <v>3180</v>
      </c>
      <c r="H49" s="3457" t="s">
        <v>3181</v>
      </c>
      <c r="I49" s="3457">
        <v>0</v>
      </c>
      <c r="J49" s="3457" t="s">
        <v>3323</v>
      </c>
      <c r="K49" s="3457" t="s">
        <v>3323</v>
      </c>
      <c r="L49" s="3457">
        <v>27924</v>
      </c>
      <c r="M49" s="3457">
        <v>27924</v>
      </c>
      <c r="N49" s="3457">
        <v>5337.51</v>
      </c>
      <c r="O49" s="3457">
        <v>0</v>
      </c>
      <c r="P49" s="3457" t="s">
        <v>3324</v>
      </c>
      <c r="Q49" s="3457" t="s">
        <v>3226</v>
      </c>
    </row>
    <row r="50" spans="1:17">
      <c r="A50" s="3457" t="s">
        <v>3325</v>
      </c>
      <c r="B50" s="3457" t="s">
        <v>3177</v>
      </c>
      <c r="C50" s="3457" t="s">
        <v>3178</v>
      </c>
      <c r="D50" s="3457">
        <v>55924.23</v>
      </c>
      <c r="E50" s="3457">
        <v>195734.81</v>
      </c>
      <c r="F50" s="3457" t="s">
        <v>3264</v>
      </c>
      <c r="G50" s="3457" t="s">
        <v>3180</v>
      </c>
      <c r="H50" s="3457" t="s">
        <v>3181</v>
      </c>
      <c r="I50" s="3457">
        <v>0</v>
      </c>
      <c r="J50" s="3457" t="s">
        <v>3326</v>
      </c>
      <c r="K50" s="3457" t="s">
        <v>3326</v>
      </c>
      <c r="L50" s="3457">
        <v>72168</v>
      </c>
      <c r="M50" s="3457">
        <v>72168</v>
      </c>
      <c r="N50" s="3457">
        <v>3687.03</v>
      </c>
      <c r="O50" s="3457">
        <v>0</v>
      </c>
      <c r="P50" s="3457" t="s">
        <v>3265</v>
      </c>
      <c r="Q50" s="3457" t="s">
        <v>3211</v>
      </c>
    </row>
    <row r="51" spans="1:17">
      <c r="A51" s="3457" t="s">
        <v>3327</v>
      </c>
      <c r="B51" s="3457" t="s">
        <v>3177</v>
      </c>
      <c r="C51" s="3457" t="s">
        <v>3178</v>
      </c>
      <c r="D51" s="3457">
        <v>50365.69</v>
      </c>
      <c r="E51" s="3457">
        <v>176278</v>
      </c>
      <c r="F51" s="3457" t="s">
        <v>3264</v>
      </c>
      <c r="G51" s="3457" t="s">
        <v>3180</v>
      </c>
      <c r="H51" s="3457" t="s">
        <v>3181</v>
      </c>
      <c r="I51" s="3457">
        <v>0</v>
      </c>
      <c r="J51" s="3457" t="s">
        <v>3328</v>
      </c>
      <c r="K51" s="3457" t="s">
        <v>3328</v>
      </c>
      <c r="L51" s="3457">
        <v>64621</v>
      </c>
      <c r="M51" s="3457">
        <v>64621</v>
      </c>
      <c r="N51" s="3457">
        <v>3665.86</v>
      </c>
      <c r="O51" s="3457">
        <v>0</v>
      </c>
      <c r="P51" s="3457" t="s">
        <v>3265</v>
      </c>
      <c r="Q51" s="3457" t="s">
        <v>3211</v>
      </c>
    </row>
    <row r="52" spans="1:17">
      <c r="A52" s="3457" t="s">
        <v>3329</v>
      </c>
      <c r="B52" s="3457" t="s">
        <v>3177</v>
      </c>
      <c r="C52" s="3457" t="s">
        <v>3178</v>
      </c>
      <c r="D52" s="3457">
        <v>62169.24</v>
      </c>
      <c r="E52" s="3457">
        <v>124338.48</v>
      </c>
      <c r="F52" s="3457" t="s">
        <v>3286</v>
      </c>
      <c r="G52" s="3457" t="s">
        <v>3180</v>
      </c>
      <c r="H52" s="3457" t="s">
        <v>3246</v>
      </c>
      <c r="I52" s="3457">
        <v>0</v>
      </c>
      <c r="J52" s="3457" t="s">
        <v>3330</v>
      </c>
      <c r="K52" s="3457" t="s">
        <v>3330</v>
      </c>
      <c r="L52" s="3457">
        <v>66062</v>
      </c>
      <c r="M52" s="3457">
        <v>66062</v>
      </c>
      <c r="N52" s="3457">
        <v>5313.08</v>
      </c>
      <c r="O52" s="3457">
        <v>0</v>
      </c>
      <c r="P52" s="3457" t="s">
        <v>3331</v>
      </c>
      <c r="Q52" s="3457" t="s">
        <v>3226</v>
      </c>
    </row>
    <row r="53" spans="1:17">
      <c r="A53" s="3457" t="s">
        <v>3332</v>
      </c>
      <c r="B53" s="3457" t="s">
        <v>3177</v>
      </c>
      <c r="C53" s="3457" t="s">
        <v>3178</v>
      </c>
      <c r="D53" s="3457">
        <v>30733.94</v>
      </c>
      <c r="E53" s="3457">
        <v>122935.76</v>
      </c>
      <c r="F53" s="3457" t="s">
        <v>3333</v>
      </c>
      <c r="G53" s="3457" t="s">
        <v>3180</v>
      </c>
      <c r="H53" s="3457" t="s">
        <v>3246</v>
      </c>
      <c r="I53" s="3457">
        <v>0</v>
      </c>
      <c r="J53" s="3457" t="s">
        <v>3330</v>
      </c>
      <c r="K53" s="3457" t="s">
        <v>3330</v>
      </c>
      <c r="L53" s="3457">
        <v>42939</v>
      </c>
      <c r="M53" s="3457">
        <v>42939</v>
      </c>
      <c r="N53" s="3457">
        <v>3492.8</v>
      </c>
      <c r="O53" s="3457">
        <v>0</v>
      </c>
      <c r="P53" s="3457" t="s">
        <v>3243</v>
      </c>
      <c r="Q53" s="3457" t="s">
        <v>3226</v>
      </c>
    </row>
    <row r="54" spans="1:17">
      <c r="A54" s="3457" t="s">
        <v>3334</v>
      </c>
      <c r="B54" s="3457" t="s">
        <v>3177</v>
      </c>
      <c r="C54" s="3457" t="s">
        <v>3178</v>
      </c>
      <c r="D54" s="3457">
        <v>88139.75</v>
      </c>
      <c r="E54" s="3457">
        <v>176279.5</v>
      </c>
      <c r="F54" s="3457" t="s">
        <v>3335</v>
      </c>
      <c r="G54" s="3457" t="s">
        <v>3180</v>
      </c>
      <c r="H54" s="3457" t="s">
        <v>3246</v>
      </c>
      <c r="I54" s="3457">
        <v>0</v>
      </c>
      <c r="J54" s="3457" t="s">
        <v>3336</v>
      </c>
      <c r="K54" s="3457" t="s">
        <v>3336</v>
      </c>
      <c r="L54" s="3457">
        <v>85537</v>
      </c>
      <c r="M54" s="3457">
        <v>92737</v>
      </c>
      <c r="N54" s="3457">
        <v>5260.79</v>
      </c>
      <c r="O54" s="3457">
        <v>8.42</v>
      </c>
      <c r="P54" s="3457" t="s">
        <v>3337</v>
      </c>
      <c r="Q54" s="3457" t="s">
        <v>3211</v>
      </c>
    </row>
    <row r="55" spans="1:17">
      <c r="A55" s="3457" t="s">
        <v>3338</v>
      </c>
      <c r="B55" s="3457" t="s">
        <v>3177</v>
      </c>
      <c r="C55" s="3457" t="s">
        <v>3178</v>
      </c>
      <c r="D55" s="3457">
        <v>68307.710000000006</v>
      </c>
      <c r="E55" s="3457">
        <v>170769.28</v>
      </c>
      <c r="F55" s="3457" t="s">
        <v>3245</v>
      </c>
      <c r="G55" s="3457" t="s">
        <v>3180</v>
      </c>
      <c r="H55" s="3457" t="s">
        <v>3339</v>
      </c>
      <c r="I55" s="3457">
        <v>0</v>
      </c>
      <c r="J55" s="3457" t="s">
        <v>3340</v>
      </c>
      <c r="K55" s="3457" t="s">
        <v>3340</v>
      </c>
      <c r="L55" s="3457">
        <v>69564</v>
      </c>
      <c r="M55" s="3457">
        <v>69564</v>
      </c>
      <c r="N55" s="3457">
        <v>4073.57</v>
      </c>
      <c r="O55" s="3457">
        <v>0</v>
      </c>
      <c r="P55" s="3457" t="s">
        <v>3341</v>
      </c>
      <c r="Q55" s="3457" t="s">
        <v>3220</v>
      </c>
    </row>
    <row r="56" spans="1:17">
      <c r="A56" s="3457" t="s">
        <v>3342</v>
      </c>
      <c r="B56" s="3457" t="s">
        <v>3177</v>
      </c>
      <c r="C56" s="3457" t="s">
        <v>3178</v>
      </c>
      <c r="D56" s="3457">
        <v>88813.6</v>
      </c>
      <c r="E56" s="3457">
        <v>355254.4</v>
      </c>
      <c r="F56" s="3457" t="s">
        <v>3305</v>
      </c>
      <c r="G56" s="3457" t="s">
        <v>3180</v>
      </c>
      <c r="H56" s="3457" t="s">
        <v>3343</v>
      </c>
      <c r="I56" s="3457">
        <v>0</v>
      </c>
      <c r="J56" s="3457" t="s">
        <v>3340</v>
      </c>
      <c r="K56" s="3457" t="s">
        <v>3340</v>
      </c>
      <c r="L56" s="3457">
        <v>127681</v>
      </c>
      <c r="M56" s="3457">
        <v>127681</v>
      </c>
      <c r="N56" s="3457">
        <v>3594.07</v>
      </c>
      <c r="O56" s="3457">
        <v>0</v>
      </c>
      <c r="P56" s="3457" t="s">
        <v>3344</v>
      </c>
      <c r="Q56" s="3457" t="s">
        <v>3226</v>
      </c>
    </row>
    <row r="57" spans="1:17">
      <c r="A57" s="3457" t="s">
        <v>3345</v>
      </c>
      <c r="B57" s="3457" t="s">
        <v>3177</v>
      </c>
      <c r="C57" s="3457" t="s">
        <v>3178</v>
      </c>
      <c r="D57" s="3457">
        <v>45210.03</v>
      </c>
      <c r="E57" s="3457">
        <v>135630.09</v>
      </c>
      <c r="F57" s="3457" t="s">
        <v>3346</v>
      </c>
      <c r="G57" s="3457" t="s">
        <v>3180</v>
      </c>
      <c r="H57" s="3457" t="s">
        <v>3347</v>
      </c>
      <c r="I57" s="3457">
        <v>0</v>
      </c>
      <c r="J57" s="3457" t="s">
        <v>3348</v>
      </c>
      <c r="K57" s="3457" t="s">
        <v>3348</v>
      </c>
      <c r="L57" s="3457">
        <v>56657</v>
      </c>
      <c r="M57" s="3457">
        <v>56657</v>
      </c>
      <c r="N57" s="3457">
        <v>4177.32</v>
      </c>
      <c r="O57" s="3457">
        <v>0</v>
      </c>
      <c r="P57" s="3457" t="s">
        <v>3316</v>
      </c>
      <c r="Q57" s="3457" t="s">
        <v>3211</v>
      </c>
    </row>
    <row r="58" spans="1:17">
      <c r="A58" s="3457" t="s">
        <v>3349</v>
      </c>
      <c r="B58" s="3457" t="s">
        <v>3177</v>
      </c>
      <c r="C58" s="3457" t="s">
        <v>3178</v>
      </c>
      <c r="D58" s="3457">
        <v>52644.37</v>
      </c>
      <c r="E58" s="3457">
        <v>210577.48</v>
      </c>
      <c r="F58" s="3457" t="s">
        <v>3333</v>
      </c>
      <c r="G58" s="3457" t="s">
        <v>3180</v>
      </c>
      <c r="H58" s="3457" t="s">
        <v>3350</v>
      </c>
      <c r="I58" s="3457">
        <v>0</v>
      </c>
      <c r="J58" s="3457" t="s">
        <v>3351</v>
      </c>
      <c r="K58" s="3457" t="s">
        <v>3351</v>
      </c>
      <c r="L58" s="3457">
        <v>69279</v>
      </c>
      <c r="M58" s="3457">
        <v>69279</v>
      </c>
      <c r="N58" s="3457">
        <v>3289.95</v>
      </c>
      <c r="O58" s="3457">
        <v>0</v>
      </c>
      <c r="P58" s="3457" t="s">
        <v>3219</v>
      </c>
      <c r="Q58" s="3457" t="s">
        <v>3220</v>
      </c>
    </row>
    <row r="59" spans="1:17">
      <c r="A59" s="3457" t="s">
        <v>3352</v>
      </c>
      <c r="B59" s="3457" t="s">
        <v>3177</v>
      </c>
      <c r="C59" s="3457" t="s">
        <v>3178</v>
      </c>
      <c r="D59" s="3457">
        <v>62142.31</v>
      </c>
      <c r="E59" s="3457">
        <v>223712.32</v>
      </c>
      <c r="F59" s="3457" t="s">
        <v>3218</v>
      </c>
      <c r="G59" s="3457" t="s">
        <v>3180</v>
      </c>
      <c r="H59" s="3457" t="s">
        <v>3350</v>
      </c>
      <c r="I59" s="3457">
        <v>0</v>
      </c>
      <c r="J59" s="3457" t="s">
        <v>3351</v>
      </c>
      <c r="K59" s="3457" t="s">
        <v>3351</v>
      </c>
      <c r="L59" s="3457">
        <v>79291</v>
      </c>
      <c r="M59" s="3457">
        <v>79291</v>
      </c>
      <c r="N59" s="3457">
        <v>3544.33</v>
      </c>
      <c r="O59" s="3457">
        <v>0</v>
      </c>
      <c r="P59" s="3457" t="s">
        <v>3219</v>
      </c>
      <c r="Q59" s="3457" t="s">
        <v>3220</v>
      </c>
    </row>
    <row r="60" spans="1:17">
      <c r="A60" s="3457" t="s">
        <v>3353</v>
      </c>
      <c r="B60" s="3457" t="s">
        <v>3177</v>
      </c>
      <c r="C60" s="3457" t="s">
        <v>3178</v>
      </c>
      <c r="D60" s="3457">
        <v>32188.91</v>
      </c>
      <c r="E60" s="3457">
        <v>96566.73</v>
      </c>
      <c r="F60" s="3457" t="s">
        <v>3354</v>
      </c>
      <c r="G60" s="3457" t="s">
        <v>3180</v>
      </c>
      <c r="H60" s="3457" t="s">
        <v>3181</v>
      </c>
      <c r="I60" s="3457">
        <v>0</v>
      </c>
      <c r="J60" s="3457" t="s">
        <v>3355</v>
      </c>
      <c r="K60" s="3457" t="s">
        <v>3355</v>
      </c>
      <c r="L60" s="3457">
        <v>35685</v>
      </c>
      <c r="M60" s="3457">
        <v>56166</v>
      </c>
      <c r="N60" s="3457">
        <v>5816.29</v>
      </c>
      <c r="O60" s="3457">
        <v>57.39</v>
      </c>
      <c r="P60" s="3457" t="s">
        <v>3356</v>
      </c>
      <c r="Q60" s="3457" t="s">
        <v>3211</v>
      </c>
    </row>
    <row r="61" spans="1:17" s="3462" customFormat="1">
      <c r="A61" s="3461" t="s">
        <v>3357</v>
      </c>
      <c r="B61" s="3461" t="s">
        <v>3177</v>
      </c>
      <c r="C61" s="3461" t="s">
        <v>3178</v>
      </c>
      <c r="D61" s="3461">
        <v>44426.7</v>
      </c>
      <c r="E61" s="3461">
        <v>186592.14</v>
      </c>
      <c r="F61" s="3461" t="s">
        <v>3239</v>
      </c>
      <c r="G61" s="3461" t="s">
        <v>3180</v>
      </c>
      <c r="H61" s="3461" t="s">
        <v>3181</v>
      </c>
      <c r="I61" s="3461">
        <v>0</v>
      </c>
      <c r="J61" s="3461" t="s">
        <v>3358</v>
      </c>
      <c r="K61" s="3461" t="s">
        <v>3358</v>
      </c>
      <c r="L61" s="3461">
        <v>66717</v>
      </c>
      <c r="M61" s="3461">
        <v>66717</v>
      </c>
      <c r="N61" s="3461">
        <v>3575.55</v>
      </c>
      <c r="O61" s="3461">
        <v>0</v>
      </c>
      <c r="P61" s="3461" t="s">
        <v>3241</v>
      </c>
      <c r="Q61" s="3461" t="s">
        <v>3226</v>
      </c>
    </row>
    <row r="62" spans="1:17">
      <c r="A62" s="3457" t="s">
        <v>3359</v>
      </c>
      <c r="B62" s="3457" t="s">
        <v>3177</v>
      </c>
      <c r="C62" s="3457" t="s">
        <v>3178</v>
      </c>
      <c r="D62" s="3457">
        <v>28880.66</v>
      </c>
      <c r="E62" s="3457">
        <v>115522.64</v>
      </c>
      <c r="F62" s="3457" t="s">
        <v>3333</v>
      </c>
      <c r="G62" s="3457" t="s">
        <v>3180</v>
      </c>
      <c r="H62" s="3457" t="s">
        <v>3181</v>
      </c>
      <c r="I62" s="3457">
        <v>0</v>
      </c>
      <c r="J62" s="3457" t="s">
        <v>3358</v>
      </c>
      <c r="K62" s="3457" t="s">
        <v>3358</v>
      </c>
      <c r="L62" s="3457">
        <v>42717</v>
      </c>
      <c r="M62" s="3457">
        <v>42717</v>
      </c>
      <c r="N62" s="3457">
        <v>3697.72</v>
      </c>
      <c r="O62" s="3457">
        <v>0</v>
      </c>
      <c r="P62" s="3457" t="s">
        <v>3241</v>
      </c>
      <c r="Q62" s="3457" t="s">
        <v>3226</v>
      </c>
    </row>
    <row r="63" spans="1:17" s="3462" customFormat="1">
      <c r="A63" s="3461" t="s">
        <v>3360</v>
      </c>
      <c r="B63" s="3461" t="s">
        <v>3177</v>
      </c>
      <c r="C63" s="3461" t="s">
        <v>3178</v>
      </c>
      <c r="D63" s="3461">
        <v>16694.240000000002</v>
      </c>
      <c r="E63" s="3461">
        <v>70115.81</v>
      </c>
      <c r="F63" s="3461" t="s">
        <v>3239</v>
      </c>
      <c r="G63" s="3461" t="s">
        <v>3180</v>
      </c>
      <c r="H63" s="3461" t="s">
        <v>3181</v>
      </c>
      <c r="I63" s="3461">
        <v>0</v>
      </c>
      <c r="J63" s="3461" t="s">
        <v>3358</v>
      </c>
      <c r="K63" s="3461" t="s">
        <v>3358</v>
      </c>
      <c r="L63" s="3461">
        <v>25122</v>
      </c>
      <c r="M63" s="3461">
        <v>25122</v>
      </c>
      <c r="N63" s="3461">
        <v>3582.93</v>
      </c>
      <c r="O63" s="3461">
        <v>0</v>
      </c>
      <c r="P63" s="3461" t="s">
        <v>3241</v>
      </c>
      <c r="Q63" s="3461" t="s">
        <v>3211</v>
      </c>
    </row>
    <row r="64" spans="1:17">
      <c r="A64" s="3457" t="s">
        <v>3361</v>
      </c>
      <c r="B64" s="3457" t="s">
        <v>3177</v>
      </c>
      <c r="C64" s="3457" t="s">
        <v>3178</v>
      </c>
      <c r="D64" s="3457">
        <v>43753.34</v>
      </c>
      <c r="E64" s="3457">
        <v>196890.03</v>
      </c>
      <c r="F64" s="3457" t="s">
        <v>3362</v>
      </c>
      <c r="G64" s="3457" t="s">
        <v>3180</v>
      </c>
      <c r="H64" s="3457" t="s">
        <v>3363</v>
      </c>
      <c r="I64" s="3457">
        <v>0</v>
      </c>
      <c r="J64" s="3457" t="s">
        <v>3364</v>
      </c>
      <c r="K64" s="3457" t="s">
        <v>3364</v>
      </c>
      <c r="L64" s="3457">
        <v>54002</v>
      </c>
      <c r="M64" s="3457">
        <v>54002</v>
      </c>
      <c r="N64" s="3457">
        <v>2742.75</v>
      </c>
      <c r="O64" s="3457">
        <v>0</v>
      </c>
      <c r="P64" s="3457" t="s">
        <v>3236</v>
      </c>
      <c r="Q64" s="3457" t="s">
        <v>3211</v>
      </c>
    </row>
    <row r="65" spans="1:17">
      <c r="A65" s="3457" t="s">
        <v>3365</v>
      </c>
      <c r="B65" s="3457" t="s">
        <v>3177</v>
      </c>
      <c r="C65" s="3457" t="s">
        <v>3178</v>
      </c>
      <c r="D65" s="3457">
        <v>70406.25</v>
      </c>
      <c r="E65" s="3457">
        <v>295706.25</v>
      </c>
      <c r="F65" s="3457" t="s">
        <v>3239</v>
      </c>
      <c r="G65" s="3457" t="s">
        <v>3180</v>
      </c>
      <c r="H65" s="3457" t="s">
        <v>3366</v>
      </c>
      <c r="I65" s="3457">
        <v>0</v>
      </c>
      <c r="J65" s="3457" t="s">
        <v>3367</v>
      </c>
      <c r="K65" s="3457" t="s">
        <v>3367</v>
      </c>
      <c r="L65" s="3457">
        <v>121455</v>
      </c>
      <c r="M65" s="3457">
        <v>121455</v>
      </c>
      <c r="N65" s="3457">
        <v>4107.29</v>
      </c>
      <c r="O65" s="3457">
        <v>0</v>
      </c>
      <c r="P65" s="3457" t="s">
        <v>3368</v>
      </c>
      <c r="Q65" s="3457" t="s">
        <v>3226</v>
      </c>
    </row>
    <row r="66" spans="1:17">
      <c r="A66" s="3457" t="s">
        <v>3369</v>
      </c>
      <c r="B66" s="3457" t="s">
        <v>3177</v>
      </c>
      <c r="C66" s="3457" t="s">
        <v>3178</v>
      </c>
      <c r="D66" s="3457">
        <v>63143.61</v>
      </c>
      <c r="E66" s="3457">
        <v>126287.22</v>
      </c>
      <c r="F66" s="3457" t="s">
        <v>3370</v>
      </c>
      <c r="G66" s="3457" t="s">
        <v>3180</v>
      </c>
      <c r="H66" s="3457" t="s">
        <v>3181</v>
      </c>
      <c r="I66" s="3457">
        <v>0</v>
      </c>
      <c r="J66" s="3457" t="s">
        <v>3371</v>
      </c>
      <c r="K66" s="3457" t="s">
        <v>3371</v>
      </c>
      <c r="L66" s="3457">
        <v>64478</v>
      </c>
      <c r="M66" s="3457">
        <v>64478</v>
      </c>
      <c r="N66" s="3457">
        <v>5105.66</v>
      </c>
      <c r="O66" s="3457">
        <v>0</v>
      </c>
      <c r="P66" s="3457" t="s">
        <v>3331</v>
      </c>
      <c r="Q66" s="3457" t="s">
        <v>3226</v>
      </c>
    </row>
    <row r="67" spans="1:17">
      <c r="A67" s="3457" t="s">
        <v>3372</v>
      </c>
      <c r="B67" s="3457" t="s">
        <v>3177</v>
      </c>
      <c r="C67" s="3457" t="s">
        <v>3178</v>
      </c>
      <c r="D67" s="3457">
        <v>20210.05</v>
      </c>
      <c r="E67" s="3457">
        <v>50525.13</v>
      </c>
      <c r="F67" s="3457" t="s">
        <v>3373</v>
      </c>
      <c r="G67" s="3457" t="s">
        <v>3180</v>
      </c>
      <c r="H67" s="3457" t="s">
        <v>3374</v>
      </c>
      <c r="I67" s="3457">
        <v>0</v>
      </c>
      <c r="J67" s="3457" t="s">
        <v>3375</v>
      </c>
      <c r="K67" s="3457" t="s">
        <v>3375</v>
      </c>
      <c r="L67" s="3457">
        <v>20937</v>
      </c>
      <c r="M67" s="3457">
        <v>20937</v>
      </c>
      <c r="N67" s="3457">
        <v>4143.88</v>
      </c>
      <c r="O67" s="3457">
        <v>0</v>
      </c>
      <c r="P67" s="3457" t="s">
        <v>3376</v>
      </c>
      <c r="Q67" s="3457" t="s">
        <v>3211</v>
      </c>
    </row>
    <row r="68" spans="1:17">
      <c r="A68" s="3457" t="s">
        <v>3377</v>
      </c>
      <c r="B68" s="3457" t="s">
        <v>3177</v>
      </c>
      <c r="C68" s="3457" t="s">
        <v>3178</v>
      </c>
      <c r="D68" s="3457">
        <v>13091.5</v>
      </c>
      <c r="E68" s="3457">
        <v>52366</v>
      </c>
      <c r="F68" s="3457" t="s">
        <v>3333</v>
      </c>
      <c r="G68" s="3457" t="s">
        <v>3180</v>
      </c>
      <c r="H68" s="3457" t="s">
        <v>3246</v>
      </c>
      <c r="I68" s="3457">
        <v>0</v>
      </c>
      <c r="J68" s="3457" t="s">
        <v>3378</v>
      </c>
      <c r="K68" s="3457" t="s">
        <v>3378</v>
      </c>
      <c r="L68" s="3457">
        <v>17152</v>
      </c>
      <c r="M68" s="3457">
        <v>17152</v>
      </c>
      <c r="N68" s="3457">
        <v>3275.41</v>
      </c>
      <c r="O68" s="3457">
        <v>0</v>
      </c>
      <c r="P68" s="3457" t="s">
        <v>3219</v>
      </c>
      <c r="Q68" s="3457" t="s">
        <v>3220</v>
      </c>
    </row>
    <row r="75" spans="1:17" ht="28.5">
      <c r="A75" s="3458" t="s">
        <v>3204</v>
      </c>
    </row>
    <row r="134" spans="1:1" ht="30">
      <c r="A134" s="3456" t="s">
        <v>3379</v>
      </c>
    </row>
    <row r="196" spans="1:1" ht="28.5">
      <c r="A196" s="3458" t="s">
        <v>3238</v>
      </c>
    </row>
    <row r="250" spans="1:1" ht="14.25">
      <c r="A250" s="3458"/>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3406</v>
      </c>
      <c r="F136" s="3153" t="s">
        <v>3407</v>
      </c>
      <c r="G136" s="3153" t="s">
        <v>3408</v>
      </c>
      <c r="H136" s="3153" t="s">
        <v>3411</v>
      </c>
    </row>
    <row r="137" spans="4:8">
      <c r="D137" s="3153" t="s">
        <v>3405</v>
      </c>
      <c r="E137">
        <v>6.49</v>
      </c>
      <c r="F137">
        <v>361115</v>
      </c>
      <c r="G137">
        <v>11825</v>
      </c>
      <c r="H137" s="3153" t="s">
        <v>3412</v>
      </c>
    </row>
    <row r="138" spans="4:8">
      <c r="D138" s="3153" t="s">
        <v>3409</v>
      </c>
      <c r="E138">
        <v>4.1900000000000004</v>
      </c>
      <c r="F138">
        <v>2700000</v>
      </c>
      <c r="G138">
        <v>12817</v>
      </c>
      <c r="H138" s="3153" t="s">
        <v>3413</v>
      </c>
    </row>
    <row r="139" spans="4:8">
      <c r="D139" s="3153" t="s">
        <v>3410</v>
      </c>
      <c r="E139">
        <v>6.38</v>
      </c>
      <c r="F139">
        <v>44200</v>
      </c>
      <c r="G139">
        <v>11629</v>
      </c>
      <c r="H139" s="3153" t="s">
        <v>3412</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3429</v>
      </c>
      <c r="G49" s="3153" t="s">
        <v>3408</v>
      </c>
    </row>
    <row r="50" spans="5:7">
      <c r="E50" s="3153" t="s">
        <v>3428</v>
      </c>
      <c r="F50">
        <v>750000</v>
      </c>
      <c r="G50">
        <v>20000</v>
      </c>
    </row>
    <row r="51" spans="5:7">
      <c r="E51" s="3153" t="s">
        <v>3430</v>
      </c>
      <c r="F51">
        <v>1000000</v>
      </c>
      <c r="G51">
        <v>25000</v>
      </c>
    </row>
    <row r="52" spans="5:7">
      <c r="E52" s="3153" t="s">
        <v>3431</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3447</v>
      </c>
      <c r="F32" s="3153" t="s">
        <v>3450</v>
      </c>
      <c r="G32">
        <v>2340010</v>
      </c>
      <c r="H32">
        <v>7902</v>
      </c>
    </row>
    <row r="33" spans="5:8">
      <c r="E33" s="3153" t="s">
        <v>3448</v>
      </c>
      <c r="F33" s="3153" t="s">
        <v>3451</v>
      </c>
      <c r="G33">
        <v>2340010</v>
      </c>
      <c r="H33">
        <v>8521</v>
      </c>
    </row>
    <row r="34" spans="5:8">
      <c r="E34" s="3153" t="s">
        <v>3449</v>
      </c>
      <c r="F34" s="3153" t="s">
        <v>3452</v>
      </c>
      <c r="G34">
        <v>42327</v>
      </c>
      <c r="H34">
        <v>8602</v>
      </c>
    </row>
  </sheetData>
  <phoneticPr fontId="22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1829</v>
      </c>
      <c r="B1" s="3498"/>
      <c r="C1" s="3498"/>
      <c r="D1" s="3498"/>
      <c r="E1" s="3498"/>
      <c r="F1" s="3498"/>
      <c r="G1" s="3498"/>
      <c r="H1" s="3498"/>
      <c r="I1" s="3498"/>
      <c r="J1" s="3498"/>
      <c r="K1" s="3498"/>
      <c r="L1" s="3498"/>
      <c r="M1" s="3498"/>
      <c r="N1" s="3498"/>
      <c r="O1" s="3498"/>
      <c r="P1" s="3498"/>
      <c r="Q1" s="3498"/>
      <c r="R1" s="3498"/>
    </row>
    <row r="2" spans="1:18">
      <c r="A2" s="1675" t="s">
        <v>1831</v>
      </c>
      <c r="B2" s="1675"/>
      <c r="C2" s="1675"/>
      <c r="D2" s="1675"/>
      <c r="E2" s="1675"/>
      <c r="F2" s="1675"/>
      <c r="G2" s="1675"/>
      <c r="H2" s="1675"/>
      <c r="I2" s="1676"/>
      <c r="J2" s="1676"/>
      <c r="K2" s="1677" t="str">
        <f>"估价期日："&amp;TEXT(项目基本情况!D3,"yyyy年m月d日;;")</f>
        <v>估价期日：2022年12月6日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9" t="s">
        <v>1820</v>
      </c>
      <c r="B3" s="3499" t="s">
        <v>2447</v>
      </c>
      <c r="C3" s="3500" t="s">
        <v>1821</v>
      </c>
      <c r="D3" s="3499" t="s">
        <v>2451</v>
      </c>
      <c r="E3" s="3494" t="s">
        <v>1822</v>
      </c>
      <c r="F3" s="3494"/>
      <c r="G3" s="3494"/>
      <c r="H3" s="3494" t="s">
        <v>1823</v>
      </c>
      <c r="I3" s="3494"/>
      <c r="J3" s="3494"/>
      <c r="K3" s="3500" t="s">
        <v>1824</v>
      </c>
      <c r="L3" s="3500" t="s">
        <v>1825</v>
      </c>
      <c r="M3" s="3499" t="s">
        <v>2448</v>
      </c>
      <c r="N3" s="3501" t="str">
        <f>"（分摊）"&amp;项目基本情况!B16&amp;"国有建设用地使用权面积/㎡"</f>
        <v>（分摊）出让国有建设用地使用权面积/㎡</v>
      </c>
      <c r="O3" s="3499" t="s">
        <v>1854</v>
      </c>
      <c r="P3" s="3500" t="s">
        <v>1834</v>
      </c>
      <c r="Q3" s="3500" t="s">
        <v>1855</v>
      </c>
      <c r="R3" s="3500" t="s">
        <v>1826</v>
      </c>
    </row>
    <row r="4" spans="1:18" ht="36.75" customHeight="1">
      <c r="A4" s="3499"/>
      <c r="B4" s="3499"/>
      <c r="C4" s="3500"/>
      <c r="D4" s="3499"/>
      <c r="E4" s="2411" t="s">
        <v>1833</v>
      </c>
      <c r="F4" s="2411" t="s">
        <v>2460</v>
      </c>
      <c r="G4" s="2411" t="s">
        <v>1827</v>
      </c>
      <c r="H4" s="2411" t="s">
        <v>1828</v>
      </c>
      <c r="I4" s="2411" t="s">
        <v>2461</v>
      </c>
      <c r="J4" s="2411" t="s">
        <v>1827</v>
      </c>
      <c r="K4" s="3500"/>
      <c r="L4" s="3500"/>
      <c r="M4" s="3499"/>
      <c r="N4" s="3501"/>
      <c r="O4" s="3499"/>
      <c r="P4" s="3500"/>
      <c r="Q4" s="3500"/>
      <c r="R4" s="3500"/>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4855.7</v>
      </c>
      <c r="O5" s="1678">
        <f>项目基本情况!C21</f>
        <v>23212.99</v>
      </c>
      <c r="P5" s="1678">
        <f ca="1">结果表!E42</f>
        <v>15479</v>
      </c>
      <c r="Q5" s="1678">
        <f ca="1">结果表!D42</f>
        <v>3238</v>
      </c>
      <c r="R5" s="1679">
        <f ca="1">结果表!C42</f>
        <v>7516</v>
      </c>
    </row>
    <row r="6" spans="1:18">
      <c r="A6" s="3495" t="str">
        <f>IF(项目基本情况!B9="市场价格","——","抵押价格")</f>
        <v>——</v>
      </c>
      <c r="B6" s="3496"/>
      <c r="C6" s="3496"/>
      <c r="D6" s="3496"/>
      <c r="E6" s="3496"/>
      <c r="F6" s="3496"/>
      <c r="G6" s="3496"/>
      <c r="H6" s="3496"/>
      <c r="I6" s="3496"/>
      <c r="J6" s="3496"/>
      <c r="K6" s="3496"/>
      <c r="L6" s="3496"/>
      <c r="M6" s="3496"/>
      <c r="N6" s="3496"/>
      <c r="O6" s="3496"/>
      <c r="P6" s="3496"/>
      <c r="Q6" s="3497"/>
      <c r="R6" s="1680" t="str">
        <f>结果表!O39</f>
        <v>——</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680" t="str">
        <f>结果表!O40</f>
        <v>——</v>
      </c>
    </row>
    <row r="8" spans="1:18">
      <c r="A8" s="3495" t="str">
        <f>IF(项目基本情况!B9="市场价格","——",项目基本情况!E9)</f>
        <v>——</v>
      </c>
      <c r="B8" s="3496"/>
      <c r="C8" s="3496"/>
      <c r="D8" s="3496"/>
      <c r="E8" s="3496"/>
      <c r="F8" s="3496"/>
      <c r="G8" s="3496"/>
      <c r="H8" s="3496"/>
      <c r="I8" s="3496"/>
      <c r="J8" s="3496"/>
      <c r="K8" s="3496"/>
      <c r="L8" s="3496"/>
      <c r="M8" s="3496"/>
      <c r="N8" s="3496"/>
      <c r="O8" s="3496"/>
      <c r="P8" s="3496"/>
      <c r="Q8" s="3497"/>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2" t="s">
        <v>1856</v>
      </c>
      <c r="B1" s="3502"/>
      <c r="C1" s="3502"/>
      <c r="D1" s="3502"/>
    </row>
    <row r="2" spans="1:4" ht="47.25" customHeight="1">
      <c r="A2" s="3506" t="str">
        <f>"1.权利限制："&amp;项目基本情况!L24&amp;"未设定租赁等其他他项权利。"</f>
        <v>1.权利限制：根据估价对象《不动产权证书》原件、《国有土地使用权》复印件，截至估价期日，估价对象抵押权未见登记。未设定租赁等其他他项权利。</v>
      </c>
      <c r="B2" s="3506"/>
      <c r="C2" s="3506"/>
      <c r="D2" s="3506"/>
    </row>
    <row r="3" spans="1:4" ht="48" customHeight="1">
      <c r="A3" s="35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2"/>
      <c r="C3" s="3502"/>
      <c r="D3" s="3502"/>
    </row>
    <row r="4" spans="1:4" ht="36.75" customHeight="1">
      <c r="A4" s="3502" t="str">
        <f>"3.估价规划限制条件：详见"&amp;项目基本情况!E21&amp;"。"</f>
        <v>3.估价规划限制条件：详见《建设工程规划许可证》[]、《出让合同》[]。</v>
      </c>
      <c r="B4" s="3502"/>
      <c r="C4" s="3502"/>
      <c r="D4" s="3502"/>
    </row>
    <row r="5" spans="1:4">
      <c r="A5" s="3505" t="s">
        <v>1857</v>
      </c>
      <c r="B5" s="3505"/>
      <c r="C5" s="3505"/>
      <c r="D5" s="3505"/>
    </row>
    <row r="6" spans="1:4">
      <c r="A6" s="3502" t="s">
        <v>1835</v>
      </c>
      <c r="B6" s="3502"/>
      <c r="C6" s="3502"/>
      <c r="D6" s="3502"/>
    </row>
    <row r="7" spans="1:4" ht="33" customHeight="1">
      <c r="A7" s="3502" t="s">
        <v>2291</v>
      </c>
      <c r="B7" s="3502"/>
      <c r="C7" s="3502"/>
      <c r="D7" s="3502"/>
    </row>
    <row r="8" spans="1:4" ht="32.25" customHeight="1">
      <c r="A8" s="35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2"/>
      <c r="C8" s="3502"/>
      <c r="D8" s="3502"/>
    </row>
    <row r="9" spans="1:4" ht="33.75" customHeight="1">
      <c r="A9" s="3502" t="str">
        <f>IF(项目基本情况!B8="抵押","3.抵押双方在办理抵押登记手续时，应使用本公司出具的正式《土地估价报告》，特提请报告使用者注意。","——")</f>
        <v>——</v>
      </c>
      <c r="B9" s="3502"/>
      <c r="C9" s="3502"/>
      <c r="D9" s="3502"/>
    </row>
    <row r="10" spans="1:4">
      <c r="A10" s="3502" t="str">
        <f>IF(项目基本情况!B8="抵押","4.估价师所知悉的法定优先受偿款情况为：","——")</f>
        <v>——</v>
      </c>
      <c r="B10" s="3502"/>
      <c r="C10" s="3502"/>
      <c r="D10" s="3502"/>
    </row>
    <row r="11" spans="1:4" ht="37.5" customHeight="1">
      <c r="A11" s="3504" t="str">
        <f>IF(项目基本情况!B8="抵押","（1）"&amp;CONCATENATE(项目基本情况!L24,项目基本情况!L25,项目基本情况!L26),"——")</f>
        <v>——</v>
      </c>
      <c r="B11" s="3504"/>
      <c r="C11" s="3504"/>
      <c r="D11" s="3504"/>
    </row>
    <row r="12" spans="1:4" ht="168" customHeight="1">
      <c r="A12" s="3505" t="s">
        <v>1859</v>
      </c>
      <c r="B12" s="3505"/>
      <c r="C12" s="3505"/>
      <c r="D12" s="3505"/>
    </row>
    <row r="13" spans="1:4">
      <c r="A13" s="3503" t="s">
        <v>2462</v>
      </c>
      <c r="B13" s="3503"/>
      <c r="C13" s="3503"/>
      <c r="D13" s="3503"/>
    </row>
    <row r="14" spans="1:4">
      <c r="A14" s="3504" t="str">
        <f>IF(项目基本情况!B8="抵押","综上，"&amp;结果表!K47,"——")</f>
        <v>——</v>
      </c>
      <c r="B14" s="3504"/>
      <c r="C14" s="3504"/>
      <c r="D14" s="3504"/>
    </row>
    <row r="15" spans="1:4" ht="58.5" customHeight="1">
      <c r="A15" s="35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2"/>
      <c r="C15" s="3502"/>
      <c r="D15" s="3502"/>
    </row>
    <row r="16" spans="1:4" ht="70.5" customHeight="1">
      <c r="A16" s="35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2"/>
      <c r="C16" s="3502"/>
      <c r="D16" s="3502"/>
    </row>
    <row r="17" spans="1:4">
      <c r="A17" s="3502" t="s">
        <v>2418</v>
      </c>
      <c r="B17" s="3502"/>
      <c r="C17" s="3502"/>
      <c r="D17" s="3502"/>
    </row>
    <row r="18" spans="1:4">
      <c r="A18" s="3502" t="s">
        <v>2410</v>
      </c>
      <c r="B18" s="3502"/>
      <c r="C18" s="3502"/>
      <c r="D18" s="3502"/>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2" t="s">
        <v>2415</v>
      </c>
      <c r="B23" s="3502"/>
      <c r="C23" s="3502"/>
      <c r="D23" s="3502"/>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4" t="s">
        <v>53</v>
      </c>
      <c r="B15" s="3515" t="s">
        <v>825</v>
      </c>
      <c r="C15" s="3511"/>
    </row>
    <row r="16" spans="1:7" ht="14.25">
      <c r="A16" s="3514"/>
      <c r="B16" s="3512" t="s">
        <v>54</v>
      </c>
      <c r="C16" s="1117" t="s">
        <v>53</v>
      </c>
    </row>
    <row r="17" spans="1:3" ht="14.25">
      <c r="A17" s="3514"/>
      <c r="B17" s="3512"/>
      <c r="C17" s="1117" t="s">
        <v>55</v>
      </c>
    </row>
    <row r="18" spans="1:3" ht="14.25">
      <c r="A18" s="3514"/>
      <c r="B18" s="3512"/>
      <c r="C18" s="1117" t="s">
        <v>56</v>
      </c>
    </row>
    <row r="19" spans="1:3" ht="14.25">
      <c r="A19" s="3514"/>
      <c r="B19" s="3510" t="s">
        <v>57</v>
      </c>
      <c r="C19" s="3511"/>
    </row>
    <row r="20" spans="1:3" ht="14.25">
      <c r="A20" s="1118" t="s">
        <v>58</v>
      </c>
      <c r="B20" s="1119"/>
      <c r="C20" s="1120"/>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21" t="s">
        <v>816</v>
      </c>
    </row>
    <row r="25" spans="1:3" ht="14.25">
      <c r="A25" s="3513"/>
      <c r="B25" s="3517"/>
      <c r="C25" s="1121" t="s">
        <v>817</v>
      </c>
    </row>
    <row r="26" spans="1:3" ht="14.25">
      <c r="A26" s="3513"/>
      <c r="B26" s="3517"/>
      <c r="C26" s="1121" t="s">
        <v>818</v>
      </c>
    </row>
    <row r="27" spans="1:3" ht="14.25">
      <c r="A27" s="3513"/>
      <c r="B27" s="3517"/>
      <c r="C27" s="1121" t="s">
        <v>819</v>
      </c>
    </row>
    <row r="28" spans="1:3" ht="14.25">
      <c r="A28" s="3513"/>
      <c r="B28" s="3517"/>
      <c r="C28" s="1121" t="s">
        <v>820</v>
      </c>
    </row>
    <row r="29" spans="1:3" ht="14.25">
      <c r="A29" s="3513"/>
      <c r="B29" s="3517"/>
      <c r="C29" s="1121" t="s">
        <v>821</v>
      </c>
    </row>
    <row r="30" spans="1:3" ht="14.25">
      <c r="A30" s="3513"/>
      <c r="B30" s="3517"/>
      <c r="C30" s="1121" t="s">
        <v>822</v>
      </c>
    </row>
    <row r="31" spans="1:3" ht="14.25">
      <c r="A31" s="3513"/>
      <c r="B31" s="3517"/>
      <c r="C31" s="1121" t="s">
        <v>823</v>
      </c>
    </row>
    <row r="32" spans="1:3" ht="14.25">
      <c r="A32" s="3513"/>
      <c r="B32" s="3517"/>
      <c r="C32" s="1121" t="s">
        <v>1445</v>
      </c>
    </row>
    <row r="33" spans="1:3" ht="14.25">
      <c r="A33" s="3513"/>
      <c r="B33" s="3507" t="s">
        <v>1451</v>
      </c>
      <c r="C33" s="1121" t="s">
        <v>1446</v>
      </c>
    </row>
    <row r="34" spans="1:3" ht="14.25">
      <c r="A34" s="3513"/>
      <c r="B34" s="3508"/>
      <c r="C34" s="1126" t="s">
        <v>1447</v>
      </c>
    </row>
    <row r="35" spans="1:3" ht="14.25">
      <c r="A35" s="3513"/>
      <c r="B35" s="3508"/>
      <c r="C35" s="1127" t="s">
        <v>1448</v>
      </c>
    </row>
    <row r="36" spans="1:3" ht="14.25">
      <c r="A36" s="3513"/>
      <c r="B36" s="3508"/>
      <c r="C36" s="1127" t="s">
        <v>1449</v>
      </c>
    </row>
    <row r="37" spans="1:3" ht="14.25">
      <c r="A37" s="3513"/>
      <c r="B37" s="3509"/>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1" t="s">
        <v>1719</v>
      </c>
      <c r="B18" s="3522"/>
      <c r="C18" s="3522"/>
      <c r="D18" s="3522"/>
      <c r="E18" s="3522"/>
      <c r="F18" s="3522"/>
      <c r="G18" s="2939"/>
    </row>
    <row r="19" spans="1:7" ht="20.25" customHeight="1">
      <c r="A19" s="3518" t="s">
        <v>1720</v>
      </c>
      <c r="B19" s="3518"/>
      <c r="C19" s="3519"/>
      <c r="D19" s="3520" t="s">
        <v>1721</v>
      </c>
      <c r="E19" s="3518"/>
      <c r="F19" s="3518"/>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2702</v>
      </c>
      <c r="C20" s="1446"/>
    </row>
    <row r="21" spans="1:3">
      <c r="A21" s="8" t="s">
        <v>122</v>
      </c>
      <c r="B21" s="8" t="s">
        <v>2882</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3"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c r="D53" s="1638"/>
      <c r="E53" s="1638"/>
    </row>
    <row r="54" spans="1:5">
      <c r="A54" s="3523"/>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3"/>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3"/>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3"/>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77号规划指标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2022-12-06T08:34:45Z</dcterms:modified>
</cp:coreProperties>
</file>