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4" sheetId="71"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不动产比较法-住宅" sheetId="21" r:id="rId31"/>
    <sheet name="不动产收益法会所" sheetId="15" state="hidden" r:id="rId32"/>
    <sheet name="酒店收入计算" sheetId="57" state="hidden" r:id="rId33"/>
    <sheet name="成本逼近法" sheetId="11" state="hidden" r:id="rId34"/>
    <sheet name="不动产比较法-商业" sheetId="33" state="hidden" r:id="rId35"/>
    <sheet name="不动产收益法商业" sheetId="76" r:id="rId36"/>
    <sheet name="不动产收益法车库" sheetId="72"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5" r:id="rId44"/>
    <sheet name="土地案例" sheetId="73" r:id="rId45"/>
    <sheet name="参数确定" sheetId="74" r:id="rId46"/>
  </sheets>
  <definedNames>
    <definedName name="_xlnm._FilterDatabase" localSheetId="20"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6" i="9" l="1"/>
  <c r="T47" i="21"/>
  <c r="T48" i="21"/>
  <c r="R49" i="21"/>
  <c r="C49" i="21"/>
  <c r="B3" i="21"/>
  <c r="C8" i="12"/>
  <c r="F8" i="12"/>
  <c r="E8" i="12"/>
  <c r="D101" i="39"/>
  <c r="E101" i="39"/>
  <c r="F101" i="39"/>
  <c r="F27" i="39"/>
  <c r="AA27" i="39"/>
  <c r="D83" i="39"/>
  <c r="E83" i="39"/>
  <c r="F83" i="39"/>
  <c r="G83" i="39"/>
  <c r="H83" i="39"/>
  <c r="F13" i="39"/>
  <c r="AA13" i="39"/>
  <c r="F40" i="39"/>
  <c r="AA40" i="39"/>
  <c r="G101" i="39"/>
  <c r="H27" i="39"/>
  <c r="AB27" i="39"/>
  <c r="H13" i="39"/>
  <c r="AB13" i="39"/>
  <c r="H40" i="39"/>
  <c r="AB40" i="39"/>
  <c r="J27" i="39"/>
  <c r="AC27" i="39"/>
  <c r="J13" i="39"/>
  <c r="AC13" i="39"/>
  <c r="J40" i="39"/>
  <c r="AC40" i="39"/>
  <c r="F6" i="76"/>
  <c r="F8" i="76"/>
  <c r="F7" i="76"/>
  <c r="F9" i="76"/>
  <c r="C6" i="76"/>
  <c r="N4" i="65"/>
  <c r="C4" i="65"/>
  <c r="B39" i="1"/>
  <c r="F11" i="76"/>
  <c r="C10" i="76"/>
  <c r="C5" i="76"/>
  <c r="C32" i="76"/>
  <c r="C33" i="76"/>
  <c r="F35" i="76"/>
  <c r="C34" i="76"/>
  <c r="C31" i="76"/>
  <c r="M10" i="1"/>
  <c r="C14" i="76"/>
  <c r="C15" i="76"/>
  <c r="F16" i="76"/>
  <c r="C16" i="76"/>
  <c r="F43" i="76"/>
  <c r="C17" i="76"/>
  <c r="C18" i="76"/>
  <c r="C19" i="76"/>
  <c r="C20" i="76"/>
  <c r="I5" i="65"/>
  <c r="E2" i="65"/>
  <c r="B40" i="1"/>
  <c r="F24" i="76"/>
  <c r="C23" i="76"/>
  <c r="F26" i="76"/>
  <c r="C26" i="76"/>
  <c r="C24" i="76"/>
  <c r="C27" i="76"/>
  <c r="C29" i="76"/>
  <c r="F36" i="76"/>
  <c r="C36" i="76"/>
  <c r="F13" i="76"/>
  <c r="C13" i="76"/>
  <c r="F37" i="76"/>
  <c r="C37" i="76"/>
  <c r="F38" i="76"/>
  <c r="C38" i="76"/>
  <c r="C30" i="76"/>
  <c r="C39" i="76"/>
  <c r="F42" i="76"/>
  <c r="F40" i="76"/>
  <c r="F10" i="1"/>
  <c r="L48" i="76"/>
  <c r="J53" i="76"/>
  <c r="F1" i="76"/>
  <c r="AE10" i="1"/>
  <c r="F41" i="76"/>
  <c r="C40" i="76"/>
  <c r="M6" i="76"/>
  <c r="M8" i="76"/>
  <c r="M7" i="76"/>
  <c r="M9" i="76"/>
  <c r="J6" i="76"/>
  <c r="M11" i="76"/>
  <c r="J10" i="76"/>
  <c r="J5" i="76"/>
  <c r="J26" i="76"/>
  <c r="J29" i="76"/>
  <c r="B2" i="76"/>
  <c r="G10" i="12"/>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G19" i="4"/>
  <c r="F11" i="1"/>
  <c r="L48" i="72"/>
  <c r="J53" i="72"/>
  <c r="F1" i="72"/>
  <c r="AE11" i="1"/>
  <c r="F41" i="72"/>
  <c r="C40" i="72"/>
  <c r="M6" i="72"/>
  <c r="M8" i="72"/>
  <c r="M7" i="72"/>
  <c r="M9" i="72"/>
  <c r="J6" i="72"/>
  <c r="M11" i="72"/>
  <c r="J10" i="72"/>
  <c r="J5" i="72"/>
  <c r="J26" i="72"/>
  <c r="J29" i="72"/>
  <c r="B2" i="72"/>
  <c r="H10" i="12"/>
  <c r="F6" i="75"/>
  <c r="F8" i="75"/>
  <c r="F7" i="75"/>
  <c r="F9" i="75"/>
  <c r="C6" i="75"/>
  <c r="F11" i="75"/>
  <c r="C10" i="75"/>
  <c r="C5" i="75"/>
  <c r="C32" i="75"/>
  <c r="C33" i="75"/>
  <c r="F35" i="75"/>
  <c r="C34" i="75"/>
  <c r="C31" i="75"/>
  <c r="C14" i="75"/>
  <c r="C15" i="75"/>
  <c r="F16" i="75"/>
  <c r="C16" i="75"/>
  <c r="F43" i="75"/>
  <c r="C17" i="75"/>
  <c r="C18" i="75"/>
  <c r="C19" i="75"/>
  <c r="C20" i="75"/>
  <c r="F24" i="75"/>
  <c r="C23" i="75"/>
  <c r="F26" i="75"/>
  <c r="C26" i="75"/>
  <c r="C24" i="75"/>
  <c r="C27" i="75"/>
  <c r="C29" i="75"/>
  <c r="F36" i="75"/>
  <c r="C36" i="75"/>
  <c r="F13" i="75"/>
  <c r="C13" i="75"/>
  <c r="F37" i="75"/>
  <c r="C37" i="75"/>
  <c r="F38" i="75"/>
  <c r="C38" i="75"/>
  <c r="C30" i="75"/>
  <c r="C39" i="75"/>
  <c r="F42" i="75"/>
  <c r="F40" i="75"/>
  <c r="H19" i="4"/>
  <c r="F12" i="1"/>
  <c r="L48" i="75"/>
  <c r="J53" i="75"/>
  <c r="F1" i="75"/>
  <c r="AE12" i="1"/>
  <c r="F41" i="75"/>
  <c r="C40" i="75"/>
  <c r="M6" i="75"/>
  <c r="M8" i="75"/>
  <c r="M7" i="75"/>
  <c r="M9" i="75"/>
  <c r="J6" i="75"/>
  <c r="M11" i="75"/>
  <c r="J10" i="75"/>
  <c r="J5" i="75"/>
  <c r="J26" i="75"/>
  <c r="J29" i="75"/>
  <c r="B2" i="75"/>
  <c r="I10" i="12"/>
  <c r="D77" i="21"/>
  <c r="E77" i="21"/>
  <c r="F15" i="21"/>
  <c r="AA15" i="21"/>
  <c r="F23" i="21"/>
  <c r="AA23" i="21"/>
  <c r="R47" i="21"/>
  <c r="R48" i="21"/>
  <c r="H15" i="21"/>
  <c r="AB15" i="21"/>
  <c r="H23" i="21"/>
  <c r="AB23" i="21"/>
  <c r="J15" i="21"/>
  <c r="AC15" i="21"/>
  <c r="J17" i="21"/>
  <c r="AC17" i="21"/>
  <c r="V48" i="21"/>
  <c r="B2" i="21"/>
  <c r="C10" i="12"/>
  <c r="D8" i="12"/>
  <c r="D10" i="12"/>
  <c r="E10" i="12"/>
  <c r="F10" i="12"/>
  <c r="C6" i="12"/>
  <c r="M6" i="1"/>
  <c r="O6" i="1"/>
  <c r="P6" i="1"/>
  <c r="M8" i="1"/>
  <c r="O8" i="1"/>
  <c r="P8" i="1"/>
  <c r="M9" i="1"/>
  <c r="O9" i="1"/>
  <c r="P9" i="1"/>
  <c r="O10" i="1"/>
  <c r="P10" i="1"/>
  <c r="P16" i="1"/>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C17" i="9"/>
  <c r="D17" i="9"/>
  <c r="C18" i="9"/>
  <c r="D18" i="9"/>
  <c r="B3" i="75"/>
  <c r="I8" i="12"/>
  <c r="B3" i="72"/>
  <c r="H8" i="12"/>
  <c r="B3" i="76"/>
  <c r="G8" i="12"/>
  <c r="G1" i="76"/>
  <c r="F32" i="76"/>
  <c r="F33" i="76"/>
  <c r="F34" i="76"/>
  <c r="F15" i="76"/>
  <c r="F17" i="76"/>
  <c r="F18" i="76"/>
  <c r="F20" i="76"/>
  <c r="F23" i="76"/>
  <c r="F21" i="76"/>
  <c r="F28" i="76"/>
  <c r="C28" i="76"/>
  <c r="M47" i="76"/>
  <c r="Q66" i="76"/>
  <c r="J50" i="76"/>
  <c r="J51" i="76"/>
  <c r="L60" i="76"/>
  <c r="Q67" i="76"/>
  <c r="Q76" i="76"/>
  <c r="D10" i="1"/>
  <c r="L47" i="76"/>
  <c r="L59" i="76"/>
  <c r="Q75" i="76"/>
  <c r="K59" i="76"/>
  <c r="P75" i="76"/>
  <c r="L58" i="76"/>
  <c r="Q74" i="76"/>
  <c r="Q73" i="76"/>
  <c r="J36" i="76"/>
  <c r="Q72" i="76"/>
  <c r="Q71" i="76"/>
  <c r="Q70" i="76"/>
  <c r="F70" i="76"/>
  <c r="F50" i="76"/>
  <c r="F49" i="76"/>
  <c r="C48" i="76"/>
  <c r="C52" i="76"/>
  <c r="C47" i="76"/>
  <c r="F59" i="76"/>
  <c r="C59" i="76"/>
  <c r="D60" i="76"/>
  <c r="F60" i="76"/>
  <c r="C60" i="76"/>
  <c r="F61" i="76"/>
  <c r="F62" i="76"/>
  <c r="C61" i="76"/>
  <c r="C58" i="76"/>
  <c r="C56" i="76"/>
  <c r="F63" i="76"/>
  <c r="C63" i="76"/>
  <c r="C55" i="76"/>
  <c r="F64" i="76"/>
  <c r="C64" i="76"/>
  <c r="F65" i="76"/>
  <c r="C65" i="76"/>
  <c r="C57" i="76"/>
  <c r="C66" i="76"/>
  <c r="F67" i="76"/>
  <c r="F68" i="76"/>
  <c r="C67" i="76"/>
  <c r="C70" i="76"/>
  <c r="Q69" i="76"/>
  <c r="L51" i="76"/>
  <c r="Q68" i="76"/>
  <c r="Q57" i="76"/>
  <c r="Q58" i="76"/>
  <c r="Q63" i="76"/>
  <c r="Q62" i="76"/>
  <c r="P62" i="76"/>
  <c r="Q61" i="76"/>
  <c r="Q60" i="76"/>
  <c r="J60" i="76"/>
  <c r="Q59" i="76"/>
  <c r="J59" i="76"/>
  <c r="J57" i="76"/>
  <c r="J55" i="76"/>
  <c r="J58" i="76"/>
  <c r="F58" i="76"/>
  <c r="L57" i="76"/>
  <c r="L56" i="76"/>
  <c r="Q48" i="76"/>
  <c r="Q49" i="76"/>
  <c r="Q54" i="76"/>
  <c r="I54" i="76"/>
  <c r="Q53" i="76"/>
  <c r="Q52" i="76"/>
  <c r="Q51" i="76"/>
  <c r="Q50" i="76"/>
  <c r="L46" i="76"/>
  <c r="C46" i="76"/>
  <c r="J42" i="76"/>
  <c r="J43" i="76"/>
  <c r="C43" i="76"/>
  <c r="J35" i="76"/>
  <c r="J39" i="76"/>
  <c r="J40" i="76"/>
  <c r="F31" i="76"/>
  <c r="M29" i="76"/>
  <c r="M28" i="76"/>
  <c r="M27" i="76"/>
  <c r="M26" i="76"/>
  <c r="M18" i="76"/>
  <c r="J18" i="76"/>
  <c r="J19" i="76"/>
  <c r="M20" i="76"/>
  <c r="M21" i="76"/>
  <c r="J20" i="76"/>
  <c r="J17" i="76"/>
  <c r="J14" i="76"/>
  <c r="M22" i="76"/>
  <c r="J22" i="76"/>
  <c r="J15" i="76"/>
  <c r="J13" i="76"/>
  <c r="M23" i="76"/>
  <c r="J23" i="76"/>
  <c r="M24" i="76"/>
  <c r="J24" i="76"/>
  <c r="J16" i="76"/>
  <c r="J25" i="76"/>
  <c r="D24" i="76"/>
  <c r="D23" i="76"/>
  <c r="D22" i="76"/>
  <c r="M19" i="76"/>
  <c r="M17" i="76"/>
  <c r="V47" i="21"/>
  <c r="F32" i="21"/>
  <c r="AA32" i="21"/>
  <c r="H32" i="21"/>
  <c r="AB32" i="21"/>
  <c r="D101" i="21"/>
  <c r="J32" i="21"/>
  <c r="AC32" i="21"/>
  <c r="C11" i="21"/>
  <c r="I7" i="21"/>
  <c r="G7" i="21"/>
  <c r="E7" i="21"/>
  <c r="G1" i="75"/>
  <c r="F32" i="75"/>
  <c r="F33" i="75"/>
  <c r="F34" i="75"/>
  <c r="F15" i="75"/>
  <c r="F17" i="75"/>
  <c r="F18" i="75"/>
  <c r="F20" i="75"/>
  <c r="F23" i="75"/>
  <c r="F21" i="75"/>
  <c r="F28" i="75"/>
  <c r="C28" i="75"/>
  <c r="M47" i="75"/>
  <c r="Q66" i="75"/>
  <c r="J50" i="75"/>
  <c r="J51" i="75"/>
  <c r="L60" i="75"/>
  <c r="Q67" i="75"/>
  <c r="Q76" i="75"/>
  <c r="D12" i="1"/>
  <c r="L47" i="75"/>
  <c r="L59" i="75"/>
  <c r="Q75" i="75"/>
  <c r="K59" i="75"/>
  <c r="P75" i="75"/>
  <c r="L58" i="75"/>
  <c r="Q74" i="75"/>
  <c r="Q73" i="75"/>
  <c r="J36" i="75"/>
  <c r="Q72" i="75"/>
  <c r="Q71" i="75"/>
  <c r="Q70" i="75"/>
  <c r="F70" i="75"/>
  <c r="F50" i="75"/>
  <c r="F49" i="75"/>
  <c r="C48" i="75"/>
  <c r="C52" i="75"/>
  <c r="C47" i="75"/>
  <c r="F59" i="75"/>
  <c r="C59" i="75"/>
  <c r="D60" i="75"/>
  <c r="F60" i="75"/>
  <c r="C60" i="75"/>
  <c r="F61" i="75"/>
  <c r="F62" i="75"/>
  <c r="C61" i="75"/>
  <c r="C58" i="75"/>
  <c r="C56" i="75"/>
  <c r="F63" i="75"/>
  <c r="C63" i="75"/>
  <c r="C55" i="75"/>
  <c r="F64" i="75"/>
  <c r="C64" i="75"/>
  <c r="F65" i="75"/>
  <c r="C65" i="75"/>
  <c r="C57" i="75"/>
  <c r="C66" i="75"/>
  <c r="F67" i="75"/>
  <c r="F68" i="75"/>
  <c r="C67" i="75"/>
  <c r="C70" i="75"/>
  <c r="Q69" i="75"/>
  <c r="L51" i="75"/>
  <c r="Q68" i="75"/>
  <c r="Q57" i="75"/>
  <c r="Q58" i="75"/>
  <c r="Q63" i="75"/>
  <c r="Q62" i="75"/>
  <c r="P62" i="75"/>
  <c r="Q61" i="75"/>
  <c r="Q60" i="75"/>
  <c r="J60" i="75"/>
  <c r="Q59" i="75"/>
  <c r="J59" i="75"/>
  <c r="J57" i="75"/>
  <c r="J55" i="75"/>
  <c r="J58" i="75"/>
  <c r="F58" i="75"/>
  <c r="L57" i="75"/>
  <c r="L56" i="75"/>
  <c r="Q48" i="75"/>
  <c r="Q49" i="75"/>
  <c r="Q54" i="75"/>
  <c r="I54" i="75"/>
  <c r="Q53" i="75"/>
  <c r="Q52" i="75"/>
  <c r="Q51" i="75"/>
  <c r="Q50" i="75"/>
  <c r="L46" i="75"/>
  <c r="C46" i="75"/>
  <c r="J42" i="75"/>
  <c r="J43" i="75"/>
  <c r="C43" i="75"/>
  <c r="J35" i="75"/>
  <c r="J39" i="75"/>
  <c r="J40" i="75"/>
  <c r="F31" i="75"/>
  <c r="M29" i="75"/>
  <c r="M28" i="75"/>
  <c r="M27" i="75"/>
  <c r="M26" i="75"/>
  <c r="M18" i="75"/>
  <c r="J18" i="75"/>
  <c r="J19" i="75"/>
  <c r="M20" i="75"/>
  <c r="M21" i="75"/>
  <c r="J20" i="75"/>
  <c r="J17" i="75"/>
  <c r="J14" i="75"/>
  <c r="M22" i="75"/>
  <c r="J22" i="75"/>
  <c r="J15" i="75"/>
  <c r="J13" i="75"/>
  <c r="M23" i="75"/>
  <c r="J23" i="75"/>
  <c r="M24" i="75"/>
  <c r="J24" i="75"/>
  <c r="J16" i="75"/>
  <c r="J25" i="75"/>
  <c r="D24" i="75"/>
  <c r="D23" i="75"/>
  <c r="D22" i="75"/>
  <c r="M19" i="75"/>
  <c r="M17" i="75"/>
  <c r="I48" i="39"/>
  <c r="I40" i="39"/>
  <c r="G48" i="39"/>
  <c r="G40" i="39"/>
  <c r="E48" i="39"/>
  <c r="E40" i="39"/>
  <c r="I9" i="39"/>
  <c r="G9" i="39"/>
  <c r="E9" i="39"/>
  <c r="I7" i="39"/>
  <c r="G7" i="39"/>
  <c r="E7" i="39"/>
  <c r="L16" i="73"/>
  <c r="L15" i="73"/>
  <c r="L14" i="73"/>
  <c r="L13" i="73"/>
  <c r="L12" i="73"/>
  <c r="L11" i="73"/>
  <c r="L10" i="73"/>
  <c r="L9" i="73"/>
  <c r="L8" i="73"/>
  <c r="L7" i="73"/>
  <c r="L6" i="73"/>
  <c r="L5" i="73"/>
  <c r="L4" i="73"/>
  <c r="L3" i="73"/>
  <c r="L2" i="73"/>
  <c r="C13" i="39"/>
  <c r="G24" i="6"/>
  <c r="G25" i="6"/>
  <c r="I19" i="3"/>
  <c r="I18" i="3"/>
  <c r="I17" i="3"/>
  <c r="I16" i="3"/>
  <c r="I15" i="3"/>
  <c r="I14" i="3"/>
  <c r="I13" i="3"/>
  <c r="F23" i="6"/>
  <c r="F20" i="6"/>
  <c r="F22" i="6"/>
  <c r="F21" i="6"/>
  <c r="F19" i="6"/>
  <c r="AN24" i="3"/>
  <c r="AL23" i="3"/>
  <c r="AL20" i="3"/>
  <c r="D3" i="4"/>
  <c r="H14" i="3"/>
  <c r="G14" i="3"/>
  <c r="H15" i="3"/>
  <c r="G15" i="3"/>
  <c r="H16" i="3"/>
  <c r="G16" i="3"/>
  <c r="H17" i="3"/>
  <c r="G17" i="3"/>
  <c r="H18" i="3"/>
  <c r="G18" i="3"/>
  <c r="H19" i="3"/>
  <c r="G19" i="3"/>
  <c r="H13" i="3"/>
  <c r="G13" i="3"/>
  <c r="H20" i="3"/>
  <c r="AC20" i="3"/>
  <c r="G20" i="3"/>
  <c r="H21" i="3"/>
  <c r="G21" i="3"/>
  <c r="H22" i="3"/>
  <c r="G22" i="3"/>
  <c r="H23" i="3"/>
  <c r="AC23" i="3"/>
  <c r="G23" i="3"/>
  <c r="H24" i="3"/>
  <c r="AC24" i="3"/>
  <c r="G24" i="3"/>
  <c r="AC25" i="3"/>
  <c r="H25" i="3"/>
  <c r="G25" i="3"/>
  <c r="G5" i="3"/>
  <c r="B3" i="3"/>
  <c r="B2" i="1"/>
  <c r="C9" i="39"/>
  <c r="K5" i="3"/>
  <c r="I5" i="3"/>
  <c r="E21" i="6"/>
  <c r="E9" i="12"/>
  <c r="E20" i="6"/>
  <c r="E19" i="6"/>
  <c r="D9" i="12"/>
  <c r="E23" i="6"/>
  <c r="C9" i="12"/>
  <c r="AC13" i="3"/>
  <c r="AC14" i="3"/>
  <c r="AC15" i="3"/>
  <c r="G4" i="71"/>
  <c r="G2" i="71"/>
  <c r="AC16" i="3"/>
  <c r="G5" i="71"/>
  <c r="G3" i="71"/>
  <c r="G6" i="71"/>
  <c r="AC17" i="3"/>
  <c r="AC18" i="3"/>
  <c r="AC19" i="3"/>
  <c r="AC21" i="3"/>
  <c r="AC22"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C33" i="2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C26" i="71"/>
  <c r="C25" i="71"/>
  <c r="C24" i="71"/>
  <c r="D69" i="21"/>
  <c r="E69" i="21"/>
  <c r="F69" i="21"/>
  <c r="F11" i="21"/>
  <c r="AA11" i="21"/>
  <c r="F33" i="21"/>
  <c r="AA33" i="21"/>
  <c r="C7" i="21"/>
  <c r="C58" i="21"/>
  <c r="D58" i="21"/>
  <c r="E58" i="21"/>
  <c r="F58" i="21"/>
  <c r="G58" i="21"/>
  <c r="H58" i="21"/>
  <c r="I58" i="21"/>
  <c r="J58" i="21"/>
  <c r="K58" i="21"/>
  <c r="L58" i="21"/>
  <c r="M58" i="21"/>
  <c r="N58" i="21"/>
  <c r="O58" i="21"/>
  <c r="F7" i="21"/>
  <c r="AA7" i="21"/>
  <c r="F8" i="21"/>
  <c r="AA8" i="21"/>
  <c r="C63" i="21"/>
  <c r="F9" i="21"/>
  <c r="AA9" i="21"/>
  <c r="D66" i="21"/>
  <c r="E66" i="21"/>
  <c r="F66" i="21"/>
  <c r="F10" i="21"/>
  <c r="AA10" i="21"/>
  <c r="B70" i="21"/>
  <c r="F12" i="21"/>
  <c r="AA12" i="21"/>
  <c r="B72" i="21"/>
  <c r="F13" i="21"/>
  <c r="AA13" i="21"/>
  <c r="B74" i="21"/>
  <c r="F14" i="21"/>
  <c r="AA14" i="21"/>
  <c r="D79" i="21"/>
  <c r="F17" i="21"/>
  <c r="AA17" i="21"/>
  <c r="D81" i="21"/>
  <c r="F19" i="21"/>
  <c r="AA19" i="21"/>
  <c r="F21" i="21"/>
  <c r="AA21" i="21"/>
  <c r="D85" i="21"/>
  <c r="E85" i="21"/>
  <c r="F25" i="21"/>
  <c r="AA25" i="21"/>
  <c r="F26" i="21"/>
  <c r="AA26" i="21"/>
  <c r="B90" i="21"/>
  <c r="F27" i="21"/>
  <c r="AA27" i="21"/>
  <c r="B92" i="21"/>
  <c r="F28" i="21"/>
  <c r="AA28" i="21"/>
  <c r="B94" i="21"/>
  <c r="F29" i="21"/>
  <c r="AA29" i="21"/>
  <c r="B96" i="21"/>
  <c r="F30" i="21"/>
  <c r="AA30" i="21"/>
  <c r="B98" i="21"/>
  <c r="F31" i="21"/>
  <c r="AA31"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H11" i="21"/>
  <c r="AB11" i="21"/>
  <c r="H33" i="21"/>
  <c r="AB33" i="21"/>
  <c r="H7" i="21"/>
  <c r="AB7" i="21"/>
  <c r="H8" i="21"/>
  <c r="AB8" i="21"/>
  <c r="H9" i="21"/>
  <c r="AB9" i="21"/>
  <c r="H10" i="21"/>
  <c r="AB10" i="21"/>
  <c r="H12" i="21"/>
  <c r="AB12" i="21"/>
  <c r="H13" i="21"/>
  <c r="AB13" i="21"/>
  <c r="H14" i="21"/>
  <c r="AB14" i="21"/>
  <c r="H17" i="21"/>
  <c r="AB17" i="21"/>
  <c r="H19" i="21"/>
  <c r="AB19" i="21"/>
  <c r="H21" i="21"/>
  <c r="AB21"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11" i="21"/>
  <c r="AC11" i="21"/>
  <c r="J33" i="21"/>
  <c r="AC33" i="21"/>
  <c r="J7" i="21"/>
  <c r="AC7" i="21"/>
  <c r="J8" i="21"/>
  <c r="AC8" i="21"/>
  <c r="J9" i="21"/>
  <c r="AC9" i="21"/>
  <c r="J10" i="21"/>
  <c r="AC10" i="21"/>
  <c r="J12" i="21"/>
  <c r="AC12" i="21"/>
  <c r="J13" i="21"/>
  <c r="AC13" i="21"/>
  <c r="J14" i="21"/>
  <c r="AC14" i="21"/>
  <c r="J19" i="21"/>
  <c r="AC19" i="21"/>
  <c r="J21" i="21"/>
  <c r="AC21" i="21"/>
  <c r="J23" i="21"/>
  <c r="AC23"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3" i="21"/>
  <c r="G69" i="21"/>
  <c r="E3" i="6"/>
  <c r="D19" i="6"/>
  <c r="D20" i="6"/>
  <c r="D21" i="6"/>
  <c r="E22" i="6"/>
  <c r="D22" i="6"/>
  <c r="D23" i="6"/>
  <c r="E24" i="6"/>
  <c r="D24" i="6"/>
  <c r="E25" i="6"/>
  <c r="D25" i="6"/>
  <c r="E26" i="6"/>
  <c r="D26" i="6"/>
  <c r="D27" i="6"/>
  <c r="BQ5" i="3"/>
  <c r="BS5" i="3"/>
  <c r="F28" i="6"/>
  <c r="BR5" i="3"/>
  <c r="BT5" i="3"/>
  <c r="G28" i="6"/>
  <c r="E28" i="6"/>
  <c r="D28" i="6"/>
  <c r="BN5" i="3"/>
  <c r="BP5" i="3"/>
  <c r="G29" i="6"/>
  <c r="BM5" i="3"/>
  <c r="BO5" i="3"/>
  <c r="F29" i="6"/>
  <c r="E29" i="6"/>
  <c r="D29" i="6"/>
  <c r="D30" i="6"/>
  <c r="D31" i="6"/>
  <c r="F30" i="6"/>
  <c r="BB10" i="3"/>
  <c r="BB5" i="3"/>
  <c r="BC10" i="3"/>
  <c r="BC5" i="3"/>
  <c r="BD10" i="3"/>
  <c r="BE10" i="3"/>
  <c r="BF10" i="3"/>
  <c r="BG10" i="3"/>
  <c r="BH10" i="3"/>
  <c r="BI10" i="3"/>
  <c r="BJ10" i="3"/>
  <c r="BK10" i="3"/>
  <c r="BD5" i="3"/>
  <c r="BE5" i="3"/>
  <c r="BF5" i="3"/>
  <c r="BG5" i="3"/>
  <c r="BH5" i="3"/>
  <c r="BI5" i="3"/>
  <c r="BJ5" i="3"/>
  <c r="BK5" i="3"/>
  <c r="E8" i="6"/>
  <c r="F27" i="6"/>
  <c r="F31" i="6"/>
  <c r="I6" i="6"/>
  <c r="A6" i="1"/>
  <c r="A7" i="1"/>
  <c r="A8" i="1"/>
  <c r="A9" i="1"/>
  <c r="A10" i="1"/>
  <c r="A11" i="1"/>
  <c r="G1" i="72"/>
  <c r="K8" i="1"/>
  <c r="K11" i="1"/>
  <c r="C1" i="65"/>
  <c r="N1" i="65"/>
  <c r="B43" i="1"/>
  <c r="B41" i="1"/>
  <c r="F32" i="72"/>
  <c r="F33" i="72"/>
  <c r="E32" i="6"/>
  <c r="L21" i="6"/>
  <c r="BA5" i="3"/>
  <c r="E27" i="6"/>
  <c r="K21" i="6"/>
  <c r="M21" i="6"/>
  <c r="I21" i="6"/>
  <c r="H21" i="6"/>
  <c r="R21" i="6"/>
  <c r="R8" i="1"/>
  <c r="L24" i="6"/>
  <c r="K24" i="6"/>
  <c r="M24" i="6"/>
  <c r="I24" i="6"/>
  <c r="H24" i="6"/>
  <c r="R24" i="6"/>
  <c r="R11" i="1"/>
  <c r="B52" i="1"/>
  <c r="F34" i="72"/>
  <c r="K14" i="1"/>
  <c r="M14" i="1"/>
  <c r="T4" i="1"/>
  <c r="S8" i="1"/>
  <c r="K19" i="6"/>
  <c r="S6" i="1"/>
  <c r="K20" i="6"/>
  <c r="S7" i="1"/>
  <c r="K22" i="6"/>
  <c r="S9" i="1"/>
  <c r="K23" i="6"/>
  <c r="S10" i="1"/>
  <c r="S11" i="1"/>
  <c r="A12" i="1"/>
  <c r="K25" i="6"/>
  <c r="S12" i="1"/>
  <c r="A13" i="1"/>
  <c r="S13" i="1"/>
  <c r="S16" i="1"/>
  <c r="T8" i="1"/>
  <c r="M11" i="1"/>
  <c r="T11" i="1"/>
  <c r="F15" i="72"/>
  <c r="F17" i="72"/>
  <c r="F18" i="72"/>
  <c r="F20" i="72"/>
  <c r="H1" i="65"/>
  <c r="B22" i="1"/>
  <c r="C2" i="65"/>
  <c r="I6" i="65"/>
  <c r="I1" i="65"/>
  <c r="F23" i="72"/>
  <c r="F21" i="72"/>
  <c r="F28" i="72"/>
  <c r="C42" i="1"/>
  <c r="C28" i="72"/>
  <c r="F8" i="1"/>
  <c r="M47" i="72"/>
  <c r="J50" i="72"/>
  <c r="J51" i="72"/>
  <c r="AE8" i="1"/>
  <c r="C43" i="72"/>
  <c r="G1" i="15"/>
  <c r="E19" i="4"/>
  <c r="F7" i="1"/>
  <c r="L48" i="15"/>
  <c r="M47" i="15"/>
  <c r="J50" i="15"/>
  <c r="J51" i="15"/>
  <c r="J53" i="15"/>
  <c r="F1" i="15"/>
  <c r="AE7" i="1"/>
  <c r="Q66" i="72"/>
  <c r="L60" i="72"/>
  <c r="Q67" i="72"/>
  <c r="Q76" i="72"/>
  <c r="D8" i="1"/>
  <c r="D11"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F6" i="15"/>
  <c r="F8" i="15"/>
  <c r="K7" i="1"/>
  <c r="F7" i="15"/>
  <c r="F9" i="15"/>
  <c r="C6" i="15"/>
  <c r="F11" i="15"/>
  <c r="C10" i="15"/>
  <c r="C5" i="15"/>
  <c r="F32" i="15"/>
  <c r="C32" i="15"/>
  <c r="F33" i="15"/>
  <c r="C33" i="15"/>
  <c r="L20" i="6"/>
  <c r="M20" i="6"/>
  <c r="I20" i="6"/>
  <c r="H20" i="6"/>
  <c r="R20" i="6"/>
  <c r="R7" i="1"/>
  <c r="F35" i="15"/>
  <c r="F34" i="15"/>
  <c r="C34" i="15"/>
  <c r="C31" i="15"/>
  <c r="T7" i="1"/>
  <c r="M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C43" i="15"/>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 i="44"/>
  <c r="L49" i="44"/>
  <c r="M48" i="44"/>
  <c r="J51" i="44"/>
  <c r="J52" i="44"/>
  <c r="J54" i="44"/>
  <c r="I4" i="65"/>
  <c r="E20" i="46"/>
  <c r="C18" i="46"/>
  <c r="AD5" i="3"/>
  <c r="AH5" i="3"/>
  <c r="AL5" i="3"/>
  <c r="AP5" i="3"/>
  <c r="M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F8" i="44"/>
  <c r="F10" i="44"/>
  <c r="F9" i="44"/>
  <c r="F11" i="44"/>
  <c r="C8"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3" i="1"/>
  <c r="D6" i="1"/>
  <c r="D7" i="1"/>
  <c r="D9" i="1"/>
  <c r="AP10" i="1"/>
  <c r="M25" i="6"/>
  <c r="I25" i="6"/>
  <c r="H25" i="6"/>
  <c r="R25" i="6"/>
  <c r="R12" i="1"/>
  <c r="B13" i="1"/>
  <c r="E13" i="1"/>
  <c r="M23" i="6"/>
  <c r="I23" i="6"/>
  <c r="H23" i="6"/>
  <c r="R23" i="6"/>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O14" i="1"/>
  <c r="P14" i="1"/>
  <c r="O7" i="1"/>
  <c r="P7" i="1"/>
  <c r="K6" i="1"/>
  <c r="K9" i="1"/>
  <c r="K10" i="1"/>
  <c r="O11" i="1"/>
  <c r="P11" i="1"/>
  <c r="O12" i="1"/>
  <c r="P12" i="1"/>
  <c r="O13" i="1"/>
  <c r="P13" i="1"/>
  <c r="F14" i="12"/>
  <c r="F15" i="12"/>
  <c r="E16" i="12"/>
  <c r="F17" i="12"/>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F9" i="1"/>
  <c r="F19" i="4"/>
  <c r="B2" i="52"/>
  <c r="E22" i="52"/>
  <c r="I2" i="46"/>
  <c r="N12" i="46"/>
  <c r="A7" i="46"/>
  <c r="F41" i="4"/>
  <c r="J52" i="40"/>
  <c r="H61" i="49"/>
  <c r="H39" i="46"/>
  <c r="H38" i="46"/>
  <c r="H37" i="46"/>
  <c r="H36" i="46"/>
  <c r="H35" i="46"/>
  <c r="H34" i="46"/>
  <c r="P17" i="46"/>
  <c r="O17" i="46"/>
  <c r="N17" i="46"/>
  <c r="M17" i="46"/>
  <c r="D38" i="4"/>
  <c r="C39" i="4"/>
  <c r="C35" i="4"/>
  <c r="E19" i="12"/>
  <c r="E21" i="12"/>
  <c r="E22" i="12"/>
  <c r="F23" i="12"/>
  <c r="F24" i="12"/>
  <c r="F25"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G66" i="21"/>
  <c r="H66" i="21"/>
  <c r="I66" i="21"/>
  <c r="D111" i="21"/>
  <c r="E111" i="21"/>
  <c r="F111" i="21"/>
  <c r="C111" i="21"/>
  <c r="E79" i="21"/>
  <c r="F79" i="21"/>
  <c r="G79"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G6" i="1"/>
  <c r="G7" i="1"/>
  <c r="G8" i="1"/>
  <c r="G9" i="1"/>
  <c r="G11"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AA21" i="39"/>
  <c r="AA44" i="39"/>
  <c r="AA46" i="39"/>
  <c r="H9" i="39"/>
  <c r="AB9" i="39"/>
  <c r="AB15" i="39"/>
  <c r="AB31" i="39"/>
  <c r="AB33" i="39"/>
  <c r="AB38" i="39"/>
  <c r="AB43" i="39"/>
  <c r="AB45" i="39"/>
  <c r="AC17" i="39"/>
  <c r="J9" i="39"/>
  <c r="AC9" i="39"/>
  <c r="AC19" i="39"/>
  <c r="AC21" i="39"/>
  <c r="J31" i="39"/>
  <c r="AC31" i="39"/>
  <c r="AC37" i="39"/>
  <c r="AC38" i="39"/>
  <c r="AC44" i="39"/>
  <c r="AC46" i="39"/>
  <c r="E58" i="39"/>
  <c r="E11" i="6"/>
  <c r="E63" i="39"/>
  <c r="E12" i="6"/>
  <c r="E64" i="39"/>
  <c r="E13" i="6"/>
  <c r="E65" i="39"/>
  <c r="E14" i="6"/>
  <c r="E66" i="39"/>
  <c r="E15" i="6"/>
  <c r="E67" i="39"/>
  <c r="E5" i="6"/>
  <c r="E6" i="6"/>
  <c r="F29" i="12"/>
  <c r="C25" i="12"/>
  <c r="C24" i="9"/>
  <c r="AP11" i="1"/>
  <c r="B11" i="1"/>
  <c r="E11" i="1"/>
  <c r="B9" i="1"/>
  <c r="E9" i="1"/>
  <c r="B7" i="1"/>
  <c r="E7" i="1"/>
  <c r="C20" i="43"/>
  <c r="C52" i="15"/>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AP9" i="1"/>
  <c r="AP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AG6" i="1"/>
  <c r="M27" i="15"/>
  <c r="M11" i="44"/>
  <c r="F18" i="44"/>
  <c r="M28" i="15"/>
  <c r="M24" i="15"/>
  <c r="J17" i="44"/>
  <c r="M25" i="44"/>
  <c r="F39" i="44"/>
  <c r="F15" i="44"/>
  <c r="M26" i="15"/>
  <c r="L48" i="44"/>
  <c r="M10" i="44"/>
  <c r="J36" i="15"/>
  <c r="M29" i="44"/>
  <c r="M8" i="44"/>
  <c r="M26" i="44"/>
  <c r="F28" i="44"/>
  <c r="M28" i="44"/>
  <c r="M22" i="15"/>
  <c r="F40" i="44"/>
  <c r="M8" i="15"/>
  <c r="L47" i="15"/>
  <c r="M23" i="15"/>
  <c r="M31" i="44"/>
  <c r="M9" i="15"/>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M7" i="15"/>
  <c r="F49" i="15"/>
  <c r="F70" i="15"/>
  <c r="L56" i="15"/>
  <c r="J57" i="15"/>
  <c r="J55" i="15"/>
  <c r="J58" i="15"/>
  <c r="Q51" i="15"/>
  <c r="F65" i="15"/>
  <c r="G66" i="36"/>
  <c r="J18" i="36"/>
  <c r="F1" i="44"/>
  <c r="AE6" i="1"/>
  <c r="F33" i="44"/>
  <c r="F31" i="15"/>
  <c r="F58" i="15"/>
  <c r="C18" i="44"/>
  <c r="F46" i="44"/>
  <c r="M17" i="15"/>
  <c r="M19" i="44"/>
  <c r="H7" i="37"/>
  <c r="Q62" i="44"/>
  <c r="Q76" i="44"/>
  <c r="J7" i="37"/>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6" i="15"/>
  <c r="J5" i="15"/>
  <c r="J18" i="15"/>
  <c r="J8" i="44"/>
  <c r="J7" i="44"/>
  <c r="E48" i="33"/>
  <c r="E52" i="33"/>
  <c r="F52" i="33"/>
  <c r="AC6" i="3"/>
  <c r="D12" i="11"/>
  <c r="C12" i="11"/>
  <c r="F68" i="15"/>
  <c r="E59" i="40"/>
  <c r="E58" i="40"/>
  <c r="E16" i="6"/>
  <c r="F24" i="43"/>
  <c r="E60" i="40"/>
  <c r="K26" i="6"/>
  <c r="M26" i="6"/>
  <c r="I26" i="6"/>
  <c r="S26" i="6"/>
  <c r="S24" i="6"/>
  <c r="S23"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2" i="1"/>
  <c r="O16" i="1"/>
  <c r="C13" i="43"/>
  <c r="L16" i="1"/>
  <c r="N16" i="1"/>
  <c r="C29" i="43"/>
  <c r="D13" i="11"/>
  <c r="C13" i="11"/>
  <c r="I27" i="6"/>
  <c r="S19" i="6"/>
  <c r="S27" i="6"/>
  <c r="H19" i="6"/>
  <c r="C22" i="4"/>
  <c r="D10" i="6"/>
  <c r="D11" i="6"/>
  <c r="D13" i="6"/>
  <c r="D12" i="6"/>
  <c r="D6" i="6"/>
  <c r="D9" i="6"/>
  <c r="D5" i="6"/>
  <c r="D14" i="6"/>
  <c r="H22" i="6"/>
  <c r="R22" i="6"/>
  <c r="R9" i="1"/>
  <c r="D15" i="6"/>
  <c r="D8" i="6"/>
  <c r="H26" i="6"/>
  <c r="B4" i="11"/>
  <c r="B5" i="11"/>
  <c r="E53" i="21"/>
  <c r="F53" i="21"/>
  <c r="E52" i="21"/>
  <c r="F52" i="21"/>
  <c r="C48" i="21"/>
  <c r="I53" i="21"/>
  <c r="J53" i="21"/>
  <c r="I65" i="40"/>
  <c r="H67" i="40"/>
  <c r="C16" i="44"/>
  <c r="C20" i="44"/>
  <c r="C17" i="44"/>
  <c r="B3" i="67"/>
  <c r="B4" i="67"/>
  <c r="T16" i="1"/>
  <c r="H27" i="6"/>
  <c r="D16"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J26" i="15"/>
  <c r="J29"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AA9" i="40"/>
  <c r="R44" i="40"/>
  <c r="S9" i="40"/>
  <c r="U9" i="39"/>
  <c r="AB9" i="40"/>
  <c r="T44" i="40"/>
  <c r="G44" i="40"/>
  <c r="U9" i="40"/>
  <c r="AC9" i="40"/>
  <c r="V44" i="40"/>
  <c r="I44" i="40"/>
  <c r="W9" i="40"/>
  <c r="C46" i="15"/>
  <c r="Q66" i="15"/>
  <c r="Q67" i="15"/>
  <c r="Q68" i="15"/>
  <c r="Q57" i="15"/>
  <c r="J42" i="15"/>
  <c r="J43" i="15"/>
  <c r="I48" i="40"/>
  <c r="J48" i="40"/>
  <c r="G48" i="40"/>
  <c r="H48" i="40"/>
  <c r="G49" i="40"/>
  <c r="H49" i="40"/>
  <c r="E44" i="40"/>
  <c r="R45" i="40"/>
  <c r="B2" i="15"/>
  <c r="B3" i="15"/>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D77" i="9"/>
  <c r="N7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D73" i="9"/>
  <c r="N73" i="9"/>
  <c r="C103" i="9"/>
  <c r="C111" i="9"/>
  <c r="C104" i="9"/>
  <c r="C113" i="9"/>
  <c r="C114" i="9"/>
  <c r="C115" i="9"/>
  <c r="D76" i="9"/>
  <c r="D74" i="9"/>
  <c r="N74"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<sst xmlns="http://schemas.openxmlformats.org/spreadsheetml/2006/main" count="8480" uniqueCount="3259">
  <si>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</si>
  <si>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</si>
  <si>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</si>
  <si>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</si>
  <si>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</si>
  <si>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</si>
  <si>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</si>
  <si>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</si>
  <si>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</si>
  <si>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</si>
  <si>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</si>
  <si>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</si>
  <si>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</si>
  <si>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</si>
  <si>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</si>
  <si>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</si>
  <si>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</si>
  <si>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</si>
  <si>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</si>
  <si>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</si>
  <si>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</si>
  <si>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</si>
  <si>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</si>
  <si>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</si>
  <si>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</si>
  <si>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</si>
  <si>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</si>
  <si>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</si>
  <si>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</si>
  <si>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</si>
  <si>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</si>
  <si>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</si>
  <si>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</si>
  <si>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</si>
  <si>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</si>
  <si>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</si>
  <si>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</si>
  <si>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</si>
  <si>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</si>
  <si>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</si>
  <si>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</si>
  <si>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</si>
  <si>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</si>
  <si>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</si>
  <si>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</si>
  <si>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</si>
  <si>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</si>
  <si>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</si>
  <si>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</si>
  <si>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</si>
  <si>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</si>
  <si>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</si>
  <si>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</si>
  <si>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</si>
  <si>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</si>
  <si>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</si>
  <si>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</si>
  <si>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</si>
  <si>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</si>
  <si>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</si>
  <si>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</si>
  <si>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</si>
  <si>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</si>
  <si>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</si>
  <si>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</si>
  <si>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</si>
  <si>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</si>
  <si>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</si>
  <si>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</si>
  <si>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</si>
  <si>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</si>
  <si>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</si>
  <si>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</si>
  <si>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</si>
  <si>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</si>
  <si>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</si>
  <si>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</si>
  <si>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</si>
  <si>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</si>
  <si>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</si>
  <si>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</si>
  <si>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</si>
  <si>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</si>
  <si>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</si>
  <si>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</si>
  <si>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</si>
  <si>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</si>
  <si>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</si>
  <si>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</si>
  <si>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</si>
  <si>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</si>
  <si>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</si>
  <si>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</si>
  <si>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</si>
  <si>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</si>
  <si>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</si>
  <si>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</si>
  <si>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</si>
  <si>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</si>
  <si>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</si>
  <si>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</si>
  <si>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</si>
  <si>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</si>
  <si>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</si>
  <si>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</si>
  <si>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</si>
  <si>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</si>
  <si>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</si>
  <si>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</si>
  <si>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</si>
  <si>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</si>
  <si>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</si>
  <si>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</si>
  <si>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</si>
  <si>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</si>
  <si>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</si>
  <si>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</si>
  <si>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</si>
  <si>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</si>
  <si>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</si>
  <si>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</si>
  <si>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</si>
  <si>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</si>
  <si>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</si>
  <si>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</si>
  <si>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</si>
  <si>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</si>
  <si>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</si>
  <si>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</si>
  <si>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</si>
  <si>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</si>
  <si>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</si>
  <si>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</si>
  <si>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</si>
  <si>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</si>
  <si>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</si>
  <si>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</si>
  <si>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</si>
  <si>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</si>
  <si>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</si>
  <si>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</si>
  <si>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</si>
  <si>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</si>
  <si>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</si>
  <si>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</si>
  <si>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</si>
  <si>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</si>
  <si>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</si>
  <si>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</si>
  <si>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</si>
  <si>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</si>
  <si>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</si>
  <si>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</si>
  <si>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</si>
  <si>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</si>
  <si>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</si>
  <si>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</si>
  <si>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</si>
  <si>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</si>
  <si>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</si>
  <si>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</si>
  <si>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</si>
  <si>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</si>
  <si>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</si>
  <si>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</si>
  <si>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</si>
  <si>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</si>
  <si>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</si>
  <si>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</si>
  <si>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</si>
  <si>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</si>
  <si>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</si>
  <si>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</si>
  <si>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</si>
  <si>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</si>
  <si>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</si>
  <si>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</si>
  <si>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</si>
  <si>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</si>
  <si>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</si>
  <si>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</si>
  <si>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</si>
  <si>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</si>
  <si>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</si>
  <si>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</si>
  <si>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</si>
  <si>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</si>
  <si>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</si>
  <si>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</si>
  <si>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</si>
  <si>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</si>
  <si>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</si>
  <si>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</si>
  <si>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</si>
  <si>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</si>
  <si>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</si>
  <si>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</si>
  <si>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</si>
  <si>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</si>
  <si>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</si>
  <si>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</si>
  <si>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</si>
  <si>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</si>
  <si>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</si>
  <si>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</si>
  <si>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</si>
  <si>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</si>
  <si>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</si>
  <si>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</si>
  <si>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</si>
  <si>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</si>
  <si>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</si>
  <si>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</si>
  <si>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</si>
  <si>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</si>
  <si>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</si>
  <si>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</si>
  <si>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</si>
  <si>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</si>
  <si>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</si>
  <si>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</si>
  <si>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</si>
  <si>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</si>
  <si>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</si>
  <si>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</si>
  <si>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</si>
  <si>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</si>
  <si>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</si>
  <si>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</si>
  <si>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</si>
  <si>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</si>
  <si>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</si>
  <si>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</si>
  <si>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</si>
  <si>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</si>
  <si>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</si>
  <si>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</si>
  <si>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</si>
  <si>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</si>
  <si>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</si>
  <si>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</si>
  <si>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</si>
  <si>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</si>
  <si>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</si>
  <si>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</si>
  <si>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</si>
  <si>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</si>
  <si>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</si>
  <si>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</si>
  <si>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</si>
  <si>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</si>
  <si>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</si>
  <si>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</si>
  <si>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</si>
  <si>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</si>
  <si>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</si>
  <si>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</si>
  <si>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</si>
  <si>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</si>
  <si>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</si>
  <si>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</si>
  <si>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</si>
  <si>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</si>
  <si>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</si>
  <si>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</si>
  <si>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</si>
  <si>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</si>
  <si>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</si>
  <si>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</si>
  <si>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</si>
  <si>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</si>
  <si>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</si>
  <si>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</si>
  <si>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</si>
  <si>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</si>
  <si>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</si>
  <si>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</si>
  <si>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</si>
  <si>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</si>
  <si>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</si>
  <si>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</si>
  <si>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</si>
  <si>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</si>
  <si>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</si>
  <si>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</si>
  <si>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</si>
  <si>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</si>
  <si>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</si>
  <si>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</si>
  <si>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</si>
  <si>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</si>
  <si>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</si>
  <si>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</si>
  <si>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</si>
  <si>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</si>
  <si>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</si>
  <si>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</si>
  <si>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</si>
  <si>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</si>
  <si>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</si>
  <si>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</si>
  <si>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</si>
  <si>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</si>
  <si>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</si>
  <si>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</si>
  <si>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</si>
  <si>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</si>
  <si>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</si>
  <si>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</si>
  <si>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</si>
  <si>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</si>
  <si>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</si>
  <si>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</si>
  <si>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</si>
  <si>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</si>
  <si>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</si>
  <si>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</si>
  <si>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</si>
  <si>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</si>
  <si>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</si>
  <si>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</si>
  <si>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</si>
  <si>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</si>
  <si>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</si>
  <si>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</si>
  <si>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</si>
  <si>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</si>
  <si>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</si>
  <si>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</si>
  <si>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</si>
  <si>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</si>
  <si>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</si>
  <si>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</si>
  <si>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</si>
  <si>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</si>
  <si>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</si>
  <si>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</si>
  <si>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</si>
  <si>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</si>
  <si>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</si>
  <si>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</si>
  <si>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</si>
  <si>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</si>
  <si>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</si>
  <si>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</si>
  <si>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</si>
  <si>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</si>
  <si>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</si>
  <si>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</si>
  <si>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</si>
  <si>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</si>
  <si>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</si>
  <si>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</si>
  <si>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</si>
  <si>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</si>
  <si>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</si>
  <si>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</si>
  <si>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</si>
  <si>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</si>
  <si>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</si>
  <si>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</si>
  <si>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</si>
  <si>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</si>
  <si>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</si>
  <si>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</si>
  <si>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</si>
  <si>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</si>
  <si>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</si>
  <si>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</si>
  <si>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</si>
  <si>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</si>
  <si>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</si>
  <si>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</si>
  <si>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</si>
  <si>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</si>
  <si>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</si>
  <si>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</si>
  <si>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</si>
  <si>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</si>
  <si>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</si>
  <si>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</si>
  <si>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</si>
  <si>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</si>
  <si>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</si>
  <si>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</si>
  <si>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</si>
  <si>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</si>
  <si>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</si>
  <si>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</si>
  <si>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</si>
  <si>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</si>
  <si>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</si>
  <si>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</si>
  <si>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</si>
  <si>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</si>
  <si>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</si>
  <si>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</si>
  <si>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</si>
  <si>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</si>
  <si>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</si>
  <si>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</si>
  <si>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</si>
  <si>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</si>
  <si>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</si>
  <si>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</si>
  <si>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</si>
  <si>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</si>
  <si>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</si>
  <si>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</si>
  <si>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</si>
  <si>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</si>
  <si>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</si>
  <si>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</si>
  <si>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</si>
  <si>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</si>
  <si>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</si>
  <si>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</si>
  <si>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</si>
  <si>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</si>
  <si>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</si>
  <si>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</si>
  <si>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</si>
  <si>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</si>
  <si>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</si>
  <si>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</si>
  <si>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</si>
  <si>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</si>
  <si>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</si>
  <si>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</si>
  <si>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</si>
  <si>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</si>
  <si>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</si>
  <si>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</si>
  <si>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</si>
  <si>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</si>
  <si>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</si>
  <si>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</si>
  <si>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</si>
  <si>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</si>
  <si>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</si>
  <si>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</si>
  <si>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</si>
  <si>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</si>
  <si>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</si>
  <si>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</si>
  <si>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</si>
  <si>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</si>
  <si>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</si>
  <si>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</si>
  <si>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</si>
  <si>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</si>
  <si>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</si>
  <si>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</si>
  <si>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</si>
  <si>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</si>
  <si>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</si>
  <si>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</si>
  <si>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</si>
  <si>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</si>
  <si>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</si>
  <si>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</si>
  <si>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</si>
  <si>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</si>
  <si>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</si>
  <si>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</si>
  <si>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</si>
  <si>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</si>
  <si>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</si>
  <si>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</si>
  <si>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</si>
  <si>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</si>
  <si>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</si>
  <si>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</si>
  <si>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</si>
  <si>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</si>
  <si>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</si>
  <si>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</si>
  <si>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</si>
  <si>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</si>
  <si>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</si>
  <si>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</si>
  <si>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</si>
  <si>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</si>
  <si>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</si>
  <si>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</si>
  <si>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</si>
  <si>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</si>
  <si>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</si>
  <si>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</si>
  <si>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</si>
  <si>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</si>
  <si>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</si>
  <si>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</si>
  <si>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</si>
  <si>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</si>
  <si>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</si>
  <si>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</si>
  <si>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</si>
  <si>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</si>
  <si>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</si>
  <si>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</si>
  <si>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</si>
  <si>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</si>
  <si>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</si>
  <si>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</si>
  <si>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</si>
  <si>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</si>
  <si>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</si>
  <si>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</si>
  <si>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</si>
  <si>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</si>
  <si>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</si>
  <si>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</si>
  <si>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</si>
  <si>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</si>
  <si>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</si>
  <si>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</si>
  <si>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</si>
  <si>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</si>
  <si>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</si>
  <si>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</si>
  <si>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</si>
  <si>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</si>
  <si>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</si>
  <si>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</si>
  <si>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</si>
  <si>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</si>
  <si>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</si>
  <si>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</si>
  <si>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</si>
  <si>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</si>
  <si>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</si>
  <si>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</si>
  <si>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</si>
  <si>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</si>
  <si>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</si>
  <si>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</si>
  <si>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</si>
  <si>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</si>
  <si>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</si>
  <si>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</si>
  <si>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</si>
  <si>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</si>
  <si>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</si>
  <si>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</si>
  <si>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</si>
  <si>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</si>
  <si>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</si>
  <si>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</si>
  <si>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</si>
  <si>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</si>
  <si>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</si>
  <si>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</si>
  <si>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</si>
  <si>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</si>
  <si>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</si>
  <si>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</si>
  <si>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</si>
  <si>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</si>
  <si>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</si>
  <si>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</si>
  <si>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</si>
  <si>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</si>
  <si>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</si>
  <si>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</si>
  <si>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</si>
  <si>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</si>
  <si>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</si>
  <si>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</si>
  <si>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</si>
  <si>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</si>
  <si>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</si>
  <si>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</si>
  <si>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</si>
  <si>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</si>
  <si>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</si>
  <si>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</si>
  <si>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</si>
  <si>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</si>
  <si>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</si>
  <si>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</si>
  <si>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</si>
  <si>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</si>
  <si>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</si>
  <si>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</si>
  <si>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</si>
  <si>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</si>
  <si>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</si>
  <si>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</si>
  <si>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</si>
  <si>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</si>
  <si>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</si>
  <si>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</si>
  <si>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</si>
  <si>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</si>
  <si>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</si>
  <si>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</si>
  <si>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</si>
  <si>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</si>
  <si>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</si>
  <si>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</si>
  <si>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</si>
  <si>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</si>
  <si>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</si>
  <si>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</si>
  <si>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</si>
  <si>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</si>
  <si>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</si>
  <si>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</si>
  <si>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</si>
  <si>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</si>
  <si>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</si>
  <si>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</si>
  <si>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</si>
  <si>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</si>
  <si>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</si>
  <si>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</si>
  <si>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</si>
  <si>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</si>
  <si>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</si>
  <si>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</si>
  <si>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</si>
  <si>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</si>
  <si>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</si>
  <si>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</si>
  <si>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</si>
  <si>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</si>
  <si>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</si>
  <si>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</si>
  <si>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</si>
  <si>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</si>
  <si>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</si>
  <si>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</si>
  <si>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</si>
  <si>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</si>
  <si>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</si>
  <si>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</si>
  <si>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</si>
  <si>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</si>
  <si>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</si>
  <si>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</si>
  <si>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</si>
  <si>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</si>
  <si>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</si>
  <si>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</si>
  <si>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</si>
  <si>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</si>
  <si>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</si>
  <si>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</si>
  <si>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</si>
  <si>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</si>
  <si>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</si>
  <si>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</si>
  <si>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</si>
  <si>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</si>
  <si>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</si>
  <si>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</si>
  <si>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</si>
  <si>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</si>
  <si>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</si>
  <si>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</si>
  <si>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</si>
  <si>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</si>
  <si>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</si>
  <si>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</si>
  <si>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</si>
  <si>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</si>
  <si>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</si>
  <si>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</si>
  <si>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</si>
  <si>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</si>
  <si>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</si>
  <si>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</si>
  <si>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</si>
  <si>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</si>
  <si>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</si>
  <si>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</si>
  <si>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</si>
  <si>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</si>
  <si>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</si>
  <si>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</si>
  <si>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</si>
  <si>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</si>
  <si>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</si>
  <si>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</si>
  <si>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</si>
  <si>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</si>
  <si>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</si>
  <si>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</si>
  <si>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</si>
  <si>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</si>
  <si>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</si>
  <si>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</si>
  <si>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</si>
  <si>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</si>
  <si>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</si>
  <si>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</si>
  <si>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</si>
  <si>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</si>
  <si>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</si>
  <si>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</si>
  <si>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</si>
  <si>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</si>
  <si>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</si>
  <si>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</si>
  <si>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</si>
  <si>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</si>
  <si>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</si>
  <si>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</si>
  <si>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</si>
  <si>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</si>
  <si>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</si>
  <si>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</si>
  <si>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</si>
  <si>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</si>
  <si>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</si>
  <si>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</si>
  <si>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</si>
  <si>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</si>
  <si>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</si>
  <si>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</si>
  <si>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</si>
  <si>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</si>
  <si>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</si>
  <si>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</si>
  <si>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</si>
  <si>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</si>
  <si>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</si>
  <si>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</si>
  <si>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</si>
  <si>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</si>
  <si>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</si>
  <si>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</si>
  <si>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</si>
  <si>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</si>
  <si>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</si>
  <si>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</si>
  <si>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</si>
  <si>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</si>
  <si>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</si>
  <si>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</si>
  <si>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</si>
  <si>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</si>
  <si>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</si>
  <si>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</si>
  <si>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</si>
  <si>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</si>
  <si>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</si>
  <si>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</si>
  <si>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</si>
  <si>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</si>
  <si>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</si>
  <si>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</si>
  <si>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</si>
  <si>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</si>
  <si>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</si>
  <si>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</si>
  <si>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</si>
  <si>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</si>
  <si>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</si>
  <si>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</si>
  <si>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</si>
  <si>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</si>
  <si>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</si>
  <si>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</si>
  <si>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</si>
  <si>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</si>
  <si>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</si>
  <si>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</si>
  <si>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</si>
  <si>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</si>
  <si>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</si>
  <si>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</si>
  <si>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</si>
  <si>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</si>
  <si>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</si>
  <si>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</si>
  <si>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</si>
  <si>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</si>
  <si>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</si>
  <si>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</si>
  <si>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</si>
  <si>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</si>
  <si>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</si>
  <si>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</si>
  <si>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</si>
  <si>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</si>
  <si>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</si>
  <si>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</si>
  <si>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</si>
  <si>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</si>
  <si>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</si>
  <si>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</si>
  <si>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</si>
  <si>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</si>
  <si>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</si>
  <si>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</si>
  <si>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</si>
  <si>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</si>
  <si>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</si>
  <si>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</si>
  <si>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</si>
  <si>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</si>
  <si>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</si>
  <si>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</si>
  <si>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</si>
  <si>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</si>
  <si>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</si>
  <si>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</si>
  <si>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</si>
  <si>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</si>
  <si>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</si>
  <si>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</si>
  <si>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</si>
  <si>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</si>
  <si>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</si>
  <si>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</si>
  <si>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</si>
  <si>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</si>
  <si>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</si>
  <si>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</si>
  <si>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</si>
  <si>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</si>
  <si>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</si>
  <si>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</si>
  <si>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</si>
  <si>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</si>
  <si>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</si>
  <si>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</si>
  <si>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</si>
  <si>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</si>
  <si>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</si>
  <si>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</si>
  <si>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</si>
  <si>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</si>
  <si>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</si>
  <si>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</si>
  <si>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</si>
  <si>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</si>
  <si>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</si>
  <si>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</si>
  <si>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</si>
  <si>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</si>
  <si>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</si>
  <si>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</si>
  <si>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</si>
  <si>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</si>
  <si>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</si>
  <si>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</si>
  <si>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</si>
  <si>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</si>
  <si>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</si>
  <si>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</si>
  <si>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</si>
  <si>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</si>
  <si>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</si>
  <si>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</si>
  <si>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</si>
  <si>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</si>
  <si>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</si>
  <si>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</si>
  <si>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</si>
  <si>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</si>
  <si>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</si>
  <si>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</si>
  <si>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</si>
  <si>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</si>
  <si>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</si>
  <si>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</si>
  <si>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</si>
  <si>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</si>
  <si>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</si>
  <si>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</si>
  <si>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</si>
  <si>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</si>
  <si>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</si>
  <si>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</si>
  <si>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</si>
  <si>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</si>
  <si>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</si>
  <si>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</si>
  <si>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</si>
  <si>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</si>
  <si>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</si>
  <si>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</si>
  <si>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</si>
  <si>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</si>
  <si>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</si>
  <si>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</si>
  <si>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</si>
  <si>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</si>
  <si>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</si>
  <si>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</si>
  <si>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</si>
  <si>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</si>
  <si>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</si>
  <si>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</si>
  <si>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</si>
  <si>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</si>
  <si>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</si>
  <si>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</si>
  <si>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</si>
  <si>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</si>
  <si>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</si>
  <si>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</si>
  <si>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</si>
  <si>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</si>
  <si>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</si>
  <si>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</si>
  <si>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</si>
  <si>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</si>
  <si>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</si>
  <si>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</si>
  <si>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</si>
  <si>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</si>
  <si>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</si>
  <si>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</si>
  <si>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</si>
  <si>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</si>
  <si>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</si>
  <si>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</si>
  <si>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</si>
  <si>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</si>
  <si>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</si>
  <si>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</si>
  <si>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</si>
  <si>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</si>
  <si>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</si>
  <si>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</si>
  <si>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</si>
  <si>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</si>
  <si>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</si>
  <si>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</si>
  <si>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</si>
  <si>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</si>
  <si>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</si>
  <si>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</si>
  <si>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</si>
  <si>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</si>
  <si>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</si>
  <si>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</si>
  <si>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</si>
  <si>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</si>
  <si>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</si>
  <si>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</si>
  <si>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</si>
  <si>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</si>
  <si>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</si>
  <si>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</si>
  <si>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</si>
  <si>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</si>
  <si>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</si>
  <si>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</si>
  <si>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</si>
  <si>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</si>
  <si>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</si>
  <si>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</si>
  <si>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</si>
  <si>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</si>
  <si>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</si>
  <si>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</si>
  <si>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</si>
  <si>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</si>
  <si>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</si>
  <si>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</si>
  <si>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</si>
  <si>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</si>
  <si>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</si>
  <si>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</si>
  <si>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</si>
  <si>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</si>
  <si>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</si>
  <si>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</si>
  <si>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</si>
  <si>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</si>
  <si>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</si>
  <si>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</si>
  <si>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</si>
  <si>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</si>
  <si>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</si>
  <si>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</si>
  <si>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</si>
  <si>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</si>
  <si>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</si>
  <si>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</si>
  <si>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</si>
  <si>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</si>
  <si>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</si>
  <si>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</si>
  <si>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</si>
  <si>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</si>
  <si>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</si>
  <si>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</si>
  <si>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</si>
  <si>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</si>
  <si>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</si>
  <si>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</si>
  <si>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</si>
  <si>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</si>
  <si>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</si>
  <si>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</si>
  <si>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</si>
  <si>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</si>
  <si>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</si>
  <si>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</si>
  <si>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</si>
  <si>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</si>
  <si>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</si>
  <si>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</si>
  <si>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</si>
  <si>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</si>
  <si>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</si>
  <si>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</si>
  <si>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</si>
  <si>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</si>
  <si>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</si>
  <si>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</si>
  <si>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</si>
  <si>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</si>
  <si>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</si>
  <si>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</si>
  <si>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</si>
  <si>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</si>
  <si>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</si>
  <si>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</si>
  <si>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</si>
  <si>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</si>
  <si>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</si>
  <si>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</si>
  <si>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</si>
  <si>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</si>
  <si>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</si>
  <si>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</si>
  <si>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</si>
  <si>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</si>
  <si>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</si>
  <si>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</si>
  <si>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</si>
  <si>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</si>
  <si>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</si>
  <si>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</si>
  <si>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</si>
  <si>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</si>
  <si>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</si>
  <si>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</si>
  <si>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</si>
  <si>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</si>
  <si>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</si>
  <si>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</si>
  <si>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</si>
  <si>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</si>
  <si>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</si>
  <si>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</si>
  <si>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</si>
  <si>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</si>
  <si>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</si>
  <si>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</si>
  <si>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</si>
  <si>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</si>
  <si>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</si>
  <si>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</si>
  <si>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</si>
  <si>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</si>
  <si>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</si>
  <si>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</si>
  <si>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</si>
  <si>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</si>
  <si>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</si>
  <si>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</si>
  <si>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</si>
  <si>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</si>
  <si>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</si>
  <si>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</si>
  <si>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</si>
  <si>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</si>
  <si>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</si>
  <si>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</si>
  <si>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</si>
  <si>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</si>
  <si>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</si>
  <si>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</si>
  <si>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</si>
  <si>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</si>
  <si>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</si>
  <si>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</si>
  <si>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</si>
  <si>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</si>
  <si>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</si>
  <si>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</si>
  <si>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</si>
  <si>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</si>
  <si>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</si>
  <si>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</si>
  <si>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</si>
  <si>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</si>
  <si>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</si>
  <si>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</si>
  <si>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</si>
  <si>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</si>
  <si>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</si>
  <si>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</si>
  <si>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</si>
  <si>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</si>
  <si>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</si>
  <si>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</si>
  <si>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</si>
  <si>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</si>
  <si>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</si>
  <si>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</si>
  <si>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</si>
  <si>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</si>
  <si>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</si>
  <si>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</si>
  <si>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</si>
  <si>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</si>
  <si>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</si>
  <si>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</si>
  <si>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</si>
  <si>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</si>
  <si>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</si>
  <si>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</si>
  <si>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</si>
  <si>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</si>
  <si>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</si>
  <si>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</si>
  <si>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</si>
  <si>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</si>
  <si>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</si>
  <si>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</si>
  <si>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</si>
  <si>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</si>
  <si>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</si>
  <si>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</si>
  <si>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</si>
  <si>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</si>
  <si>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</si>
  <si>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</si>
  <si>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</si>
  <si>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</si>
  <si>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</si>
  <si>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</si>
  <si>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</si>
  <si>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</si>
  <si>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</si>
  <si>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</si>
  <si>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</si>
  <si>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</si>
  <si>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</si>
  <si>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</si>
  <si>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</si>
  <si>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</si>
  <si>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</si>
  <si>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</si>
  <si>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</si>
  <si>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</si>
  <si>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</si>
  <si>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</si>
  <si>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</si>
  <si>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</si>
  <si>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</si>
  <si>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</si>
  <si>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</si>
  <si>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</si>
  <si>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</si>
  <si>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</si>
  <si>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</si>
  <si>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</si>
  <si>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</si>
  <si>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</si>
  <si>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</si>
  <si>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</si>
  <si>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</si>
  <si>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</si>
  <si>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</si>
  <si>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</si>
  <si>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</si>
  <si>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</si>
  <si>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</si>
  <si>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</si>
  <si>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</si>
  <si>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</si>
  <si>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</si>
  <si>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</si>
  <si>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</si>
  <si>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</si>
  <si>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</si>
  <si>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</si>
  <si>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</si>
  <si>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</si>
  <si>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</si>
  <si>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</si>
  <si>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</si>
  <si>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</si>
  <si>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</si>
  <si>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</si>
  <si>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</si>
  <si>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</si>
  <si>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</si>
  <si>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</si>
  <si>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</si>
  <si>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</si>
  <si>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</si>
  <si>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</si>
  <si>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</si>
  <si>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</si>
  <si>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</si>
  <si>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</si>
  <si>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</si>
  <si>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</si>
  <si>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</si>
  <si>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</si>
  <si>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</si>
  <si>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</si>
  <si>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</si>
  <si>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</si>
  <si>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</si>
  <si>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</si>
  <si>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</si>
  <si>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</si>
  <si>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</si>
  <si>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</si>
  <si>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</si>
  <si>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</si>
  <si>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</si>
  <si>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</si>
  <si>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</si>
  <si>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</si>
  <si>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</si>
  <si>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</si>
  <si>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</si>
  <si>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</si>
  <si>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</si>
  <si>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</si>
  <si>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</si>
  <si>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</si>
  <si>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</si>
  <si>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</si>
  <si>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</si>
  <si>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</si>
  <si>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</si>
  <si>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</si>
  <si>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</si>
  <si>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</si>
  <si>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</si>
  <si>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</si>
  <si>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</si>
  <si>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</si>
  <si>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</si>
  <si>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</si>
  <si>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</si>
  <si>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</si>
  <si>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</si>
  <si>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</si>
  <si>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</si>
  <si>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</si>
  <si>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</si>
  <si>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</si>
  <si>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</si>
  <si>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</si>
  <si>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</si>
  <si>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</si>
  <si>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</si>
  <si>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</si>
  <si>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</si>
  <si>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</si>
  <si>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</si>
  <si>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</si>
  <si>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</si>
  <si>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</si>
  <si>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</si>
  <si>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</si>
  <si>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</si>
  <si>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</si>
  <si>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</si>
  <si>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</si>
  <si>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</si>
  <si>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</si>
  <si>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</si>
  <si>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</si>
  <si>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</si>
  <si>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</si>
  <si>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</si>
  <si>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</si>
  <si>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</si>
  <si>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</si>
  <si>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</si>
  <si>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</si>
  <si>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</si>
  <si>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</si>
  <si>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</si>
  <si>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</si>
  <si>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</si>
  <si>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</si>
  <si>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</si>
  <si>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</si>
  <si>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</si>
  <si>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</si>
  <si>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</si>
  <si>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</si>
  <si>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</si>
  <si>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</si>
  <si>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</si>
  <si>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</si>
  <si>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</si>
  <si>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</si>
  <si>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</si>
  <si>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</si>
  <si>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</si>
  <si>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</si>
  <si>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</si>
  <si>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</si>
  <si>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</si>
  <si>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</si>
  <si>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</si>
  <si>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</si>
  <si>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</si>
  <si>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</si>
  <si>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</si>
  <si>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</si>
  <si>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</si>
  <si>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</si>
  <si>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</si>
  <si>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</si>
  <si>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</si>
  <si>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</si>
  <si>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</si>
  <si>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</si>
  <si>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</si>
  <si>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</si>
  <si>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</si>
  <si>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</si>
  <si>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</si>
  <si>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</si>
  <si>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</si>
  <si>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</si>
  <si>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</si>
  <si>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</si>
  <si>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</si>
  <si>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</si>
  <si>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</si>
  <si>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</si>
  <si>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</si>
  <si>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</si>
  <si>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</si>
  <si>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</si>
  <si>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</si>
  <si>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</si>
  <si>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</si>
  <si>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</si>
  <si>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</si>
  <si>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</si>
  <si>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</si>
  <si>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</si>
  <si>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</si>
  <si>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</si>
  <si>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</si>
  <si>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</si>
  <si>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</si>
  <si>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</si>
  <si>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</si>
  <si>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</si>
  <si>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</si>
  <si>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</si>
  <si>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</si>
  <si>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</si>
  <si>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</si>
  <si>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</si>
  <si>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</si>
  <si>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</si>
  <si>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</si>
  <si>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</si>
  <si>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</si>
  <si>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</si>
  <si>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</si>
  <si>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</si>
  <si>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</si>
  <si>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</si>
  <si>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</si>
  <si>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</si>
  <si>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</si>
  <si>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</si>
  <si>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</si>
  <si>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</si>
  <si>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</si>
  <si>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</si>
  <si>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</si>
  <si>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</si>
  <si>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</si>
  <si>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</si>
  <si>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</si>
  <si>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</si>
  <si>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</si>
  <si>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</si>
  <si>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</si>
  <si>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</si>
  <si>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</si>
  <si>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</si>
  <si>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</si>
  <si>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</si>
  <si>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</si>
  <si>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</si>
  <si>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</si>
  <si>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</si>
  <si>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</si>
  <si>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</si>
  <si>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</si>
  <si>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</si>
  <si>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</si>
  <si>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</si>
  <si>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</si>
  <si>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</si>
  <si>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</si>
  <si>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</si>
  <si>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</si>
  <si>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</si>
  <si>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</si>
  <si>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</si>
  <si>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</si>
  <si>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</si>
  <si>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</si>
  <si>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</si>
  <si>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</si>
  <si>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</si>
  <si>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</si>
  <si>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</si>
  <si>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</si>
  <si>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</si>
  <si>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</si>
  <si>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</si>
  <si>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</si>
  <si>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</si>
  <si>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</si>
  <si>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</si>
  <si>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</si>
  <si>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</si>
  <si>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</si>
  <si>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</si>
  <si>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</si>
  <si>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</si>
  <si>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</si>
  <si>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</si>
  <si>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</si>
  <si>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</si>
  <si>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</si>
  <si>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</si>
  <si>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</si>
  <si>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</si>
  <si>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</si>
  <si>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</si>
  <si>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</si>
  <si>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</si>
  <si>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</si>
  <si>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</si>
  <si>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</si>
  <si>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</si>
  <si>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</si>
  <si>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</si>
  <si>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</si>
  <si>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</si>
  <si>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</si>
  <si>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</si>
  <si>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</si>
  <si>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</si>
  <si>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</si>
  <si>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</si>
  <si>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</si>
  <si>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</si>
  <si>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</si>
  <si>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</si>
  <si>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</si>
  <si>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</si>
  <si>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</si>
  <si>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</si>
  <si>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</si>
  <si>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</si>
  <si>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</si>
  <si>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</si>
  <si>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</si>
  <si>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</si>
  <si>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</si>
  <si>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</si>
  <si>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</si>
  <si>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</si>
  <si>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</si>
  <si>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</si>
  <si>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</si>
  <si>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</si>
  <si>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</si>
  <si>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</si>
  <si>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</si>
  <si>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</si>
  <si>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</si>
  <si>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</si>
  <si>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</si>
  <si>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</si>
  <si>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</si>
  <si>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</si>
  <si>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</si>
  <si>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</si>
  <si>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</si>
  <si>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</si>
  <si>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</si>
  <si>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</si>
  <si>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</si>
  <si>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</si>
  <si>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</si>
  <si>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</si>
  <si>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</si>
  <si>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</si>
  <si>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</si>
  <si>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</si>
  <si>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</si>
  <si>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</si>
  <si>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</si>
  <si>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</si>
  <si>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</si>
  <si>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</si>
  <si>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</si>
  <si>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</si>
  <si>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</si>
  <si>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</si>
  <si>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</si>
  <si>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</si>
  <si>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</si>
  <si>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</si>
  <si>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</si>
  <si>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</si>
  <si>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</si>
  <si>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</si>
  <si>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</si>
  <si>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</si>
  <si>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</si>
  <si>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</si>
  <si>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</si>
  <si>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</si>
  <si>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</si>
  <si>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</si>
  <si>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</si>
  <si>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</si>
  <si>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</si>
  <si>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</si>
  <si>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</si>
  <si>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</si>
  <si>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</si>
  <si>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</si>
  <si>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</si>
  <si>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</si>
  <si>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</si>
  <si>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</si>
  <si>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</si>
  <si>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</si>
  <si>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</si>
  <si>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</si>
  <si>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</si>
  <si>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</si>
  <si>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</si>
  <si>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</si>
  <si>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</si>
  <si>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</si>
  <si>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</si>
  <si>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</si>
  <si>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</si>
  <si>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</si>
  <si>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</si>
  <si>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</si>
  <si>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</si>
  <si>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</si>
  <si>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</si>
  <si>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</si>
  <si>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</si>
  <si>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</si>
  <si>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</si>
  <si>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</si>
  <si>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</si>
  <si>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</si>
  <si>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</si>
  <si>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</si>
  <si>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</si>
  <si>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</si>
  <si>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</si>
  <si>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</si>
  <si>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</si>
  <si>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</si>
  <si>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</si>
  <si>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</si>
  <si>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</si>
  <si>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</si>
  <si>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</si>
  <si>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</si>
  <si>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</si>
  <si>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</si>
  <si>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</si>
  <si>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</si>
  <si>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</si>
  <si>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</si>
  <si>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</si>
  <si>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</si>
  <si>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</si>
  <si>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</si>
  <si>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</si>
  <si>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</si>
  <si>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</si>
  <si>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</si>
  <si>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</si>
  <si>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</si>
  <si>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</si>
  <si>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</si>
  <si>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</si>
  <si>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</si>
  <si>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</si>
  <si>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</si>
  <si>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</si>
  <si>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</si>
  <si>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</si>
  <si>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</si>
  <si>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</si>
  <si>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</si>
  <si>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</si>
  <si>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</si>
  <si>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</si>
  <si>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</si>
  <si>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</si>
  <si>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</si>
  <si>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</si>
  <si>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</si>
  <si>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</si>
  <si>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</si>
  <si>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</si>
  <si>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</si>
  <si>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</si>
  <si>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</si>
  <si>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</si>
  <si>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</si>
  <si>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</si>
  <si>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</si>
  <si>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</si>
  <si>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</si>
  <si>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</si>
  <si>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</si>
  <si>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</si>
  <si>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</si>
  <si>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</si>
  <si>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</si>
  <si>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</si>
  <si>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</si>
  <si>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</si>
  <si>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</si>
  <si>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</si>
  <si>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</si>
  <si>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</si>
  <si>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</si>
  <si>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</si>
  <si>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</si>
  <si>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</si>
  <si>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</si>
  <si>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</si>
  <si>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</si>
  <si>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</si>
  <si>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</si>
  <si>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</si>
  <si>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</si>
  <si>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</si>
  <si>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</si>
  <si>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</si>
  <si>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</si>
  <si>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</si>
  <si>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</si>
  <si>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</si>
  <si>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</si>
  <si>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</si>
  <si>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</si>
  <si>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</si>
  <si>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</si>
  <si>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</si>
  <si>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</si>
  <si>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</si>
  <si>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</si>
  <si>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</si>
  <si>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</si>
  <si>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</si>
  <si>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</si>
  <si>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</si>
  <si>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</si>
  <si>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</si>
  <si>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</si>
  <si>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</si>
  <si>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</si>
  <si>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</si>
  <si>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</si>
  <si>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</si>
  <si>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</si>
  <si>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</si>
  <si>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</si>
  <si>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</si>
  <si>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</si>
  <si>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</si>
  <si>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</si>
  <si>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</si>
  <si>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</si>
  <si>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</si>
  <si>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</si>
  <si>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</si>
  <si>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</si>
  <si>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</si>
  <si>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</si>
  <si>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</si>
  <si>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</si>
  <si>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</si>
  <si>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</si>
  <si>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</si>
  <si>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</si>
  <si>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</si>
  <si>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</si>
  <si>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</si>
  <si>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</si>
  <si>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</si>
  <si>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</si>
  <si>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</si>
  <si>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</si>
  <si>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</si>
  <si>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</si>
  <si>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</si>
  <si>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</si>
  <si>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</si>
  <si>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</si>
  <si>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</si>
  <si>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</si>
  <si>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</si>
  <si>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</si>
  <si>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</si>
  <si>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</si>
  <si>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</si>
  <si>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</si>
  <si>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</si>
  <si>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</si>
  <si>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</si>
  <si>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</si>
  <si>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</si>
  <si>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</si>
  <si>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</si>
  <si>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</si>
  <si>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</si>
  <si>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</si>
  <si>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</si>
  <si>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</si>
  <si>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</si>
  <si>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</si>
  <si>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</si>
  <si>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</si>
  <si>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</si>
  <si>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</si>
  <si>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</si>
  <si>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</si>
  <si>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</si>
  <si>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</si>
  <si>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</si>
  <si>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</si>
  <si>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</si>
  <si>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</si>
  <si>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</si>
  <si>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</si>
  <si>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</si>
  <si>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</si>
  <si>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</si>
  <si>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</si>
  <si>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</si>
  <si>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</si>
  <si>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</si>
  <si>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</si>
  <si>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</si>
  <si>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</si>
  <si>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</si>
  <si>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</si>
  <si>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</si>
  <si>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</si>
  <si>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</si>
  <si>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</si>
  <si>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</si>
  <si>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</si>
  <si>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</si>
  <si>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</si>
  <si>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</si>
  <si>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</si>
  <si>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</si>
  <si>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</si>
  <si>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</si>
  <si>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</si>
  <si>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</si>
  <si>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</si>
  <si>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</si>
  <si>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</si>
  <si>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</si>
  <si>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</si>
  <si>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</si>
  <si>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</si>
  <si>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</si>
  <si>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</si>
  <si>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</si>
  <si>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</si>
  <si>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</si>
  <si>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</si>
  <si>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</si>
  <si>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</si>
  <si>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</si>
  <si>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</si>
  <si>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</si>
  <si>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</si>
  <si>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</si>
  <si>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</si>
  <si>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</si>
  <si>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</si>
  <si>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</si>
  <si>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</si>
  <si>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</si>
  <si>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</si>
  <si>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</si>
  <si>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</si>
  <si>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</si>
  <si>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</si>
  <si>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</si>
  <si>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</si>
  <si>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</si>
  <si>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</si>
  <si>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</si>
  <si>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</si>
  <si>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</si>
  <si>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</si>
  <si>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</si>
  <si>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</si>
  <si>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</si>
  <si>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</si>
  <si>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</si>
  <si>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</si>
  <si>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</si>
  <si>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</si>
  <si>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</si>
  <si>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</si>
  <si>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</si>
  <si>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</si>
  <si>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</si>
  <si>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</si>
  <si>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</si>
  <si>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</si>
  <si>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</si>
  <si>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</si>
  <si>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</si>
  <si>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</si>
  <si>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</si>
  <si>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</si>
  <si>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</si>
  <si>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</si>
  <si>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</si>
  <si>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</si>
  <si>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</si>
  <si>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</si>
  <si>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</si>
  <si>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</si>
  <si>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</si>
  <si>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</si>
  <si>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</si>
  <si>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</si>
  <si>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</si>
  <si>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</si>
  <si>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</si>
  <si>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</si>
  <si>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</si>
  <si>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</si>
  <si>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</si>
  <si>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</si>
  <si>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</si>
  <si>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</si>
  <si>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</si>
  <si>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</si>
  <si>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</si>
  <si>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</si>
  <si>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</si>
  <si>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</si>
  <si>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</si>
  <si>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</si>
  <si>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</si>
  <si>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</si>
  <si>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</si>
  <si>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</si>
  <si>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</si>
  <si>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</si>
  <si>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</si>
  <si>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</si>
  <si>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</si>
  <si>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</si>
  <si>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</si>
  <si>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</si>
  <si>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</si>
  <si>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</si>
  <si>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</si>
  <si>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</si>
  <si>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</si>
  <si>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</si>
  <si>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</si>
  <si>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</si>
  <si>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</si>
  <si>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</si>
  <si>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</si>
  <si>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</si>
  <si>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</si>
  <si>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</si>
  <si>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</si>
  <si>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</si>
  <si>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</si>
  <si>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</si>
  <si>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</si>
  <si>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</si>
  <si>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</si>
  <si>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</si>
  <si>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</si>
  <si>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</si>
  <si>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</si>
  <si>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</si>
  <si>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</si>
  <si>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</si>
  <si>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</si>
  <si>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</si>
  <si>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</si>
  <si>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</si>
  <si>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</si>
  <si>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</si>
  <si>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</si>
  <si>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</si>
  <si>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</si>
  <si>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</si>
  <si>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</si>
  <si>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</si>
  <si>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</si>
  <si>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</si>
  <si>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</si>
  <si>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</si>
  <si>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</si>
  <si>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</si>
  <si>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</si>
  <si>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</si>
  <si>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</si>
  <si>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</si>
  <si>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</si>
  <si>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</si>
  <si>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</si>
  <si>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</si>
  <si>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</si>
  <si>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</si>
  <si>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</si>
  <si>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</si>
  <si>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</si>
  <si>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</si>
  <si>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</si>
  <si>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</si>
  <si>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</si>
  <si>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</si>
  <si>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</si>
  <si>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</si>
  <si>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</si>
  <si>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</si>
  <si>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</si>
  <si>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</si>
  <si>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</si>
  <si>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</si>
  <si>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</si>
  <si>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</si>
  <si>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</si>
  <si>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</si>
  <si>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</si>
  <si>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</si>
  <si>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</si>
  <si>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</si>
  <si>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</si>
  <si>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</si>
  <si>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</si>
  <si>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</si>
  <si>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</si>
  <si>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</si>
  <si>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</si>
  <si>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</si>
  <si>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</si>
  <si>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</si>
  <si>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</si>
  <si>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</si>
  <si>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</si>
  <si>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</si>
  <si>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</si>
  <si>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</si>
  <si>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</si>
  <si>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</si>
  <si>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</si>
  <si>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</si>
  <si>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</si>
  <si>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</si>
  <si>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</si>
  <si>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</si>
  <si>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</si>
  <si>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</si>
  <si>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</si>
  <si>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</si>
  <si>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</si>
  <si>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</si>
  <si>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</si>
  <si>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</si>
  <si>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</si>
  <si>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</si>
  <si>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</si>
  <si>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</si>
  <si>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</si>
  <si>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</si>
  <si>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</si>
  <si>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</si>
  <si>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</si>
  <si>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</si>
  <si>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</si>
  <si>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</si>
  <si>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</si>
  <si>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</si>
  <si>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</si>
  <si>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</si>
  <si>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</si>
  <si>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</si>
  <si>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</si>
  <si>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</si>
  <si>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</si>
  <si>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</si>
  <si>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</si>
  <si>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</si>
  <si>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</si>
  <si>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</si>
  <si>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</si>
  <si>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</si>
  <si>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</si>
  <si>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</si>
  <si>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</si>
  <si>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</si>
  <si>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</si>
  <si>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</si>
  <si>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</si>
  <si>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</si>
  <si>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</si>
  <si>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</si>
  <si>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</si>
  <si>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</si>
  <si>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</si>
  <si>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</si>
  <si>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</si>
  <si>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</si>
  <si>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</si>
  <si>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</si>
  <si>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</si>
  <si>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</si>
  <si>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</si>
  <si>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</si>
  <si>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</si>
  <si>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</si>
  <si>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</si>
  <si>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</si>
  <si>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</si>
  <si>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</si>
  <si>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</si>
  <si>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</si>
  <si>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</si>
  <si>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</si>
  <si>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</si>
  <si>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</si>
  <si>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</si>
  <si>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</si>
  <si>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</si>
  <si>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</si>
  <si>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</si>
  <si>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</si>
  <si>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</si>
  <si>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</si>
  <si>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</si>
  <si>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</si>
  <si>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</si>
  <si>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</si>
  <si>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</si>
  <si>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</si>
  <si>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</si>
  <si>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</si>
  <si>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</si>
  <si>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</si>
  <si>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</si>
  <si>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</si>
  <si>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</si>
  <si>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</si>
  <si>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</si>
  <si>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</si>
  <si>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</si>
  <si>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</si>
  <si>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</si>
  <si>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</si>
  <si>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</si>
  <si>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</si>
  <si>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</si>
  <si>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</si>
  <si>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</si>
  <si>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</si>
  <si>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</si>
  <si>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</si>
  <si>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</si>
  <si>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</si>
  <si>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</si>
  <si>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</si>
  <si>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</si>
  <si>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</si>
  <si>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</si>
  <si>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</si>
  <si>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</si>
  <si>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</si>
  <si>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</si>
  <si>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</si>
  <si>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</si>
  <si>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</si>
  <si>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</si>
  <si>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</si>
  <si>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</si>
  <si>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</si>
  <si>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</si>
  <si>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</si>
  <si>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</si>
  <si>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</si>
  <si>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</si>
  <si>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</si>
  <si>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</si>
  <si>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</si>
  <si>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</si>
  <si>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</si>
  <si>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</si>
  <si>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</si>
  <si>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</si>
  <si>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</si>
  <si>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</si>
  <si>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</si>
  <si>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</si>
  <si>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</si>
  <si>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</si>
  <si>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</si>
  <si>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</si>
  <si>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</si>
  <si>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</si>
  <si>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</si>
  <si>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</si>
  <si>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</si>
  <si>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</si>
  <si>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</si>
  <si>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</si>
  <si>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</si>
  <si>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</si>
  <si>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</si>
  <si>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</si>
  <si>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</si>
  <si>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</si>
  <si>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</si>
  <si>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</si>
  <si>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</si>
  <si>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</si>
  <si>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</si>
  <si>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</si>
  <si>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</si>
  <si>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</si>
  <si>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</si>
  <si>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</si>
  <si>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</si>
  <si>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</si>
  <si>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</si>
  <si>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</si>
  <si>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</si>
  <si>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</si>
  <si>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</si>
  <si>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</si>
  <si>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</si>
  <si>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</si>
  <si>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</si>
  <si>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</si>
  <si>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</si>
  <si>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</si>
  <si>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</si>
  <si>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</si>
  <si>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</si>
  <si>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</si>
  <si>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</si>
  <si>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</si>
  <si>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</si>
  <si>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</si>
  <si>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</si>
  <si>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</si>
  <si>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</si>
  <si>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</si>
  <si>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</si>
  <si>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</si>
  <si>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</si>
  <si>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</si>
  <si>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</si>
  <si>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</si>
  <si>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</si>
  <si>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</si>
  <si>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</si>
  <si>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</si>
  <si>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</si>
  <si>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</si>
  <si>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</si>
  <si>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</si>
  <si>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</si>
  <si>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</si>
  <si>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</si>
  <si>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</si>
  <si>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</si>
  <si>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</si>
  <si>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</si>
  <si>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</si>
  <si>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</si>
  <si>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</si>
  <si>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</si>
  <si>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</si>
  <si>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</si>
  <si>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</si>
  <si>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</si>
  <si>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</si>
  <si>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</si>
  <si>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</si>
  <si>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</si>
  <si>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</si>
  <si>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</si>
  <si>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</si>
  <si>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</si>
  <si>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</si>
  <si>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</si>
  <si>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</si>
  <si>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</si>
  <si>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</si>
  <si>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</si>
  <si>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</si>
  <si>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</si>
  <si>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</si>
  <si>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</si>
  <si>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</si>
  <si>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</si>
  <si>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</si>
  <si>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</si>
  <si>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</si>
  <si>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</si>
  <si>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</si>
  <si>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</si>
  <si>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</si>
  <si>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</si>
  <si>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</si>
  <si>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</si>
  <si>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</si>
  <si>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</si>
  <si>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</si>
  <si>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</si>
  <si>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</si>
  <si>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</si>
  <si>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</si>
  <si>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</si>
  <si>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</si>
  <si>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</si>
  <si>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</si>
  <si>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</si>
  <si>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</si>
  <si>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</si>
  <si>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</si>
  <si>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</si>
  <si>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</si>
  <si>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</si>
  <si>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</si>
  <si>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</si>
  <si>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</si>
  <si>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</si>
  <si>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</si>
  <si>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</si>
  <si>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</si>
  <si>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</si>
  <si>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</si>
  <si>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</si>
  <si>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</si>
  <si>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</si>
  <si>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</si>
  <si>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</si>
  <si>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</si>
  <si>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</si>
  <si>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</si>
  <si>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</si>
  <si>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</si>
  <si>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</si>
  <si>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</si>
  <si>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</si>
  <si>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</si>
  <si>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</si>
  <si>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</si>
  <si>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</si>
  <si>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</si>
  <si>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</si>
  <si>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</si>
  <si>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</si>
  <si>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</si>
  <si>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</si>
  <si>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</si>
  <si>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</si>
  <si>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</si>
  <si>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</si>
  <si>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</si>
  <si>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</si>
  <si>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</si>
  <si>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</si>
  <si>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</si>
  <si>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</si>
  <si>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</si>
  <si>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</si>
  <si>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</si>
  <si>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</si>
  <si>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</si>
  <si>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</si>
  <si>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</si>
  <si>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</si>
  <si>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</si>
  <si>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</si>
  <si>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</si>
  <si>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</si>
  <si>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</si>
  <si>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</si>
  <si>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</si>
  <si>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</si>
  <si>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</si>
  <si>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</si>
  <si>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</si>
  <si>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</si>
  <si>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</si>
  <si>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</si>
  <si>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</si>
  <si>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</si>
  <si>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</si>
  <si>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</si>
  <si>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</si>
  <si>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</si>
  <si>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</si>
  <si>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</si>
  <si>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</si>
  <si>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</si>
  <si>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</si>
  <si>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</si>
  <si>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</si>
  <si>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</si>
  <si>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</si>
  <si>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</si>
  <si>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</si>
  <si>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</si>
  <si>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</si>
  <si>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</si>
  <si>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</si>
  <si>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</si>
  <si>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</si>
  <si>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</si>
  <si>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</si>
  <si>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</si>
  <si>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</si>
  <si>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</si>
  <si>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</si>
  <si>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</si>
  <si>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</si>
  <si>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</si>
  <si>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</si>
  <si>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</si>
  <si>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</si>
  <si>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</si>
  <si>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</si>
  <si>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</si>
  <si>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</si>
  <si>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</si>
  <si>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</si>
  <si>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</si>
  <si>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</si>
  <si>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</si>
  <si>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</si>
  <si>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</si>
  <si>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</si>
  <si>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</si>
  <si>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</si>
  <si>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</si>
  <si>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</si>
  <si>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</si>
  <si>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</si>
  <si>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</si>
  <si>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</si>
  <si>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</si>
  <si>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</si>
  <si>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</si>
  <si>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</si>
  <si>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</si>
  <si>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</si>
  <si>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</si>
  <si>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</si>
  <si>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</si>
  <si>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</si>
  <si>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</si>
  <si>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</si>
  <si>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</si>
  <si>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</si>
  <si>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</si>
  <si>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</si>
  <si>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</si>
  <si>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</si>
  <si>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</si>
  <si>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</si>
  <si>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</si>
  <si>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</si>
  <si>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</si>
  <si>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</si>
  <si>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</si>
  <si>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</si>
  <si>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</si>
  <si>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</si>
  <si>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</si>
  <si>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</si>
  <si>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</si>
  <si>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</si>
  <si>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</si>
  <si>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</si>
  <si>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</si>
  <si>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</si>
  <si>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</si>
  <si>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</si>
  <si>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</si>
  <si>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</si>
  <si>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</si>
  <si>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</si>
  <si>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</si>
  <si>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</si>
  <si>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</si>
  <si>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</si>
  <si>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</si>
  <si>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</si>
  <si>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</si>
  <si>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</si>
  <si>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</si>
  <si>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</si>
  <si>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</si>
  <si>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</si>
  <si>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</si>
  <si>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</si>
  <si>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</si>
  <si>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</si>
  <si>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</si>
  <si>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</si>
  <si>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</si>
  <si>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</si>
  <si>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</si>
  <si>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</si>
  <si>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</si>
  <si>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</si>
  <si>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</si>
  <si>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</si>
  <si>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</si>
  <si>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</si>
  <si>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</si>
  <si>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</si>
  <si>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</si>
  <si>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</si>
  <si>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</si>
  <si>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</si>
  <si>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</si>
  <si>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</si>
  <si>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</si>
  <si>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</si>
  <si>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</si>
  <si>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</si>
  <si>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</si>
  <si>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</si>
  <si>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</si>
  <si>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</si>
  <si>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</si>
  <si>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</si>
  <si>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</si>
  <si>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</si>
  <si>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</si>
  <si>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</si>
  <si>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</si>
  <si>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</si>
  <si>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</si>
  <si>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</si>
  <si>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</si>
  <si>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</si>
  <si>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</si>
  <si>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</si>
  <si>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</si>
  <si>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</si>
  <si>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</si>
  <si>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</si>
  <si>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</si>
  <si>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</si>
  <si>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</si>
  <si>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</si>
  <si>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</si>
  <si>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</si>
  <si>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</si>
  <si>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</si>
  <si>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</si>
  <si>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</si>
  <si>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</si>
  <si>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</si>
  <si>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</si>
  <si>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</si>
  <si>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</si>
  <si>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</si>
  <si>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</si>
  <si>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</si>
  <si>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</si>
  <si>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</si>
  <si>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</si>
  <si>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</si>
  <si>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</si>
  <si>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</si>
  <si>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</si>
  <si>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</si>
  <si>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</si>
  <si>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</si>
  <si>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</si>
  <si>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</si>
  <si>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</si>
  <si>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</si>
  <si>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</si>
  <si>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</si>
  <si>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</si>
  <si>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</si>
  <si>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</si>
  <si>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</si>
  <si>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</si>
  <si>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</si>
  <si>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</si>
  <si>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</si>
  <si>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</si>
  <si>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</si>
  <si>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</si>
  <si>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</si>
  <si>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</si>
  <si>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</si>
  <si>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</si>
  <si>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</si>
  <si>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</si>
  <si>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</si>
  <si>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</si>
  <si>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</si>
  <si>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</si>
  <si>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</si>
  <si>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</si>
  <si>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</si>
  <si>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</si>
  <si>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</si>
  <si>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</si>
  <si>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</si>
  <si>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</si>
  <si>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</si>
  <si>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</si>
  <si>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</si>
  <si>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</si>
  <si>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</si>
  <si>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</si>
  <si>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</si>
  <si>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</si>
  <si>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</si>
  <si>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</si>
  <si>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</si>
  <si>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</si>
  <si>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</si>
  <si>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</si>
  <si>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</si>
  <si>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</si>
  <si>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</si>
  <si>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</si>
  <si>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</si>
  <si>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</si>
  <si>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</si>
  <si>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</si>
  <si>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</si>
  <si>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</si>
  <si>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</si>
  <si>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</si>
  <si>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</si>
  <si>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</si>
  <si>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</si>
  <si>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</si>
  <si>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</si>
  <si>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</si>
  <si>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</si>
  <si>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</si>
  <si>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</si>
  <si>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</si>
  <si>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</si>
  <si>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</si>
  <si>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</si>
  <si>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</si>
  <si>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</si>
  <si>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</si>
  <si>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</si>
  <si>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</si>
  <si>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</si>
  <si>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</si>
  <si>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</si>
  <si>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</si>
  <si>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</si>
  <si>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</si>
  <si>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</si>
  <si>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</si>
  <si>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</si>
  <si>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</si>
  <si>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</si>
  <si>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</si>
  <si>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</si>
  <si>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</si>
  <si>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</si>
  <si>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</si>
  <si>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</si>
  <si>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</si>
  <si>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</si>
  <si>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</si>
  <si>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</si>
  <si>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</si>
  <si>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</si>
  <si>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</si>
  <si>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</si>
  <si>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</si>
  <si>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</si>
  <si>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</si>
  <si>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</si>
  <si>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</si>
  <si>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</si>
  <si>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</si>
  <si>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</si>
  <si>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</si>
  <si>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</si>
  <si>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</si>
  <si>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</si>
  <si>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</si>
  <si>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</si>
  <si>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</si>
  <si>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</si>
  <si>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</si>
  <si>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</si>
  <si>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</si>
  <si>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</si>
  <si>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</si>
  <si>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</si>
  <si>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</si>
  <si>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</si>
  <si>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</si>
  <si>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</si>
  <si>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</si>
  <si>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</si>
  <si>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</si>
  <si>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</si>
  <si>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</si>
  <si>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</si>
  <si>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</si>
  <si>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</si>
  <si>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</si>
  <si>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</si>
  <si>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</si>
  <si>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</si>
  <si>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</si>
  <si>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</si>
  <si>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</si>
  <si>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</si>
  <si>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</si>
  <si>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</si>
  <si>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</si>
  <si>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</si>
  <si>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</si>
  <si>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</si>
  <si>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</si>
  <si>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</si>
  <si>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</si>
  <si>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</si>
  <si>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</si>
  <si>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</si>
  <si>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</si>
  <si>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</si>
  <si>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</si>
  <si>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</si>
  <si>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</si>
  <si>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</si>
  <si>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</si>
  <si>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</si>
  <si>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</si>
  <si>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</si>
  <si>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</si>
  <si>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</si>
  <si>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</si>
  <si>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</si>
  <si>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</si>
  <si>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</si>
  <si>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</si>
  <si>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</si>
  <si>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</si>
  <si>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</si>
  <si>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</si>
  <si>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</si>
  <si>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</si>
  <si>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</si>
  <si>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</si>
  <si>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</si>
  <si>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</si>
  <si>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</si>
  <si>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</si>
  <si>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</si>
  <si>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</si>
  <si>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</si>
  <si>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</si>
  <si>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</si>
  <si>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</si>
  <si>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</si>
  <si>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</si>
  <si>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</si>
  <si>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</si>
  <si>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</si>
  <si>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</si>
  <si>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</si>
  <si>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</si>
  <si>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</si>
  <si>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</si>
  <si>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</si>
  <si>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</si>
  <si>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</si>
  <si>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</si>
  <si>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</si>
  <si>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</si>
  <si>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</si>
  <si>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</si>
  <si>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</si>
  <si>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</si>
  <si>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</si>
  <si>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</si>
  <si>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</si>
  <si>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</si>
  <si>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</si>
  <si>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</si>
  <si>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</si>
  <si>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</si>
  <si>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</si>
  <si>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</si>
  <si>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</si>
  <si>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</si>
  <si>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</si>
  <si>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</si>
  <si>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</si>
  <si>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</si>
  <si>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</si>
  <si>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</si>
  <si>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</si>
  <si>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</si>
  <si>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</si>
  <si>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</si>
  <si>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</si>
  <si>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</si>
  <si>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</si>
  <si>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</si>
  <si>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</si>
  <si>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</si>
  <si>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</si>
  <si>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</si>
  <si>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</si>
  <si>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</si>
  <si>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</si>
  <si>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</si>
  <si>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</si>
  <si>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</si>
  <si>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</si>
  <si>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</si>
  <si>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</si>
  <si>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</si>
  <si>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</si>
  <si>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</si>
  <si>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</si>
  <si>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</si>
  <si>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</si>
  <si>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</si>
  <si>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</si>
  <si>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</si>
  <si>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</si>
  <si>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</si>
  <si>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</si>
  <si>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</si>
  <si>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</si>
  <si>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</si>
  <si>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</si>
  <si>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</si>
  <si>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</si>
  <si>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</si>
  <si>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</si>
  <si>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</si>
  <si>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</si>
  <si>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</si>
  <si>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</si>
  <si>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</si>
  <si>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</si>
  <si>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</si>
  <si>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</si>
  <si>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</si>
  <si>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</si>
  <si>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</si>
  <si>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</si>
  <si>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</si>
  <si>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</si>
  <si>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</si>
  <si>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</si>
  <si>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</si>
  <si>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</si>
  <si>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</si>
  <si>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</si>
  <si>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</si>
  <si>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</si>
  <si>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</si>
  <si>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</si>
  <si>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</si>
  <si>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</si>
  <si>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</si>
  <si>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</si>
  <si>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</si>
  <si>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</si>
  <si>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</si>
  <si>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</si>
  <si>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</si>
  <si>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</si>
  <si>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</si>
  <si>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</si>
  <si>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</si>
  <si>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</si>
  <si>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</si>
  <si>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</si>
  <si>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</si>
  <si>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</si>
  <si>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</si>
  <si>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</si>
  <si>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</si>
  <si>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</si>
  <si>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</si>
  <si>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</si>
  <si>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</si>
  <si>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</si>
  <si>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</si>
  <si>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</si>
  <si>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</si>
  <si>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</si>
  <si>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</si>
  <si>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</si>
  <si>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</si>
  <si>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</si>
  <si>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</si>
  <si>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</si>
  <si>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</si>
  <si>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</si>
  <si>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</si>
  <si>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</si>
  <si>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</si>
  <si>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</si>
  <si>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</si>
  <si>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</si>
  <si>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</si>
  <si>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</si>
  <si>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</si>
  <si>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</si>
  <si>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</si>
  <si>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</si>
  <si>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</si>
  <si>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</si>
  <si>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</si>
  <si>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</si>
  <si>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</si>
  <si>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</si>
  <si>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</si>
  <si>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</si>
  <si>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</si>
  <si>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</si>
  <si>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</si>
  <si>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</si>
  <si>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</si>
  <si>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</si>
  <si>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</si>
  <si>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</si>
  <si>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</si>
  <si>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</si>
  <si>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</si>
  <si>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</si>
  <si>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</si>
  <si>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</si>
  <si>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</si>
  <si>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</si>
  <si>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</si>
  <si>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</si>
  <si>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</si>
  <si>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</si>
  <si>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</si>
  <si>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</si>
  <si>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</si>
  <si>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</si>
  <si>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</si>
  <si>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</si>
  <si>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</si>
  <si>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</si>
  <si>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</si>
  <si>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</si>
  <si>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</si>
  <si>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</si>
  <si>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</si>
  <si>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</si>
  <si>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</si>
  <si>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</si>
  <si>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</si>
  <si>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</si>
  <si>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</si>
  <si>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</si>
  <si>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</si>
  <si>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</si>
  <si>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</si>
  <si>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</si>
  <si>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</si>
  <si>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</si>
  <si>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</si>
  <si>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</si>
  <si>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</si>
  <si>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</si>
  <si>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</si>
  <si>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</si>
  <si>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</si>
  <si>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</si>
  <si>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</si>
  <si>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</si>
  <si>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</si>
  <si>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</si>
  <si>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</si>
  <si>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</si>
  <si>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</si>
  <si>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</si>
  <si>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</si>
  <si>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</si>
  <si>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</si>
  <si>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</si>
  <si>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</si>
  <si>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</si>
  <si>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</si>
  <si>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</si>
  <si>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</si>
  <si>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</si>
  <si>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</si>
  <si>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</si>
  <si>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</si>
  <si>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</si>
  <si>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</si>
  <si>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</si>
  <si>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</si>
  <si>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</si>
  <si>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</si>
  <si>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</si>
  <si>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</si>
  <si>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</si>
  <si>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</si>
  <si>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</si>
  <si>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</si>
  <si>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</si>
  <si>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</si>
  <si>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</si>
  <si>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</si>
  <si>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</si>
  <si>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</si>
  <si>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</si>
  <si>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</si>
  <si>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</si>
  <si>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</si>
  <si>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</si>
  <si>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</si>
  <si>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</si>
  <si>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</si>
  <si>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</si>
  <si>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</si>
  <si>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</si>
  <si>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</si>
  <si>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无</t>
  </si>
  <si>
    <t>否</t>
  </si>
  <si>
    <t>场地平整</t>
  </si>
  <si>
    <t>平整</t>
  </si>
  <si>
    <t>通路</t>
  </si>
  <si>
    <t>通电</t>
  </si>
  <si>
    <t>通上水</t>
  </si>
  <si>
    <t>正常</t>
  </si>
  <si>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</si>
  <si>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</si>
  <si>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</si>
  <si>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</si>
  <si>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</si>
  <si>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</si>
  <si>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</si>
  <si>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</si>
  <si>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</si>
  <si>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</si>
  <si>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</si>
  <si>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</si>
  <si>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部位</t>
    <phoneticPr fontId="233" type="noConversion"/>
  </si>
  <si>
    <t>地上建筑面积</t>
    <phoneticPr fontId="233" type="noConversion"/>
  </si>
  <si>
    <t>地下建筑面积</t>
    <phoneticPr fontId="233" type="noConversion"/>
  </si>
  <si>
    <t>人防</t>
    <phoneticPr fontId="233" type="noConversion"/>
  </si>
  <si>
    <t>泳池及配套</t>
    <phoneticPr fontId="233" type="noConversion"/>
  </si>
  <si>
    <t>开关站</t>
    <phoneticPr fontId="233" type="noConversion"/>
  </si>
  <si>
    <t>水泵房</t>
    <phoneticPr fontId="233" type="noConversion"/>
  </si>
  <si>
    <t>发电机房</t>
    <phoneticPr fontId="233" type="noConversion"/>
  </si>
  <si>
    <t>配电房</t>
    <phoneticPr fontId="233" type="noConversion"/>
  </si>
  <si>
    <t>地下停车</t>
    <phoneticPr fontId="233" type="noConversion"/>
  </si>
  <si>
    <t>架空层</t>
    <phoneticPr fontId="233" type="noConversion"/>
  </si>
  <si>
    <t>住宅</t>
    <phoneticPr fontId="233" type="noConversion"/>
  </si>
  <si>
    <t>会所</t>
    <phoneticPr fontId="233" type="noConversion"/>
  </si>
  <si>
    <t>公共配套</t>
    <phoneticPr fontId="233" type="noConversion"/>
  </si>
  <si>
    <t>消防</t>
    <phoneticPr fontId="233" type="noConversion"/>
  </si>
  <si>
    <t>社区配套</t>
    <phoneticPr fontId="233" type="noConversion"/>
  </si>
  <si>
    <t>物业管理</t>
    <phoneticPr fontId="233" type="noConversion"/>
  </si>
  <si>
    <t>分控</t>
    <phoneticPr fontId="233" type="noConversion"/>
  </si>
  <si>
    <t>垃圾房</t>
    <phoneticPr fontId="233" type="noConversion"/>
  </si>
  <si>
    <t>公厕</t>
    <phoneticPr fontId="233" type="noConversion"/>
  </si>
  <si>
    <t>风井</t>
    <phoneticPr fontId="233" type="noConversion"/>
  </si>
  <si>
    <t>地下设备总计</t>
    <phoneticPr fontId="233" type="noConversion"/>
  </si>
  <si>
    <t>备注</t>
    <phoneticPr fontId="233" type="noConversion"/>
  </si>
  <si>
    <t>地下配套</t>
    <phoneticPr fontId="233" type="noConversion"/>
  </si>
  <si>
    <t>地上设备</t>
    <phoneticPr fontId="233" type="noConversion"/>
  </si>
  <si>
    <t>地上配套</t>
    <phoneticPr fontId="233" type="noConversion"/>
  </si>
  <si>
    <t>地上物业管理用房</t>
    <phoneticPr fontId="233" type="noConversion"/>
  </si>
  <si>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</si>
  <si>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</si>
  <si>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</si>
  <si>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</si>
  <si>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</si>
  <si>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</si>
  <si>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</si>
  <si>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</si>
  <si>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</si>
  <si>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</si>
  <si>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</si>
  <si>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</si>
  <si>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</si>
  <si>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</si>
  <si>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</si>
  <si>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不动产收益法会所</t>
    <phoneticPr fontId="14" type="noConversion"/>
  </si>
  <si>
    <t>不动产收益法车库</t>
  </si>
  <si>
    <t>不动产收益法车库</t>
    <phoneticPr fontId="14" type="noConversion"/>
  </si>
  <si>
    <t>自定义</t>
  </si>
  <si>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</si>
  <si>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</si>
  <si>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</si>
  <si>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</si>
  <si>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</si>
  <si>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</si>
  <si>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</si>
  <si>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</si>
  <si>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</si>
  <si>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</si>
  <si>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</si>
  <si>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</si>
  <si>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</si>
  <si>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单面临街</t>
  </si>
  <si>
    <t>一般</t>
  </si>
  <si>
    <t>好</t>
  </si>
  <si>
    <t>海景房</t>
    <phoneticPr fontId="21" type="noConversion"/>
  </si>
  <si>
    <t>普通房产</t>
    <phoneticPr fontId="21" type="noConversion"/>
  </si>
  <si>
    <t>非个人房产</t>
  </si>
  <si>
    <t>权重</t>
    <phoneticPr fontId="21" type="noConversion"/>
  </si>
  <si>
    <t>计容面积</t>
    <phoneticPr fontId="233" type="noConversion"/>
  </si>
  <si>
    <t>地下建筑面积</t>
    <phoneticPr fontId="233" type="noConversion"/>
  </si>
  <si>
    <t>地下车库</t>
    <phoneticPr fontId="233" type="noConversion"/>
  </si>
  <si>
    <t>地下设备</t>
    <phoneticPr fontId="233" type="noConversion"/>
  </si>
  <si>
    <t>人防</t>
    <phoneticPr fontId="233" type="noConversion"/>
  </si>
  <si>
    <t>土地（套用方法）</t>
  </si>
  <si>
    <t>已全部缴纳</t>
  </si>
  <si>
    <t>地下</t>
  </si>
  <si>
    <t>车库</t>
  </si>
  <si>
    <t>郑燚</t>
  </si>
  <si>
    <t>石家庄安联房地产开发有限公司</t>
    <phoneticPr fontId="6" type="noConversion"/>
  </si>
  <si>
    <t>中诚信托有限责任公司</t>
    <phoneticPr fontId="6" type="noConversion"/>
  </si>
  <si>
    <t>石家庄安联房地产开发有限公司</t>
    <phoneticPr fontId="6" type="noConversion"/>
  </si>
  <si>
    <t>河北省石家庄市</t>
    <phoneticPr fontId="6" type="noConversion"/>
  </si>
  <si>
    <t>商务金融用地</t>
    <phoneticPr fontId="6" type="noConversion"/>
  </si>
  <si>
    <t>《国有土地使用证》[长安国用（2014）第00003号]</t>
    <phoneticPr fontId="6" type="noConversion"/>
  </si>
  <si>
    <t>《建设工程规划许可证》[建字第建管130100201800074、130100201800082号]</t>
    <phoneticPr fontId="6" type="noConversion"/>
  </si>
  <si>
    <t>《建设工程规划许可证》[建字第建管130100201800074、130100201800082号]</t>
    <phoneticPr fontId="3" type="noConversion"/>
  </si>
  <si>
    <t>《国有土地使用证》</t>
  </si>
  <si>
    <t>中信信托有限责任公司</t>
    <phoneticPr fontId="6" type="noConversion"/>
  </si>
  <si>
    <t>部分32181.54平方米</t>
    <phoneticPr fontId="6" type="noConversion"/>
  </si>
  <si>
    <t>48000万元</t>
    <phoneticPr fontId="6" type="noConversion"/>
  </si>
  <si>
    <t>商业项目</t>
  </si>
  <si>
    <t>通下水</t>
  </si>
  <si>
    <t>通热</t>
  </si>
  <si>
    <t>燃气</t>
  </si>
  <si>
    <t>公寓</t>
  </si>
  <si>
    <t>底商</t>
  </si>
  <si>
    <t>1#</t>
    <phoneticPr fontId="3" type="noConversion"/>
  </si>
  <si>
    <t>2#</t>
    <phoneticPr fontId="3" type="noConversion"/>
  </si>
  <si>
    <t>3#</t>
    <phoneticPr fontId="3" type="noConversion"/>
  </si>
  <si>
    <t>4#</t>
    <phoneticPr fontId="3" type="noConversion"/>
  </si>
  <si>
    <t>5#</t>
    <phoneticPr fontId="3" type="noConversion"/>
  </si>
  <si>
    <t>6#</t>
    <phoneticPr fontId="3" type="noConversion"/>
  </si>
  <si>
    <t>7#</t>
    <phoneticPr fontId="3" type="noConversion"/>
  </si>
  <si>
    <t>《国有土地使用证》[长安国用（2014）第00003号]</t>
    <phoneticPr fontId="3" type="noConversion"/>
  </si>
  <si>
    <r>
      <rPr>
        <sz val="10"/>
        <color indexed="8"/>
        <rFont val="楷体_GB2312"/>
        <family val="3"/>
        <charset val="134"/>
      </rPr>
      <t>是</t>
    </r>
  </si>
  <si>
    <r>
      <t>C-1#</t>
    </r>
    <r>
      <rPr>
        <sz val="10"/>
        <color theme="1"/>
        <rFont val="楷体_GB2312"/>
        <family val="3"/>
        <charset val="134"/>
      </rPr>
      <t>商业楼</t>
    </r>
    <phoneticPr fontId="3" type="noConversion"/>
  </si>
  <si>
    <r>
      <t>C-2#</t>
    </r>
    <r>
      <rPr>
        <sz val="10"/>
        <color theme="1"/>
        <rFont val="楷体_GB2312"/>
        <family val="3"/>
        <charset val="134"/>
      </rPr>
      <t>商业楼</t>
    </r>
    <phoneticPr fontId="3" type="noConversion"/>
  </si>
  <si>
    <r>
      <t>C-3#</t>
    </r>
    <r>
      <rPr>
        <sz val="10"/>
        <color theme="1"/>
        <rFont val="楷体_GB2312"/>
        <family val="3"/>
        <charset val="134"/>
      </rPr>
      <t>商业楼</t>
    </r>
    <phoneticPr fontId="3" type="noConversion"/>
  </si>
  <si>
    <r>
      <t>C-4#</t>
    </r>
    <r>
      <rPr>
        <sz val="10"/>
        <color theme="1"/>
        <rFont val="楷体_GB2312"/>
        <family val="3"/>
        <charset val="134"/>
      </rPr>
      <t>商业楼</t>
    </r>
    <phoneticPr fontId="3" type="noConversion"/>
  </si>
  <si>
    <t>地下车库</t>
    <phoneticPr fontId="3" type="noConversion"/>
  </si>
  <si>
    <t>门卫室</t>
    <phoneticPr fontId="3" type="noConversion"/>
  </si>
  <si>
    <r>
      <rPr>
        <sz val="10"/>
        <color indexed="8"/>
        <rFont val="宋体"/>
        <family val="3"/>
        <charset val="134"/>
      </rPr>
      <t>长安国用（</t>
    </r>
    <r>
      <rPr>
        <sz val="10"/>
        <color indexed="8"/>
        <rFont val="Arial"/>
        <family val="2"/>
      </rPr>
      <t>2014</t>
    </r>
    <r>
      <rPr>
        <sz val="10"/>
        <color indexed="8"/>
        <rFont val="宋体"/>
        <family val="3"/>
        <charset val="134"/>
      </rPr>
      <t>）第</t>
    </r>
    <r>
      <rPr>
        <sz val="10"/>
        <color indexed="8"/>
        <rFont val="Arial"/>
        <family val="2"/>
      </rPr>
      <t>00003</t>
    </r>
    <r>
      <rPr>
        <sz val="10"/>
        <color indexed="8"/>
        <rFont val="宋体"/>
        <family val="3"/>
        <charset val="134"/>
      </rPr>
      <t>号</t>
    </r>
    <phoneticPr fontId="3" type="noConversion"/>
  </si>
  <si>
    <r>
      <rPr>
        <sz val="10"/>
        <color indexed="8"/>
        <rFont val="宋体"/>
        <family val="3"/>
        <charset val="134"/>
      </rPr>
      <t>《建设工程规划许可证》</t>
    </r>
    <r>
      <rPr>
        <sz val="10"/>
        <color indexed="8"/>
        <rFont val="Arial"/>
        <family val="2"/>
      </rPr>
      <t>[</t>
    </r>
    <r>
      <rPr>
        <sz val="10"/>
        <color indexed="8"/>
        <rFont val="宋体"/>
        <family val="3"/>
        <charset val="134"/>
      </rPr>
      <t>建字第建管</t>
    </r>
    <r>
      <rPr>
        <sz val="10"/>
        <color indexed="8"/>
        <rFont val="Arial"/>
        <family val="2"/>
      </rPr>
      <t>130100201800074</t>
    </r>
    <r>
      <rPr>
        <sz val="10"/>
        <color indexed="8"/>
        <rFont val="宋体"/>
        <family val="3"/>
        <charset val="134"/>
      </rPr>
      <t>号</t>
    </r>
    <r>
      <rPr>
        <sz val="10"/>
        <color indexed="8"/>
        <rFont val="Arial"/>
        <family val="2"/>
      </rPr>
      <t>]</t>
    </r>
    <phoneticPr fontId="3" type="noConversion"/>
  </si>
  <si>
    <r>
      <rPr>
        <sz val="10"/>
        <color indexed="8"/>
        <rFont val="宋体"/>
        <family val="3"/>
        <charset val="134"/>
      </rPr>
      <t>《建设工程规划许可证》</t>
    </r>
    <r>
      <rPr>
        <sz val="10"/>
        <color indexed="8"/>
        <rFont val="Arial"/>
        <family val="2"/>
      </rPr>
      <t>[</t>
    </r>
    <r>
      <rPr>
        <sz val="10"/>
        <color indexed="8"/>
        <rFont val="宋体"/>
        <family val="3"/>
        <charset val="134"/>
      </rPr>
      <t>建字第建管</t>
    </r>
    <r>
      <rPr>
        <sz val="10"/>
        <color indexed="8"/>
        <rFont val="Arial"/>
        <family val="2"/>
      </rPr>
      <t>130100201800082</t>
    </r>
    <r>
      <rPr>
        <sz val="10"/>
        <color indexed="8"/>
        <rFont val="宋体"/>
        <family val="3"/>
        <charset val="134"/>
      </rPr>
      <t>号</t>
    </r>
    <r>
      <rPr>
        <sz val="10"/>
        <color indexed="8"/>
        <rFont val="Arial"/>
        <family val="2"/>
      </rPr>
      <t>]</t>
    </r>
    <phoneticPr fontId="3" type="noConversion"/>
  </si>
  <si>
    <t>精装LOFT</t>
  </si>
  <si>
    <t>精装LOFT</t>
    <phoneticPr fontId="7" type="noConversion"/>
  </si>
  <si>
    <t>毛坯LOFT</t>
  </si>
  <si>
    <t>毛坯LOFT</t>
    <phoneticPr fontId="7" type="noConversion"/>
  </si>
  <si>
    <t>精装类住宅</t>
  </si>
  <si>
    <t>精装类住宅</t>
    <phoneticPr fontId="7" type="noConversion"/>
  </si>
  <si>
    <t>毛坯类住宅</t>
  </si>
  <si>
    <t>毛坯类住宅</t>
    <phoneticPr fontId="7" type="noConversion"/>
  </si>
  <si>
    <t>商业</t>
    <phoneticPr fontId="7" type="noConversion"/>
  </si>
  <si>
    <t>地下车库</t>
    <phoneticPr fontId="7" type="noConversion"/>
  </si>
  <si>
    <t>——</t>
    <phoneticPr fontId="3" type="noConversion"/>
  </si>
  <si>
    <t>城市快速路—东二环北路</t>
    <phoneticPr fontId="21" type="noConversion"/>
  </si>
  <si>
    <t>双面临街</t>
  </si>
  <si>
    <t>多面临街</t>
  </si>
  <si>
    <t>较差</t>
  </si>
  <si>
    <t>七通</t>
  </si>
  <si>
    <t>城市快速路—东二环北路</t>
    <phoneticPr fontId="26" type="noConversion"/>
  </si>
  <si>
    <t>城市高速路</t>
    <phoneticPr fontId="26" type="noConversion"/>
  </si>
  <si>
    <t>城市快速路</t>
  </si>
  <si>
    <t>城市快速路</t>
    <phoneticPr fontId="26" type="noConversion"/>
  </si>
  <si>
    <t>城市主干道</t>
    <phoneticPr fontId="26" type="noConversion"/>
  </si>
  <si>
    <t>城市次干道</t>
    <phoneticPr fontId="26" type="noConversion"/>
  </si>
  <si>
    <t>城市支路</t>
  </si>
  <si>
    <t>城市支路</t>
    <phoneticPr fontId="26" type="noConversion"/>
  </si>
  <si>
    <t>仓储</t>
  </si>
  <si>
    <t>戊类库房</t>
  </si>
  <si>
    <t>地下仓储</t>
  </si>
  <si>
    <t>商业35年、地下车库、地下仓储45年</t>
    <phoneticPr fontId="6" type="noConversion"/>
  </si>
  <si>
    <t>商业、地下车库及地下仓储</t>
    <phoneticPr fontId="6" type="noConversion"/>
  </si>
  <si>
    <t>长安区和平东路以北、东二环北路东侧商业、地下车库、地下仓储用地出让国有建设用地使用权</t>
    <phoneticPr fontId="6" type="noConversion"/>
  </si>
  <si>
    <t>地下仓储</t>
    <phoneticPr fontId="7" type="noConversion"/>
  </si>
  <si>
    <t>商业</t>
    <phoneticPr fontId="26"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</si>
  <si>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</si>
  <si>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</si>
  <si>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</si>
  <si>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</si>
  <si>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</si>
  <si>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</si>
  <si>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</si>
  <si>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</si>
  <si>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</si>
  <si>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</si>
  <si>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</si>
  <si>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</si>
  <si>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</si>
  <si>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石家庄市</t>
  </si>
  <si>
    <t>商业/办公用地</t>
  </si>
  <si>
    <t>≤5.06</t>
  </si>
  <si>
    <t>挂牌</t>
  </si>
  <si>
    <t>2018-11-28</t>
  </si>
  <si>
    <t>石家庄市汇瑞房地产开发有限公司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</si>
  <si>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</si>
  <si>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</si>
  <si>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</si>
  <si>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</si>
  <si>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</si>
  <si>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</si>
  <si>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</si>
  <si>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</si>
  <si>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青园街西、南二环北、汇华路南、天同街东</t>
  </si>
  <si>
    <t>≤4.83</t>
  </si>
  <si>
    <t>2017-12-04</t>
  </si>
  <si>
    <t>河北蓝致房地产开发有限公司</t>
  </si>
  <si>
    <t>东至胜利北大街、西至京石铁路、南至柳南路(规划路)、北至柳林路(规划路)</t>
  </si>
  <si>
    <t>≤4.5</t>
  </si>
  <si>
    <t>2016-12-05</t>
  </si>
  <si>
    <t>石家庄北城房地产开发有限公司</t>
  </si>
  <si>
    <t>体育北大街以东、古城东路以北、北高营钢材市场以南</t>
  </si>
  <si>
    <t>＜0.4</t>
  </si>
  <si>
    <t>2016-08-05</t>
  </si>
  <si>
    <t>石家庄华中能源开发有限公司</t>
  </si>
  <si>
    <t>建设北大街以东、丰收路以北</t>
  </si>
  <si>
    <t>≤6.0</t>
  </si>
  <si>
    <t>2016-06-23</t>
  </si>
  <si>
    <t>河北大牛房地产开发有限公司</t>
  </si>
  <si>
    <t>省混凝土外加剂厂东、十里铺村土地西、北二环南、省光华企业公司土地北</t>
  </si>
  <si>
    <t>2015-05-15</t>
  </si>
  <si>
    <t>石家庄兴洲房地产开发有限公司</t>
  </si>
  <si>
    <t>光华路北、众诚百合园东、煤机街西</t>
  </si>
  <si>
    <t>＜1.15</t>
  </si>
  <si>
    <t>2015-04-24</t>
  </si>
  <si>
    <t>河北祈福乾悦房地产开发有限公司</t>
  </si>
  <si>
    <t>大经街西、盛阳门东、向阳路南、花中城北</t>
  </si>
  <si>
    <t>2014-09-17</t>
  </si>
  <si>
    <t>石家庄市利仁投资有限公司</t>
  </si>
  <si>
    <t>建华北大街以东、旧村回迁区以西、翟西路(规划路)以南、光华路以北</t>
  </si>
  <si>
    <t>≤5.5</t>
  </si>
  <si>
    <t>2014-02-13</t>
  </si>
  <si>
    <t>建华北大街以东、石德铁路以南、旧村回迁区以西、翟西路(规划路)以北</t>
  </si>
  <si>
    <t>河北天地九顺投资股份有限公司与河北祈福乾悦房地产开发有限公司</t>
  </si>
  <si>
    <t>建设南大街东、省邮电管理局宿舍西、省冶金工业厅南、省邮电管理局北</t>
  </si>
  <si>
    <t>2013-05-06</t>
  </si>
  <si>
    <t>河北省卓诚企业管理服务有限公司</t>
  </si>
  <si>
    <t>胜利北街东、阜康路南</t>
  </si>
  <si>
    <t>小于或等于6</t>
  </si>
  <si>
    <t>2012-09-19</t>
  </si>
  <si>
    <t>河北冀兴房地产开发有限公司</t>
  </si>
  <si>
    <t>光华路以北、电厂街以西</t>
    <phoneticPr fontId="233" type="noConversion"/>
  </si>
  <si>
    <r>
      <rPr>
        <sz val="10"/>
        <rFont val="宋体"/>
        <family val="3"/>
        <charset val="134"/>
      </rPr>
      <t>案例</t>
    </r>
    <r>
      <rPr>
        <sz val="11"/>
        <color theme="1"/>
        <rFont val="宋体"/>
        <family val="3"/>
        <charset val="134"/>
        <scheme val="minor"/>
      </rPr>
      <t>A</t>
    </r>
    <phoneticPr fontId="3" type="noConversion"/>
  </si>
  <si>
    <r>
      <rPr>
        <sz val="10"/>
        <rFont val="宋体"/>
        <family val="3"/>
        <charset val="134"/>
      </rPr>
      <t>案例</t>
    </r>
    <r>
      <rPr>
        <sz val="11"/>
        <color theme="1"/>
        <rFont val="宋体"/>
        <family val="3"/>
        <charset val="134"/>
        <scheme val="minor"/>
      </rPr>
      <t>B</t>
    </r>
    <phoneticPr fontId="3" type="noConversion"/>
  </si>
  <si>
    <r>
      <rPr>
        <sz val="10"/>
        <rFont val="宋体"/>
        <family val="3"/>
        <charset val="134"/>
      </rPr>
      <t>案例</t>
    </r>
    <r>
      <rPr>
        <sz val="11"/>
        <color theme="1"/>
        <rFont val="宋体"/>
        <family val="3"/>
        <charset val="134"/>
        <scheme val="minor"/>
      </rPr>
      <t>C</t>
    </r>
    <phoneticPr fontId="3" type="noConversion"/>
  </si>
  <si>
    <r>
      <rPr>
        <sz val="11"/>
        <rFont val="宋体"/>
        <family val="3"/>
        <charset val="134"/>
      </rPr>
      <t>周边有</t>
    </r>
    <r>
      <rPr>
        <sz val="11"/>
        <rFont val="Arial"/>
        <family val="2"/>
      </rPr>
      <t>77</t>
    </r>
    <r>
      <rPr>
        <sz val="11"/>
        <rFont val="宋体"/>
        <family val="3"/>
        <charset val="134"/>
      </rPr>
      <t>路、</t>
    </r>
    <r>
      <rPr>
        <sz val="11"/>
        <rFont val="Arial"/>
        <family val="2"/>
      </rPr>
      <t>89</t>
    </r>
    <r>
      <rPr>
        <sz val="11"/>
        <rFont val="宋体"/>
        <family val="3"/>
        <charset val="134"/>
      </rPr>
      <t>路、</t>
    </r>
    <r>
      <rPr>
        <sz val="11"/>
        <rFont val="Arial"/>
        <family val="2"/>
      </rPr>
      <t>102</t>
    </r>
    <r>
      <rPr>
        <sz val="11"/>
        <rFont val="宋体"/>
        <family val="3"/>
        <charset val="134"/>
      </rPr>
      <t>路等多条公交线路，路网密集度较好、停车较便捷，综合评价交通便捷度较好。</t>
    </r>
    <phoneticPr fontId="26" type="noConversion"/>
  </si>
  <si>
    <t>所在区域有长安公园，自然环境一般；无博物馆等人文设施，人文环境差；综合评价环境状况较差。</t>
    <phoneticPr fontId="26" type="noConversion"/>
  </si>
  <si>
    <t>所在区域公共配套设施齐备情况较好。</t>
    <phoneticPr fontId="26" type="noConversion"/>
  </si>
  <si>
    <t>周边商业氛围成熟度一般，多为社区配套底商，人流量一般，商业繁华度一般。</t>
    <phoneticPr fontId="3" type="noConversion"/>
  </si>
  <si>
    <t>周边有4路、45路、98路等多条公交线路，邻近东二环北路，路网密集度一般、停车较便捷，综合评价交通便捷度较好。</t>
    <phoneticPr fontId="3" type="noConversion"/>
  </si>
  <si>
    <t>所在区域公共配套设施齐备情况较好。</t>
    <phoneticPr fontId="3" type="noConversion"/>
  </si>
  <si>
    <t>所在区域基础设施水平达“七通”。</t>
  </si>
  <si>
    <t>所在区域基础设施水平达“七通”。</t>
    <phoneticPr fontId="3" type="noConversion"/>
  </si>
  <si>
    <t>所在区域有三角河公园，自然环境一般；无博物馆等人文设施，人文环境差；综合评价环境状况较差。</t>
    <phoneticPr fontId="3" type="noConversion"/>
  </si>
  <si>
    <t>周边商业氛围成熟度较好，多为社区配套底商，有购物商场，人流量较大，商业繁华度较好。</t>
    <phoneticPr fontId="26" type="noConversion"/>
  </si>
  <si>
    <r>
      <rPr>
        <sz val="11"/>
        <rFont val="宋体"/>
        <family val="3"/>
        <charset val="134"/>
      </rPr>
      <t>周边有</t>
    </r>
    <r>
      <rPr>
        <sz val="11"/>
        <rFont val="Arial"/>
        <family val="2"/>
      </rPr>
      <t>32</t>
    </r>
    <r>
      <rPr>
        <sz val="11"/>
        <rFont val="宋体"/>
        <family val="3"/>
        <charset val="134"/>
      </rPr>
      <t>路、</t>
    </r>
    <r>
      <rPr>
        <sz val="11"/>
        <rFont val="Arial"/>
        <family val="2"/>
      </rPr>
      <t>51</t>
    </r>
    <r>
      <rPr>
        <sz val="11"/>
        <rFont val="宋体"/>
        <family val="3"/>
        <charset val="134"/>
      </rPr>
      <t>路、</t>
    </r>
    <r>
      <rPr>
        <sz val="11"/>
        <rFont val="Arial"/>
        <family val="2"/>
      </rPr>
      <t>71</t>
    </r>
    <r>
      <rPr>
        <sz val="11"/>
        <rFont val="宋体"/>
        <family val="3"/>
        <charset val="134"/>
      </rPr>
      <t>路等多条公交线路，路网密集度较好、停车较便捷，综合评价交通便捷度较好。</t>
    </r>
    <phoneticPr fontId="26" type="noConversion"/>
  </si>
  <si>
    <t>所在区域无公园等设施，自然环境差；无博物馆等人文设施，人文环境差；综合评价环境状况差。</t>
    <phoneticPr fontId="26" type="noConversion"/>
  </si>
  <si>
    <t>差</t>
  </si>
  <si>
    <t>周边商业氛围成熟度较差，人流量较差，商业繁华度较差。</t>
    <phoneticPr fontId="26" type="noConversion"/>
  </si>
  <si>
    <t>周边公交线路较少，路网密集度较差、停车较便捷，综合评价交通便捷度较差。</t>
    <phoneticPr fontId="26" type="noConversion"/>
  </si>
  <si>
    <t>所在区域有花海天路、滨海公园，绿化较好，自然环境较好；有石家庄国际会展中心、河北奥林匹克体育中心等人文设施，人文环境较好；综合评价环境状况较好。</t>
    <phoneticPr fontId="26" type="noConversion"/>
  </si>
  <si>
    <t>城市支路—电厂街</t>
    <phoneticPr fontId="26" type="noConversion"/>
  </si>
  <si>
    <t>城市支路—天山南大街</t>
    <phoneticPr fontId="26" type="noConversion"/>
  </si>
  <si>
    <t>城市支路—现状道路</t>
    <phoneticPr fontId="26" type="noConversion"/>
  </si>
  <si>
    <t>不动产收益法仓储</t>
  </si>
  <si>
    <t>不动产收益法仓储</t>
    <phoneticPr fontId="14" type="noConversion"/>
  </si>
  <si>
    <t>融创壹号</t>
    <phoneticPr fontId="3" type="noConversion"/>
  </si>
  <si>
    <t>远洋7号</t>
    <phoneticPr fontId="3" type="noConversion"/>
  </si>
  <si>
    <t>商业</t>
    <phoneticPr fontId="21" type="noConversion"/>
  </si>
  <si>
    <t>30-40（含）</t>
  </si>
  <si>
    <t>精装LOFT</t>
    <phoneticPr fontId="21" type="noConversion"/>
  </si>
  <si>
    <r>
      <rPr>
        <sz val="11"/>
        <rFont val="宋体"/>
        <family val="3"/>
        <charset val="134"/>
      </rPr>
      <t>毛坯</t>
    </r>
    <r>
      <rPr>
        <sz val="11"/>
        <rFont val="Arial"/>
        <family val="2"/>
      </rPr>
      <t>LOFT</t>
    </r>
    <phoneticPr fontId="21" type="noConversion"/>
  </si>
  <si>
    <t>精装类住宅</t>
    <phoneticPr fontId="21" type="noConversion"/>
  </si>
  <si>
    <t>毛坯类住宅</t>
    <phoneticPr fontId="21" type="noConversion"/>
  </si>
  <si>
    <t>普通</t>
  </si>
  <si>
    <t>五通</t>
  </si>
  <si>
    <t>五通</t>
    <phoneticPr fontId="21" type="noConversion"/>
  </si>
  <si>
    <t>周边有瑞府、秋景怡园等住宅社区，分布密度一般，入住率一般，居住社区成熟度一般。</t>
    <phoneticPr fontId="21" type="noConversion"/>
  </si>
  <si>
    <t>天山世界之门</t>
    <phoneticPr fontId="3" type="noConversion"/>
  </si>
  <si>
    <t>不动产收益法商业</t>
  </si>
  <si>
    <t>不动产收益法商业</t>
    <phoneticPr fontId="14" type="noConversion"/>
  </si>
  <si>
    <t>正常操作</t>
  </si>
  <si>
    <t>周边有奥北公元、亚龙花园小区等住宅社区，分布密度一般，入住率一般，居住社区成熟度一般。</t>
    <phoneticPr fontId="21" type="noConversion"/>
  </si>
  <si>
    <r>
      <rPr>
        <sz val="11"/>
        <rFont val="宋体"/>
        <family val="3"/>
        <charset val="134"/>
      </rPr>
      <t>周边有</t>
    </r>
    <r>
      <rPr>
        <sz val="11"/>
        <rFont val="Arial"/>
        <family val="2"/>
      </rPr>
      <t>71</t>
    </r>
    <r>
      <rPr>
        <sz val="11"/>
        <rFont val="宋体"/>
        <family val="3"/>
        <charset val="134"/>
      </rPr>
      <t>路、</t>
    </r>
    <r>
      <rPr>
        <sz val="11"/>
        <rFont val="Arial"/>
        <family val="2"/>
      </rPr>
      <t>79</t>
    </r>
    <r>
      <rPr>
        <sz val="11"/>
        <rFont val="宋体"/>
        <family val="3"/>
        <charset val="134"/>
      </rPr>
      <t>路、</t>
    </r>
    <r>
      <rPr>
        <sz val="11"/>
        <rFont val="Arial"/>
        <family val="2"/>
      </rPr>
      <t>80</t>
    </r>
    <r>
      <rPr>
        <sz val="11"/>
        <rFont val="宋体"/>
        <family val="3"/>
        <charset val="134"/>
      </rPr>
      <t>路等多条公交线路，邻近东二环南路，路网密集度一般、停车较便捷，综合评价交通便捷度较好。</t>
    </r>
    <phoneticPr fontId="21" type="noConversion"/>
  </si>
  <si>
    <t>所在区域公共配套设施齐备情况较好。</t>
  </si>
  <si>
    <t>所在区域有希望绿洲公园，自然环境一般；无博物馆等人文设施，人文环境差；综合评价环境状况较差。</t>
    <phoneticPr fontId="21" type="noConversion"/>
  </si>
  <si>
    <r>
      <rPr>
        <sz val="11"/>
        <rFont val="宋体"/>
        <family val="3"/>
        <charset val="134"/>
      </rPr>
      <t>周边有</t>
    </r>
    <r>
      <rPr>
        <sz val="11"/>
        <rFont val="Arial"/>
        <family val="2"/>
      </rPr>
      <t>63</t>
    </r>
    <r>
      <rPr>
        <sz val="11"/>
        <rFont val="宋体"/>
        <family val="3"/>
        <charset val="134"/>
      </rPr>
      <t>路、</t>
    </r>
    <r>
      <rPr>
        <sz val="11"/>
        <rFont val="Arial"/>
        <family val="2"/>
      </rPr>
      <t>89</t>
    </r>
    <r>
      <rPr>
        <sz val="11"/>
        <rFont val="宋体"/>
        <family val="3"/>
        <charset val="134"/>
      </rPr>
      <t>路、</t>
    </r>
    <r>
      <rPr>
        <sz val="11"/>
        <rFont val="Arial"/>
        <family val="2"/>
      </rPr>
      <t>101</t>
    </r>
    <r>
      <rPr>
        <sz val="11"/>
        <rFont val="宋体"/>
        <family val="3"/>
        <charset val="134"/>
      </rPr>
      <t>路等多条公交线路，邻近北二环，路网密集度一般、停车较便捷，综合评价交通便捷度较好。</t>
    </r>
    <phoneticPr fontId="21" type="noConversion"/>
  </si>
  <si>
    <t>周边有花香漫城、珠峰国际花园等住宅社区，分布密度较好，入住率一般，居住社区成熟度较好。</t>
    <phoneticPr fontId="21" type="noConversion"/>
  </si>
  <si>
    <r>
      <rPr>
        <sz val="11"/>
        <rFont val="宋体"/>
        <family val="3"/>
        <charset val="134"/>
      </rPr>
      <t>周边有</t>
    </r>
    <r>
      <rPr>
        <sz val="11"/>
        <rFont val="Arial"/>
        <family val="2"/>
      </rPr>
      <t>32</t>
    </r>
    <r>
      <rPr>
        <sz val="11"/>
        <rFont val="宋体"/>
        <family val="3"/>
        <charset val="134"/>
      </rPr>
      <t>路、</t>
    </r>
    <r>
      <rPr>
        <sz val="11"/>
        <rFont val="Arial"/>
        <family val="2"/>
      </rPr>
      <t>51</t>
    </r>
    <r>
      <rPr>
        <sz val="11"/>
        <rFont val="宋体"/>
        <family val="3"/>
        <charset val="134"/>
      </rPr>
      <t>路、</t>
    </r>
    <r>
      <rPr>
        <sz val="11"/>
        <rFont val="Arial"/>
        <family val="2"/>
      </rPr>
      <t>79</t>
    </r>
    <r>
      <rPr>
        <sz val="11"/>
        <rFont val="宋体"/>
        <family val="3"/>
        <charset val="134"/>
      </rPr>
      <t>路等多条公交线路，邻近留村地铁站，路网密集度一般、停车较便捷，综合评价交通便捷度较好。</t>
    </r>
    <phoneticPr fontId="21" type="noConversion"/>
  </si>
  <si>
    <t>所在区域有火炬广场，自然环境一般；有孟氏艺术馆等人文设施，人文环境一般；综合评价环境状况一般。</t>
    <phoneticPr fontId="21" type="noConversion"/>
  </si>
  <si>
    <t>周边有国大全城、蓝郡名邸等住宅社区，分布密度一般，入住率一般，居住社区成熟度一般。</t>
    <phoneticPr fontId="21" type="noConversion"/>
  </si>
  <si>
    <t>出让金+开发费</t>
  </si>
  <si>
    <t>情况3</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</si>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</sst>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145" fillId="0" borderId="0" xfId="0" applyFont="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5" fontId="71" fillId="0" borderId="9" xfId="0" applyNumberFormat="1" applyFont="1" applyFill="1" applyBorder="1" applyAlignment="1" applyProtection="1">
      <alignment horizontal="center" vertical="center" wrapText="1"/>
      <protection locked="0"/>
    </xf>
    <xf numFmtId="180" fontId="71" fillId="0" borderId="11" xfId="0" applyNumberFormat="1" applyFont="1" applyFill="1" applyBorder="1" applyAlignment="1" applyProtection="1">
      <alignment horizontal="center" vertical="center" wrapText="1"/>
      <protection locked="0"/>
    </xf>
    <xf numFmtId="0" fontId="78" fillId="5" borderId="10" xfId="0" applyFont="1" applyFill="1" applyBorder="1" applyAlignment="1" applyProtection="1">
      <alignment horizontal="lef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52" fillId="0" borderId="2" xfId="1" applyFont="1" applyFill="1" applyBorder="1" applyAlignment="1" applyProtection="1">
      <alignment horizontal="center" vertical="center" wrapText="1"/>
      <protection locked="0"/>
    </xf>
    <xf numFmtId="0" fontId="176"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152" fillId="0" borderId="2" xfId="1" applyFont="1" applyBorder="1" applyAlignment="1" applyProtection="1">
      <alignment horizontal="center" vertical="center" wrapText="1"/>
      <protection locked="0"/>
    </xf>
    <xf numFmtId="0" fontId="152" fillId="0" borderId="2" xfId="1" applyFont="1" applyBorder="1" applyAlignment="1" applyProtection="1">
      <alignment horizontal="center" vertical="center"/>
      <protection locked="0"/>
    </xf>
    <xf numFmtId="0" fontId="176" fillId="0" borderId="2" xfId="1" applyFont="1" applyFill="1" applyBorder="1" applyAlignment="1" applyProtection="1">
      <alignment horizontal="center" vertical="center" wrapText="1"/>
      <protection locked="0"/>
    </xf>
    <xf numFmtId="176" fontId="152" fillId="0" borderId="2" xfId="1" applyNumberFormat="1" applyFont="1" applyBorder="1" applyAlignment="1" applyProtection="1">
      <alignment horizontal="center" vertical="center" wrapText="1"/>
      <protection locked="0"/>
    </xf>
    <xf numFmtId="0" fontId="152" fillId="0" borderId="2" xfId="0" applyFont="1" applyBorder="1" applyAlignment="1" applyProtection="1">
      <alignment horizontal="center" vertical="center"/>
      <protection locked="0"/>
    </xf>
    <xf numFmtId="176" fontId="76" fillId="0" borderId="2" xfId="0" applyNumberFormat="1" applyFont="1" applyBorder="1" applyAlignment="1" applyProtection="1">
      <alignment horizontal="center" vertical="center" wrapText="1"/>
      <protection locked="0"/>
    </xf>
    <xf numFmtId="0" fontId="201" fillId="0" borderId="2" xfId="1"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86" fillId="0" borderId="0" xfId="0" applyFont="1" applyAlignment="1"/>
    <xf numFmtId="0" fontId="0" fillId="6" borderId="0" xfId="0" applyFill="1" applyAlignment="1"/>
    <xf numFmtId="0" fontId="145" fillId="6" borderId="0" xfId="0" applyFont="1" applyFill="1" applyAlignment="1"/>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145" fillId="0" borderId="5" xfId="0" applyFont="1" applyFill="1" applyBorder="1" applyAlignment="1">
      <alignment horizontal="center" vertical="center"/>
    </xf>
    <xf numFmtId="0" fontId="145" fillId="0" borderId="9"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9</xdr:col>
      <xdr:colOff>457200</xdr:colOff>
      <xdr:row>42</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5625"/>
          <a:ext cx="678180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18</xdr:row>
      <xdr:rowOff>0</xdr:rowOff>
    </xdr:from>
    <xdr:to>
      <xdr:col>20</xdr:col>
      <xdr:colOff>38100</xdr:colOff>
      <xdr:row>38</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0" y="3095625"/>
          <a:ext cx="689610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45</xdr:row>
      <xdr:rowOff>0</xdr:rowOff>
    </xdr:from>
    <xdr:to>
      <xdr:col>9</xdr:col>
      <xdr:colOff>457200</xdr:colOff>
      <xdr:row>71</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24775"/>
          <a:ext cx="6781800" cy="449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45</xdr:row>
      <xdr:rowOff>0</xdr:rowOff>
    </xdr:from>
    <xdr:to>
      <xdr:col>20</xdr:col>
      <xdr:colOff>381000</xdr:colOff>
      <xdr:row>65</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0400" y="7724775"/>
          <a:ext cx="723900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9</xdr:col>
      <xdr:colOff>238125</xdr:colOff>
      <xdr:row>96</xdr:row>
      <xdr:rowOff>104775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2525375"/>
          <a:ext cx="6562725"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73</xdr:row>
      <xdr:rowOff>0</xdr:rowOff>
    </xdr:from>
    <xdr:to>
      <xdr:col>19</xdr:col>
      <xdr:colOff>666750</xdr:colOff>
      <xdr:row>93</xdr:row>
      <xdr:rowOff>19050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0" y="12525375"/>
          <a:ext cx="6838950" cy="344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0</xdr:rowOff>
    </xdr:from>
    <xdr:to>
      <xdr:col>14</xdr:col>
      <xdr:colOff>428625</xdr:colOff>
      <xdr:row>137</xdr:row>
      <xdr:rowOff>152400</xdr:rowOff>
    </xdr:to>
    <xdr:pic>
      <xdr:nvPicPr>
        <xdr:cNvPr id="8"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6811625"/>
          <a:ext cx="10182225" cy="683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3</xdr:row>
      <xdr:rowOff>76201</xdr:rowOff>
    </xdr:from>
    <xdr:to>
      <xdr:col>6</xdr:col>
      <xdr:colOff>30378</xdr:colOff>
      <xdr:row>29</xdr:row>
      <xdr:rowOff>152401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590551"/>
          <a:ext cx="3878478" cy="4533900"/>
        </a:xfrm>
        <a:prstGeom prst="rect">
          <a:avLst/>
        </a:prstGeom>
      </xdr:spPr>
    </xdr:pic>
    <xdr:clientData/>
  </xdr:twoCellAnchor>
  <xdr:twoCellAnchor editAs="oneCell">
    <xdr:from>
      <xdr:col>6</xdr:col>
      <xdr:colOff>189827</xdr:colOff>
      <xdr:row>2</xdr:row>
      <xdr:rowOff>150000</xdr:rowOff>
    </xdr:from>
    <xdr:to>
      <xdr:col>14</xdr:col>
      <xdr:colOff>4898</xdr:colOff>
      <xdr:row>32</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04627" y="492900"/>
          <a:ext cx="5301471" cy="50316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9" zoomScale="80" zoomScaleNormal="80" workbookViewId="0">
      <selection activeCell="B1" sqref="B1:B10485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2648</v>
      </c>
      <c r="B1" s="2887" t="s">
        <v>2745</v>
      </c>
    </row>
    <row r="2" spans="1:55" s="2891" customFormat="1" ht="15" thickTop="1">
      <c r="A2" s="2889" t="s">
        <v>2652</v>
      </c>
      <c r="B2" s="2890" t="str">
        <f>'预评函-封皮'!B37</f>
        <v>河北省石家庄市长安区和平东路以北、东二环北路东侧商业、地下车库、地下仓储用地出让国有建设用地使用权出让国有建设用地使用权抵押价格预评估</v>
      </c>
      <c r="AX2" s="2892"/>
      <c r="AZ2" s="2892"/>
      <c r="BA2" s="2893"/>
      <c r="BC2" s="2893"/>
    </row>
    <row r="3" spans="1:55" s="2894" customFormat="1">
      <c r="A3" s="2873" t="s">
        <v>2653</v>
      </c>
      <c r="B3" s="2876" t="str">
        <f>'预评函-封皮'!B40</f>
        <v>石家庄安联房地产开发有限公司</v>
      </c>
    </row>
    <row r="4" spans="1:55" s="2875" customFormat="1">
      <c r="A4" s="2873" t="s">
        <v>2654</v>
      </c>
      <c r="B4" s="2874" t="str">
        <f>'预评函-封皮'!B46</f>
        <v>土地估价师、郑燚</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2655</v>
      </c>
      <c r="B5" s="2896" t="str">
        <f>'预评函-封皮'!B49</f>
        <v>康正预评字号</v>
      </c>
    </row>
    <row r="6" spans="1:55" s="2897" customFormat="1" ht="15" thickTop="1">
      <c r="A6" s="2889" t="s">
        <v>2697</v>
      </c>
      <c r="B6" s="2890" t="str">
        <f>'预评函-1'!A4</f>
        <v>受贵公司委托，我公司对河北省石家庄市长安区和平东路以北、东二环北路东侧商业、地下车库、地下仓储用地出让国有建设用地使用权出让国有建设用地使用权抵押价格进行了预评估。</v>
      </c>
      <c r="AM6" s="2898"/>
    </row>
    <row r="7" spans="1:55" s="2872" customFormat="1">
      <c r="A7" s="2873" t="s">
        <v>2649</v>
      </c>
      <c r="B7" s="2874" t="str">
        <f>'预评函-1'!A6</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8" spans="1:55" s="2872" customFormat="1">
      <c r="A8" s="2873" t="s">
        <v>2650</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2700</v>
      </c>
      <c r="B9" s="2874"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2651</v>
      </c>
      <c r="B10" s="2874" t="str">
        <f>'预评函-1'!A11</f>
        <v>2018年12月13日（评估专业人员勘察现场之日）</v>
      </c>
    </row>
    <row r="11" spans="1:55" s="2872" customFormat="1">
      <c r="A11" s="2873" t="s">
        <v>2657</v>
      </c>
      <c r="B11" s="2874" t="str">
        <f>'预评函-1'!A14</f>
        <v>根据《国有土地使用证》[长安国用（2014）第00003号]，本次评估估价对象证载（地类）用途为商务金融用地。</v>
      </c>
    </row>
    <row r="12" spans="1:55" s="2872" customFormat="1">
      <c r="A12" s="2873" t="s">
        <v>2658</v>
      </c>
      <c r="B12" s="2874" t="str">
        <f>'预评函-1'!A15</f>
        <v>本次评估设定用途即为证载用途商业、地下车库及地下仓储。</v>
      </c>
    </row>
    <row r="13" spans="1:55" s="2872" customFormat="1">
      <c r="A13" s="2873" t="s">
        <v>2659</v>
      </c>
      <c r="B13" s="2874" t="str">
        <f>'预评函-1'!A17</f>
        <v>根据委托估价方介绍及评估专业人员现场勘查，本次评估估价对象实际土地开发程度为红线外市政基础设施达“七通”（即通路、通电、通上水、通下水、通热、燃气、）、宗地红线内场地平整。</v>
      </c>
    </row>
    <row r="14" spans="1:55" s="2872" customFormat="1">
      <c r="A14" s="2873" t="s">
        <v>2660</v>
      </c>
      <c r="B14" s="2874" t="str">
        <f>'预评函-1'!A18</f>
        <v>本次评估设定土地开发程度为红线外市政基础设施达“七通”、宗地红线内场地平整。</v>
      </c>
    </row>
    <row r="15" spans="1:55" s="2872" customFormat="1">
      <c r="A15" s="2873" t="s">
        <v>2656</v>
      </c>
      <c r="B15" s="2874" t="str">
        <f>'预评函-1'!A20</f>
        <v>根据《国有土地使用证》[长安国用（2014）第00003号]，估价对象（分摊）出让国有建设用地使用权面积为32181.54平方米。根据《建设工程规划许可证》[建字第建管130100201800074、130100201800082号]，估价对象规划建筑面积为186890.99平方米。</v>
      </c>
    </row>
    <row r="16" spans="1:55" s="2872" customFormat="1">
      <c r="A16" s="2873" t="s">
        <v>2661</v>
      </c>
      <c r="B16" s="2874" t="str">
        <f>'预评函-1'!A22</f>
        <v>本次估价对象为出让国有建设用地使用权，《国有土地使用证》[长安国用（2014）第00003号]证载土地终止日期为商业2053年12月15日地下车库2063年12月15日、地下仓储2063年12月15日。截至估价期日，出让国有建设用地使用权剩余土地使用年限为商业35年、地下车库、地下仓储45年。</v>
      </c>
    </row>
    <row r="17" spans="1:48" s="2872" customFormat="1">
      <c r="A17" s="2873" t="s">
        <v>2662</v>
      </c>
      <c r="B17" s="2874" t="str">
        <f>'预评函-1'!A23</f>
        <v>本次评估设定估价对象剩余土地使用年限为商业35年、地下车库、地下仓储45年。</v>
      </c>
    </row>
    <row r="18" spans="1:48" s="2872" customFormat="1">
      <c r="A18" s="2873" t="s">
        <v>2663</v>
      </c>
      <c r="B18" s="2874" t="str">
        <f>'预评函-1'!A25</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19" spans="1:48" s="2872" customFormat="1">
      <c r="A19" s="2873" t="s">
        <v>2664</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2665</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2666</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2667</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2668</v>
      </c>
      <c r="B23" s="2874" t="str">
        <f>'预评函-2'!K2</f>
        <v>估价期日：2018年12月13日</v>
      </c>
    </row>
    <row r="24" spans="1:48">
      <c r="A24" s="2873" t="s">
        <v>2669</v>
      </c>
      <c r="B24" s="2874" t="str">
        <f>'预评函-2'!R2</f>
        <v>估价期日的国有建设用地使用权性质：出让</v>
      </c>
    </row>
    <row r="25" spans="1:48">
      <c r="A25" s="2873" t="s">
        <v>2725</v>
      </c>
      <c r="B25" s="2874" t="str">
        <f>'预评函-2'!A3</f>
        <v>估价期日土地使用者</v>
      </c>
    </row>
    <row r="26" spans="1:48">
      <c r="A26" s="2873" t="s">
        <v>2701</v>
      </c>
      <c r="B26" s="2874" t="str">
        <f>'预评函-2'!A5</f>
        <v>中信开发</v>
      </c>
    </row>
    <row r="27" spans="1:48">
      <c r="A27" s="2873" t="s">
        <v>2726</v>
      </c>
      <c r="B27" s="2874" t="str">
        <f>'预评函-2'!B3</f>
        <v>宗地编号/不动产单元号</v>
      </c>
    </row>
    <row r="28" spans="1:48">
      <c r="A28" s="2873" t="s">
        <v>2702</v>
      </c>
      <c r="B28" s="2874" t="str">
        <f>'预评函-2'!B5</f>
        <v>11111111111</v>
      </c>
    </row>
    <row r="29" spans="1:48">
      <c r="A29" s="2873" t="s">
        <v>2728</v>
      </c>
      <c r="B29" s="2874">
        <f>'预评函-2'!C5</f>
        <v>22</v>
      </c>
    </row>
    <row r="30" spans="1:48">
      <c r="A30" s="2873" t="s">
        <v>2729</v>
      </c>
      <c r="B30" s="2874" t="str">
        <f>'预评函-2'!D3</f>
        <v>土地使用证编号/不动产权证书编号</v>
      </c>
    </row>
    <row r="31" spans="1:48">
      <c r="A31" s="2873" t="s">
        <v>2703</v>
      </c>
      <c r="B31" s="2874" t="str">
        <f>'预评函-2'!D5</f>
        <v>京国土字第111号</v>
      </c>
    </row>
    <row r="32" spans="1:48">
      <c r="A32" s="2873" t="s">
        <v>2704</v>
      </c>
      <c r="B32" s="2874" t="str">
        <f>'预评函-2'!E5</f>
        <v>商务金融用地</v>
      </c>
      <c r="AV32" s="2878"/>
    </row>
    <row r="33" spans="1:2">
      <c r="A33" s="2873" t="s">
        <v>2705</v>
      </c>
      <c r="B33" s="2874">
        <f>'预评函-2'!F5</f>
        <v>258</v>
      </c>
    </row>
    <row r="34" spans="1:2">
      <c r="A34" s="2873" t="s">
        <v>2706</v>
      </c>
      <c r="B34" s="2874" t="str">
        <f>'预评函-2'!G5</f>
        <v>商业、地下车库及地下仓储</v>
      </c>
    </row>
    <row r="35" spans="1:2">
      <c r="A35" s="2873" t="s">
        <v>2707</v>
      </c>
      <c r="B35" s="2874">
        <f>'预评函-2'!H5</f>
        <v>1.5</v>
      </c>
    </row>
    <row r="36" spans="1:2">
      <c r="A36" s="2873" t="s">
        <v>2708</v>
      </c>
      <c r="B36" s="2874">
        <f>'预评函-2'!I5</f>
        <v>1.5</v>
      </c>
    </row>
    <row r="37" spans="1:2">
      <c r="A37" s="2873" t="s">
        <v>2709</v>
      </c>
      <c r="B37" s="2874">
        <f>'预评函-2'!J5</f>
        <v>1.5</v>
      </c>
    </row>
    <row r="38" spans="1:2">
      <c r="A38" s="2873" t="s">
        <v>2710</v>
      </c>
      <c r="B38" s="2874" t="str">
        <f>'预评函-2'!K5</f>
        <v>红线外七通、宗地红线内场地平整</v>
      </c>
    </row>
    <row r="39" spans="1:2">
      <c r="A39" s="2873" t="s">
        <v>2711</v>
      </c>
      <c r="B39" s="2874" t="str">
        <f>'预评函-2'!L5</f>
        <v>红线外七通、宗地红线内场地平整</v>
      </c>
    </row>
    <row r="40" spans="1:2">
      <c r="A40" s="2873" t="s">
        <v>2730</v>
      </c>
      <c r="B40" s="2874" t="str">
        <f>'预评函-2'!M3</f>
        <v>（剩余）土地使用年限/年</v>
      </c>
    </row>
    <row r="41" spans="1:2">
      <c r="A41" s="2873" t="s">
        <v>2712</v>
      </c>
      <c r="B41" s="2874" t="str">
        <f>'预评函-2'!M5</f>
        <v>商业35年、地下车库、地下仓储45年</v>
      </c>
    </row>
    <row r="42" spans="1:2">
      <c r="A42" s="2873" t="s">
        <v>2731</v>
      </c>
      <c r="B42" s="2874" t="str">
        <f>'预评函-2'!N3</f>
        <v>（分摊）出让国有建设用地使用权面积/㎡</v>
      </c>
    </row>
    <row r="43" spans="1:2">
      <c r="A43" s="2873" t="s">
        <v>2713</v>
      </c>
      <c r="B43" s="2874">
        <f>'预评函-2'!N5</f>
        <v>32181.54</v>
      </c>
    </row>
    <row r="44" spans="1:2">
      <c r="A44" s="2873" t="s">
        <v>2732</v>
      </c>
      <c r="B44" s="2874" t="str">
        <f>'预评函-2'!O3</f>
        <v>规划建筑面积/㎡</v>
      </c>
    </row>
    <row r="45" spans="1:2">
      <c r="A45" s="2873" t="s">
        <v>2714</v>
      </c>
      <c r="B45" s="2874">
        <f>'预评函-2'!O5</f>
        <v>186890.99</v>
      </c>
    </row>
    <row r="46" spans="1:2">
      <c r="A46" s="2873" t="s">
        <v>2715</v>
      </c>
      <c r="B46" s="2874">
        <f ca="1">'预评函-2'!P5</f>
        <v>21839</v>
      </c>
    </row>
    <row r="47" spans="1:2">
      <c r="A47" s="2873" t="s">
        <v>2716</v>
      </c>
      <c r="B47" s="2874">
        <f ca="1">'预评函-2'!Q5</f>
        <v>3760</v>
      </c>
    </row>
    <row r="48" spans="1:2">
      <c r="A48" s="2873" t="s">
        <v>2717</v>
      </c>
      <c r="B48" s="2874">
        <f ca="1">'预评函-2'!R5</f>
        <v>70280</v>
      </c>
    </row>
    <row r="49" spans="1:2">
      <c r="A49" s="2873" t="s">
        <v>2733</v>
      </c>
      <c r="B49" s="2874" t="str">
        <f>'预评函-2'!A6</f>
        <v>抵押价格</v>
      </c>
    </row>
    <row r="50" spans="1:2">
      <c r="A50" s="2873" t="s">
        <v>2718</v>
      </c>
      <c r="B50" s="2874">
        <f ca="1">'预评函-2'!R6</f>
        <v>22280</v>
      </c>
    </row>
    <row r="51" spans="1:2">
      <c r="A51" s="2873" t="s">
        <v>2734</v>
      </c>
      <c r="B51" s="2874" t="str">
        <f>'预评函-2'!A7</f>
        <v>——</v>
      </c>
    </row>
    <row r="52" spans="1:2">
      <c r="A52" s="2873" t="s">
        <v>2719</v>
      </c>
      <c r="B52" s="2874" t="str">
        <f>'预评函-2'!R7</f>
        <v>——</v>
      </c>
    </row>
    <row r="53" spans="1:2">
      <c r="A53" s="2873" t="s">
        <v>2735</v>
      </c>
      <c r="B53" s="2874">
        <f>'预评函-2'!A8</f>
        <v>0</v>
      </c>
    </row>
    <row r="54" spans="1:2" s="2888" customFormat="1" ht="15" thickBot="1">
      <c r="A54" s="2895" t="s">
        <v>2720</v>
      </c>
      <c r="B54" s="2896" t="str">
        <f>'预评函-2'!R8</f>
        <v>——</v>
      </c>
    </row>
    <row r="55" spans="1:2" ht="15" thickTop="1">
      <c r="A55" s="2884" t="s">
        <v>2670</v>
      </c>
      <c r="B55" s="2885" t="str">
        <f>'预评函-3'!A2</f>
        <v>1.权利限制：根据估价对象《国有土地使用证》原件，截至估价期日，估价对象已设定抵押。未设定租赁等其他他项权利。</v>
      </c>
    </row>
    <row r="56" spans="1:2">
      <c r="A56" s="2873" t="s">
        <v>2671</v>
      </c>
      <c r="B56" s="2874" t="str">
        <f>'预评函-3'!A3</f>
        <v>2.基础设施条件：估价对象实际开发程度为红线外七通、宗地红线内场地平整；本次评估设定开发程度为红线外七通、宗地红线内场地平整。</v>
      </c>
    </row>
    <row r="57" spans="1:2">
      <c r="A57" s="2873" t="s">
        <v>2672</v>
      </c>
      <c r="B57" s="2874" t="str">
        <f>'预评函-3'!A4</f>
        <v>3.估价规划限制条件：详见《建设工程规划许可证》[建字第建管130100201800074、130100201800082号]。</v>
      </c>
    </row>
    <row r="58" spans="1:2" s="2888" customFormat="1" ht="15" thickBot="1">
      <c r="A58" s="2895" t="s">
        <v>2721</v>
      </c>
      <c r="B58" s="2896" t="str">
        <f>'预评函-3'!A5</f>
        <v>4.影响价格的其他限定条件：无。</v>
      </c>
    </row>
    <row r="59" spans="1:2" ht="15" thickTop="1">
      <c r="A59" s="2884" t="s">
        <v>2673</v>
      </c>
      <c r="B59" s="2885" t="str">
        <f>'预评函-3'!A8</f>
        <v>2.本《评估意见函》仅供金融机构进行内部审核使用，不做其他目的之用。</v>
      </c>
    </row>
    <row r="60" spans="1:2">
      <c r="A60" s="2873" t="s">
        <v>2674</v>
      </c>
      <c r="B60" s="2874" t="str">
        <f>'预评函-3'!A9</f>
        <v>3.抵押双方在办理抵押登记手续时，应使用本公司出具的正式《土地估价报告》，特提请报告使用者注意。</v>
      </c>
    </row>
    <row r="61" spans="1:2">
      <c r="A61" s="2873" t="s">
        <v>2676</v>
      </c>
      <c r="B61" s="2874" t="str">
        <f>'预评函-3'!A10</f>
        <v>4.估价师所知悉的法定优先受偿款情况为：</v>
      </c>
    </row>
    <row r="62" spans="1:2">
      <c r="A62" s="2873" t="s">
        <v>2675</v>
      </c>
      <c r="B62" s="2874" t="str">
        <f>'预评函-3'!A11</f>
        <v>（1）根据估价对象《国有土地使用证》原件，截至估价期日，估价对象已设定抵押。上述抵押权设定日期为2017年11月22日，权利人为中信信托有限责任公司，权利范围为部分32181.54平方米，权利价值为48000万元。</v>
      </c>
    </row>
    <row r="63" spans="1:2">
      <c r="A63" s="2873" t="s">
        <v>2677</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2678</v>
      </c>
      <c r="B64" s="2879" t="str">
        <f>'预评函-3'!A13</f>
        <v>（3）。</v>
      </c>
    </row>
    <row r="65" spans="1:2">
      <c r="A65" s="2873" t="s">
        <v>2679</v>
      </c>
      <c r="B65" s="2880" t="str">
        <f>'预评函-3'!A14</f>
        <v>综上，本次评估估价师知悉的法定优先受偿款为人民币48000万元整。</v>
      </c>
    </row>
    <row r="66" spans="1:2">
      <c r="A66" s="2873" t="s">
        <v>2680</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2681</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2684</v>
      </c>
      <c r="B68" s="2899">
        <f>'预评函-3'!D30</f>
        <v>42558</v>
      </c>
    </row>
    <row r="69" spans="1:2" ht="15" thickTop="1">
      <c r="A69" s="2884" t="s">
        <v>2682</v>
      </c>
      <c r="B69" s="2885" t="str">
        <f>'预评函-3'!A20</f>
        <v>土地估价师</v>
      </c>
    </row>
    <row r="70" spans="1:2">
      <c r="A70" s="2873" t="s">
        <v>2682</v>
      </c>
      <c r="B70" s="2880">
        <f>'预评函-3'!B20</f>
        <v>0</v>
      </c>
    </row>
    <row r="71" spans="1:2">
      <c r="A71" s="2873" t="s">
        <v>2683</v>
      </c>
      <c r="B71" s="2874" t="str">
        <f>'预评函-3'!A21</f>
        <v>郑燚</v>
      </c>
    </row>
    <row r="72" spans="1:2" s="2888" customFormat="1" ht="15" thickBot="1">
      <c r="A72" s="2895" t="s">
        <v>2683</v>
      </c>
      <c r="B72" s="2901">
        <f>'预评函-3'!B21</f>
        <v>2014110011</v>
      </c>
    </row>
    <row r="73" spans="1:2" ht="15" thickTop="1">
      <c r="A73" s="2884" t="s">
        <v>2742</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2743</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5" thickBot="1">
      <c r="A75" s="2895" t="s">
        <v>2744</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2779</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3" sqref="I23"/>
    </sheetView>
  </sheetViews>
  <sheetFormatPr defaultColWidth="10" defaultRowHeight="14.25"/>
  <cols>
    <col min="1" max="1" width="15.375" style="1686" customWidth="1"/>
    <col min="2" max="2" width="11.375" style="1686" customWidth="1"/>
    <col min="3" max="3" width="14.375" style="1686" customWidth="1"/>
    <col min="4" max="4" width="13.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7"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1936</v>
      </c>
      <c r="B1" s="3264" t="str">
        <f>IF(B10="北京市","北京市",C10)&amp;F10&amp;B16&amp;"国有建设用地使用权"&amp;B9&amp;"预评估"</f>
        <v>河北省石家庄市长安区和平东路以北、东二环北路东侧商业、地下车库、地下仓储用地出让国有建设用地使用权出让国有建设用地使用权抵押价格预评估</v>
      </c>
      <c r="C1" s="3265"/>
      <c r="D1" s="3265"/>
      <c r="E1" s="3265"/>
      <c r="F1" s="3265"/>
      <c r="G1" s="3265"/>
      <c r="H1" s="3265"/>
      <c r="I1" s="3266"/>
      <c r="J1" s="1689"/>
      <c r="K1" s="2450" t="str">
        <f>IF(B10="北京市","北京市",C10)&amp;F10&amp;B16&amp;"国有建设用地使用权"&amp;B9</f>
        <v>河北省石家庄市长安区和平东路以北、东二环北路东侧商业、地下车库、地下仓储用地出让国有建设用地使用权出让国有建设用地使用权抵押价格</v>
      </c>
      <c r="L1" s="1718"/>
      <c r="M1" s="1718"/>
      <c r="N1" s="1689"/>
      <c r="O1" s="1690"/>
      <c r="P1" s="1689"/>
      <c r="Q1" s="1689"/>
      <c r="R1" s="1689"/>
      <c r="S1" s="1689"/>
      <c r="T1" s="1689"/>
      <c r="U1" s="1689"/>
    </row>
    <row r="2" spans="1:21">
      <c r="A2" s="1656" t="s">
        <v>1937</v>
      </c>
      <c r="B2" s="1836"/>
      <c r="D2" s="1689"/>
      <c r="E2" s="1689"/>
      <c r="F2" s="1689"/>
      <c r="G2" s="1689"/>
      <c r="H2" s="1656"/>
      <c r="I2" s="1690"/>
      <c r="J2" s="1689"/>
      <c r="K2" s="2450" t="str">
        <f>IF(B10="北京市","北京市",C10)&amp;F10&amp;B16&amp;"国有建设用地使用权"</f>
        <v>河北省石家庄市长安区和平东路以北、东二环北路东侧商业、地下车库、地下仓储用地出让国有建设用地使用权出让国有建设用地使用权</v>
      </c>
      <c r="L2" s="1718"/>
      <c r="M2" s="1718"/>
      <c r="N2" s="1689"/>
      <c r="O2" s="1690"/>
      <c r="P2" s="1689"/>
      <c r="Q2" s="1689"/>
      <c r="R2" s="1689"/>
      <c r="S2" s="1689"/>
      <c r="T2" s="1689"/>
      <c r="U2" s="1689"/>
    </row>
    <row r="3" spans="1:21">
      <c r="A3" s="1657" t="s">
        <v>1938</v>
      </c>
      <c r="B3" s="1658">
        <v>43447</v>
      </c>
      <c r="C3" s="1659" t="s">
        <v>1993</v>
      </c>
      <c r="D3" s="1658">
        <f>B3</f>
        <v>43447</v>
      </c>
      <c r="E3" s="1689"/>
      <c r="F3" s="1689"/>
      <c r="G3" s="1689"/>
      <c r="H3" s="1656"/>
      <c r="I3" s="1690"/>
      <c r="J3" s="1689"/>
      <c r="K3" s="1768"/>
      <c r="L3" s="1718"/>
      <c r="M3" s="1718"/>
      <c r="N3" s="1689"/>
      <c r="O3" s="1690"/>
      <c r="P3" s="1689"/>
      <c r="Q3" s="1689"/>
      <c r="R3" s="1689"/>
      <c r="S3" s="1689"/>
      <c r="T3" s="1689"/>
      <c r="U3" s="1689"/>
    </row>
    <row r="4" spans="1:21" ht="15" thickBot="1">
      <c r="A4" s="1660" t="s">
        <v>1939</v>
      </c>
      <c r="B4" s="1837" t="s">
        <v>2880</v>
      </c>
      <c r="C4" s="1840">
        <f>SUMIF(土地估价师,B4,估价师及机构信息!E3:E24)</f>
        <v>0</v>
      </c>
      <c r="D4" s="1837" t="s">
        <v>3072</v>
      </c>
      <c r="E4" s="1840">
        <f>SUMIF(土地估价师,D4,估价师及机构信息!E3:E24)</f>
        <v>2014110011</v>
      </c>
      <c r="F4" s="1837" t="s">
        <v>949</v>
      </c>
      <c r="G4" s="1840">
        <f>SUMIF(土地估价师,F4,估价师及机构信息!E3:E24)</f>
        <v>0</v>
      </c>
      <c r="H4" s="1837" t="s">
        <v>949</v>
      </c>
      <c r="I4" s="1840">
        <f>SUMIF(土地估价师,H4,估价师及机构信息!E3:E24)</f>
        <v>0</v>
      </c>
      <c r="J4" s="1689"/>
      <c r="K4" s="2450" t="str">
        <f>IF(AND(F4="——",H4="——"),B4&amp;"、"&amp;D4,IF(AND(F4&lt;&gt;"——",H4="——"),B4&amp;"、"&amp;D4&amp;"、"&amp;F4,B4&amp;"、"&amp;D4&amp;"、"&amp;F4&amp;"、"&amp;H4))</f>
        <v>土地估价师、郑燚</v>
      </c>
      <c r="L4" s="1718"/>
      <c r="M4" s="1718"/>
      <c r="N4" s="1689"/>
      <c r="O4" s="1690"/>
      <c r="P4" s="1689"/>
      <c r="Q4" s="1689"/>
      <c r="R4" s="1689"/>
      <c r="S4" s="1689"/>
      <c r="T4" s="1689"/>
      <c r="U4" s="1689"/>
    </row>
    <row r="5" spans="1:21" ht="15" thickTop="1">
      <c r="A5" s="1661" t="s">
        <v>1940</v>
      </c>
      <c r="B5" s="1783" t="s">
        <v>3075</v>
      </c>
      <c r="C5" s="1662"/>
      <c r="D5" s="1663"/>
      <c r="E5" s="1689"/>
      <c r="F5" s="1689"/>
      <c r="G5" s="1689"/>
      <c r="H5" s="1656"/>
      <c r="I5" s="1690"/>
      <c r="J5" s="1689"/>
      <c r="K5" s="1768"/>
      <c r="L5" s="1718"/>
      <c r="M5" s="1718"/>
      <c r="N5" s="1689"/>
      <c r="O5" s="1690"/>
      <c r="P5" s="1689"/>
      <c r="Q5" s="1689"/>
      <c r="R5" s="1689"/>
      <c r="S5" s="1689"/>
      <c r="T5" s="1689"/>
      <c r="U5" s="1689"/>
    </row>
    <row r="6" spans="1:21" ht="26.25">
      <c r="A6" s="1659" t="s">
        <v>2698</v>
      </c>
      <c r="B6" s="1783" t="s">
        <v>3074</v>
      </c>
      <c r="C6" s="1756"/>
      <c r="D6" s="1664"/>
      <c r="E6" s="1689"/>
      <c r="F6" s="1689"/>
      <c r="G6" s="1689"/>
      <c r="H6" s="1656"/>
      <c r="I6" s="1690"/>
      <c r="J6" s="1689"/>
      <c r="K6" s="3047" t="str">
        <f>IF(COUNTIF(B6,"*上海银行*"),"上海银行","")</f>
        <v/>
      </c>
      <c r="L6" s="1718"/>
      <c r="M6" s="1718"/>
      <c r="N6" s="1689"/>
      <c r="O6" s="1690"/>
      <c r="P6" s="1689"/>
      <c r="Q6" s="1689"/>
      <c r="R6" s="1689"/>
      <c r="S6" s="1689"/>
      <c r="T6" s="1689"/>
      <c r="U6" s="1689"/>
    </row>
    <row r="7" spans="1:21">
      <c r="A7" s="1665" t="s">
        <v>2699</v>
      </c>
      <c r="B7" s="1783" t="s">
        <v>3073</v>
      </c>
      <c r="C7" s="1756"/>
      <c r="D7" s="1664"/>
      <c r="E7" s="1689"/>
      <c r="F7" s="1689"/>
      <c r="G7" s="1689"/>
      <c r="H7" s="1656"/>
      <c r="I7" s="1690"/>
      <c r="J7" s="1689"/>
      <c r="K7" s="1768"/>
      <c r="L7" s="1718"/>
      <c r="M7" s="1718"/>
      <c r="N7" s="1689"/>
      <c r="O7" s="1690"/>
      <c r="P7" s="1689"/>
      <c r="Q7" s="1689"/>
      <c r="R7" s="1689"/>
      <c r="S7" s="1689"/>
      <c r="T7" s="1689"/>
      <c r="U7" s="1689"/>
    </row>
    <row r="8" spans="1:21">
      <c r="A8" s="1665" t="s">
        <v>1941</v>
      </c>
      <c r="B8" s="1666" t="s">
        <v>2970</v>
      </c>
      <c r="C8" s="1667"/>
      <c r="D8" s="3270" t="s">
        <v>1943</v>
      </c>
      <c r="E8" s="1838" t="s">
        <v>2971</v>
      </c>
      <c r="F8" s="1668"/>
      <c r="G8" s="1656"/>
      <c r="H8" s="1656"/>
      <c r="I8" s="1702"/>
      <c r="J8" s="1689"/>
      <c r="K8" s="1768"/>
      <c r="L8" s="1718"/>
      <c r="M8" s="1718"/>
      <c r="N8" s="1689"/>
      <c r="O8" s="1690"/>
      <c r="P8" s="1689"/>
      <c r="Q8" s="1689"/>
      <c r="R8" s="1689"/>
      <c r="S8" s="1689"/>
      <c r="T8" s="1689"/>
      <c r="U8" s="1689"/>
    </row>
    <row r="9" spans="1:21" ht="15" thickBot="1">
      <c r="A9" s="1669" t="s">
        <v>1942</v>
      </c>
      <c r="B9" s="1670" t="s">
        <v>2971</v>
      </c>
      <c r="C9" s="1671"/>
      <c r="D9" s="3271"/>
      <c r="E9" s="1670"/>
      <c r="F9" s="1742"/>
      <c r="G9" s="1737"/>
      <c r="H9" s="1737"/>
      <c r="I9" s="1738"/>
      <c r="J9" s="1689"/>
      <c r="K9" s="1768"/>
      <c r="L9" s="1718"/>
      <c r="M9" s="1718"/>
      <c r="N9" s="1689"/>
      <c r="O9" s="1690"/>
      <c r="P9" s="1689"/>
      <c r="Q9" s="1689"/>
      <c r="R9" s="1689"/>
      <c r="S9" s="1689"/>
      <c r="T9" s="1689"/>
      <c r="U9" s="1689"/>
    </row>
    <row r="10" spans="1:21" ht="19.5" customHeight="1" thickTop="1">
      <c r="A10" s="1739" t="s">
        <v>1996</v>
      </c>
      <c r="B10" s="1714" t="s">
        <v>2972</v>
      </c>
      <c r="C10" s="1672" t="s">
        <v>3076</v>
      </c>
      <c r="D10" s="1663"/>
      <c r="E10" s="1673" t="s">
        <v>1945</v>
      </c>
      <c r="F10" s="1674" t="s">
        <v>3138</v>
      </c>
      <c r="G10" s="1740"/>
      <c r="H10" s="1741"/>
      <c r="I10" s="1663"/>
      <c r="J10" s="1689"/>
      <c r="K10" s="1768"/>
      <c r="L10" s="1718"/>
      <c r="M10" s="1718"/>
      <c r="N10" s="1689"/>
      <c r="O10" s="1690"/>
      <c r="P10" s="1689"/>
      <c r="Q10" s="1689"/>
      <c r="R10" s="1689"/>
      <c r="S10" s="1689"/>
      <c r="T10" s="1689"/>
      <c r="U10" s="1689"/>
    </row>
    <row r="11" spans="1:21">
      <c r="A11" s="1692" t="s">
        <v>1997</v>
      </c>
      <c r="B11" s="1693" t="s">
        <v>2973</v>
      </c>
      <c r="C11" s="3202" t="s">
        <v>3073</v>
      </c>
      <c r="D11" s="1757"/>
      <c r="E11" s="1656"/>
      <c r="F11" s="1656"/>
      <c r="G11" s="1656"/>
      <c r="H11" s="1656"/>
      <c r="I11" s="1656"/>
      <c r="J11" s="1689"/>
      <c r="K11" s="1768"/>
      <c r="L11" s="1718"/>
      <c r="M11" s="1718"/>
      <c r="N11" s="1689"/>
      <c r="O11" s="1690"/>
      <c r="P11" s="1689"/>
      <c r="Q11" s="1689"/>
      <c r="R11" s="1689"/>
      <c r="S11" s="1689"/>
      <c r="T11" s="1689"/>
      <c r="U11" s="1689"/>
    </row>
    <row r="12" spans="1:21">
      <c r="A12" s="1779" t="s">
        <v>2055</v>
      </c>
      <c r="B12" s="3267" t="s">
        <v>3077</v>
      </c>
      <c r="C12" s="3268"/>
      <c r="D12" s="3269"/>
      <c r="E12" s="1694" t="s">
        <v>2058</v>
      </c>
      <c r="F12" s="3285" t="s">
        <v>3078</v>
      </c>
      <c r="G12" s="3286"/>
      <c r="H12" s="3286"/>
      <c r="I12" s="3287"/>
      <c r="J12" s="1689"/>
      <c r="K12" s="1768"/>
      <c r="L12" s="1718"/>
      <c r="M12" s="1718"/>
      <c r="N12" s="1689"/>
      <c r="O12" s="1690"/>
      <c r="P12" s="1689"/>
      <c r="Q12" s="1689"/>
      <c r="R12" s="1689"/>
      <c r="S12" s="1689"/>
      <c r="T12" s="1689"/>
      <c r="U12" s="1689"/>
    </row>
    <row r="13" spans="1:21">
      <c r="A13" s="1682" t="s">
        <v>2056</v>
      </c>
      <c r="B13" s="3267" t="s">
        <v>3137</v>
      </c>
      <c r="C13" s="3268"/>
      <c r="D13" s="3269"/>
      <c r="E13" s="1694" t="s">
        <v>2058</v>
      </c>
      <c r="F13" s="3285" t="s">
        <v>3079</v>
      </c>
      <c r="G13" s="3286"/>
      <c r="H13" s="3286"/>
      <c r="I13" s="3287"/>
      <c r="J13" s="1689"/>
      <c r="K13" s="1768"/>
      <c r="L13" s="1718"/>
      <c r="M13" s="1718"/>
      <c r="N13" s="1689"/>
      <c r="O13" s="1690"/>
      <c r="P13" s="1689"/>
      <c r="Q13" s="1689"/>
      <c r="R13" s="1689"/>
      <c r="S13" s="1689"/>
      <c r="T13" s="1689"/>
      <c r="U13" s="1689"/>
    </row>
    <row r="14" spans="1:21">
      <c r="A14" s="1657" t="s">
        <v>2059</v>
      </c>
      <c r="B14" s="1694"/>
      <c r="C14" s="1839" t="s">
        <v>2974</v>
      </c>
      <c r="D14" s="1728" t="str">
        <f>IF(C14="不一致","是否符合证载地类范围","")</f>
        <v/>
      </c>
      <c r="E14" s="1694"/>
      <c r="F14" s="1784" t="s">
        <v>2976</v>
      </c>
      <c r="G14" s="1723"/>
      <c r="H14" s="1723"/>
      <c r="I14" s="1831"/>
      <c r="J14" s="1689"/>
      <c r="K14" s="1768"/>
      <c r="L14" s="1718"/>
      <c r="M14" s="1718"/>
      <c r="N14" s="1689"/>
      <c r="O14" s="1690"/>
      <c r="P14" s="1689"/>
      <c r="Q14" s="1689"/>
      <c r="R14" s="1689"/>
      <c r="S14" s="1689"/>
      <c r="T14" s="1689"/>
      <c r="U14" s="1689"/>
    </row>
    <row r="15" spans="1:21" hidden="1">
      <c r="A15" s="2640"/>
      <c r="B15" s="1659"/>
      <c r="C15" s="1659"/>
      <c r="D15" s="1760" t="s">
        <v>1948</v>
      </c>
      <c r="E15" s="1760" t="s">
        <v>1949</v>
      </c>
      <c r="F15" s="1760" t="s">
        <v>1950</v>
      </c>
      <c r="G15" s="1681" t="s">
        <v>1951</v>
      </c>
      <c r="H15" s="1681" t="s">
        <v>1952</v>
      </c>
      <c r="I15" s="1681" t="s">
        <v>1953</v>
      </c>
      <c r="J15" s="1689"/>
      <c r="K15" s="1768"/>
      <c r="L15" s="1718"/>
      <c r="M15" s="1718"/>
      <c r="N15" s="1689"/>
      <c r="O15" s="1690"/>
      <c r="P15" s="1689"/>
      <c r="Q15" s="1689"/>
      <c r="R15" s="1689"/>
      <c r="S15" s="1689"/>
      <c r="T15" s="1689"/>
      <c r="U15" s="1689"/>
    </row>
    <row r="16" spans="1:21" ht="42.75">
      <c r="A16" s="1675" t="s">
        <v>1946</v>
      </c>
      <c r="B16" s="1676" t="s">
        <v>2975</v>
      </c>
      <c r="C16" s="1694" t="s">
        <v>1947</v>
      </c>
      <c r="D16" s="2641" t="s">
        <v>1948</v>
      </c>
      <c r="E16" s="1717" t="s">
        <v>2996</v>
      </c>
      <c r="F16" s="1717"/>
      <c r="G16" s="1717" t="s">
        <v>35</v>
      </c>
      <c r="H16" s="1717" t="s">
        <v>3135</v>
      </c>
      <c r="I16" s="1681" t="s">
        <v>1953</v>
      </c>
      <c r="J16" s="1689"/>
      <c r="K16" s="2451" t="str">
        <f>IF(D17="","",D16&amp;TEXT(D17,"yyyy年m月d日;;"))</f>
        <v/>
      </c>
      <c r="L16" s="1694" t="str">
        <f>IF(OR(K16="",M16=""),"","、")</f>
        <v/>
      </c>
      <c r="M16" s="2451" t="str">
        <f>IF(E17="","",E16&amp;TEXT(E17,"yyyy年m月d日;;"))</f>
        <v>商业2053年12月15日</v>
      </c>
      <c r="N16" s="1694" t="str">
        <f>IF(OR(M16="",O16=""),"","、")</f>
        <v/>
      </c>
      <c r="O16" s="2451" t="str">
        <f>IF(F17="","",F16&amp;TEXT(F17,"yyyy年m月d日;;"))</f>
        <v/>
      </c>
      <c r="P16" s="1694" t="str">
        <f>IF(OR(O16="",Q16=""),"","、")</f>
        <v/>
      </c>
      <c r="Q16" s="2451" t="str">
        <f>IF(G17="","",G16&amp;TEXT(G17,"yyyy年m月d日;;"))</f>
        <v>地下车库2063年12月15日</v>
      </c>
      <c r="R16" s="1694" t="str">
        <f>IF(OR(Q16="",S16=""),"","、")</f>
        <v>、</v>
      </c>
      <c r="S16" s="2451" t="str">
        <f>IF(H17="","",H16&amp;TEXT(H17,"yyyy年m月d日;;"))</f>
        <v>地下仓储2063年12月15日</v>
      </c>
      <c r="T16" s="1694" t="str">
        <f>IF(OR(S16="",U16=""),"","、")</f>
        <v/>
      </c>
      <c r="U16" s="2451" t="str">
        <f>IF(I17="","",I16&amp;TEXT(I17,"yyyy年m月d日;;"))</f>
        <v/>
      </c>
    </row>
    <row r="17" spans="1:21">
      <c r="A17" s="1758"/>
      <c r="B17" s="1677"/>
      <c r="C17" s="1678" t="s">
        <v>1954</v>
      </c>
      <c r="D17" s="1695"/>
      <c r="E17" s="1695">
        <v>56233</v>
      </c>
      <c r="F17" s="1695"/>
      <c r="G17" s="1695">
        <v>59885</v>
      </c>
      <c r="H17" s="1695">
        <v>59885</v>
      </c>
      <c r="I17" s="1695"/>
      <c r="J17" s="1689"/>
      <c r="K17" s="2450" t="str">
        <f>CONCATENATE(K16,L16,M16,N16,O16,P16,Q16,R16,S16,T16,,U16)</f>
        <v>商业2053年12月15日地下车库2063年12月15日、地下仓储2063年12月15日</v>
      </c>
      <c r="L17" s="1718"/>
      <c r="M17" s="1718"/>
      <c r="N17" s="1689"/>
      <c r="O17" s="1690"/>
      <c r="P17" s="1689"/>
      <c r="Q17" s="1689"/>
      <c r="R17" s="1689"/>
      <c r="S17" s="1689"/>
      <c r="T17" s="1689"/>
      <c r="U17" s="1689"/>
    </row>
    <row r="18" spans="1:21">
      <c r="A18" s="1758"/>
      <c r="B18" s="1677"/>
      <c r="C18" s="1678" t="s">
        <v>1955</v>
      </c>
      <c r="D18" s="1679"/>
      <c r="E18" s="1679">
        <v>40</v>
      </c>
      <c r="F18" s="1679"/>
      <c r="G18" s="1679">
        <v>50</v>
      </c>
      <c r="H18" s="1679">
        <v>50</v>
      </c>
      <c r="I18" s="1679"/>
      <c r="J18" s="1689"/>
      <c r="K18" s="1768"/>
      <c r="L18" s="1718"/>
      <c r="M18" s="1718"/>
      <c r="N18" s="1689"/>
      <c r="O18" s="1690"/>
      <c r="P18" s="1689"/>
      <c r="Q18" s="1689"/>
      <c r="R18" s="1689"/>
      <c r="S18" s="1689"/>
      <c r="T18" s="1689"/>
      <c r="U18" s="1689"/>
    </row>
    <row r="19" spans="1:21">
      <c r="A19" s="1758"/>
      <c r="B19" s="1677"/>
      <c r="C19" s="1656" t="s">
        <v>1956</v>
      </c>
      <c r="D19" s="1753" t="str">
        <f>IF(B16="出让",IF(D17="","",ROUNDDOWN(MIN((D17-$D$3)/365,D18),2)),D18)</f>
        <v/>
      </c>
      <c r="E19" s="1680">
        <f>IF(B16="出让",IF(E17="","",ROUNDDOWN(MIN((E17-$D$3)/365,E18),2)),E18)</f>
        <v>35.03</v>
      </c>
      <c r="F19" s="1680" t="str">
        <f>IF(B16="出让",IF(F17="","",ROUNDDOWN(MIN((F17-$D$3)/365,F18),2)),F18)</f>
        <v/>
      </c>
      <c r="G19" s="1680">
        <f>IF(B16="出让",IF(G17="","",ROUNDDOWN(MIN((G17-$D$3)/365,G18),2)),G18)</f>
        <v>45.03</v>
      </c>
      <c r="H19" s="1680">
        <f>IF(B16="出让",IF(H17="","",ROUNDDOWN(MIN((H17-$D$3)/365,H18),2)),H18)</f>
        <v>45.03</v>
      </c>
      <c r="I19" s="1680" t="str">
        <f>IF(B16="出让",IF(I17="","",ROUNDDOWN(MIN((I17-$D$3)/365,I18),2)),I18)</f>
        <v/>
      </c>
      <c r="J19" s="1689"/>
      <c r="K19" s="1768"/>
      <c r="L19" s="1718"/>
      <c r="M19" s="1718"/>
      <c r="N19" s="1689"/>
      <c r="O19" s="1690"/>
      <c r="P19" s="1689"/>
      <c r="Q19" s="1689"/>
      <c r="R19" s="1689"/>
      <c r="S19" s="1689"/>
      <c r="T19" s="1689"/>
      <c r="U19" s="1689"/>
    </row>
    <row r="20" spans="1:21">
      <c r="A20" s="1780"/>
      <c r="B20" s="1781"/>
      <c r="C20" s="1782" t="s">
        <v>2057</v>
      </c>
      <c r="D20" s="3282" t="s">
        <v>3136</v>
      </c>
      <c r="E20" s="3283"/>
      <c r="F20" s="3283"/>
      <c r="G20" s="3283"/>
      <c r="H20" s="3283"/>
      <c r="I20" s="3284"/>
      <c r="J20" s="1689"/>
      <c r="K20" s="1768"/>
      <c r="L20" s="1718"/>
      <c r="M20" s="1718"/>
      <c r="N20" s="1689"/>
      <c r="O20" s="1690"/>
      <c r="P20" s="1689"/>
      <c r="Q20" s="1689"/>
      <c r="R20" s="1689"/>
      <c r="S20" s="1689"/>
      <c r="T20" s="1689"/>
      <c r="U20" s="1689"/>
    </row>
    <row r="21" spans="1:21">
      <c r="A21" s="1758" t="s">
        <v>1957</v>
      </c>
      <c r="B21" s="1759" t="s">
        <v>1958</v>
      </c>
      <c r="C21" s="1754">
        <f>'数据-汇总表'!E3</f>
        <v>186890.99</v>
      </c>
      <c r="D21" s="1755" t="s">
        <v>1959</v>
      </c>
      <c r="E21" s="3272" t="s">
        <v>3080</v>
      </c>
      <c r="F21" s="3273"/>
      <c r="G21" s="3273"/>
      <c r="H21" s="3273"/>
      <c r="I21" s="3274"/>
      <c r="J21" s="1689"/>
      <c r="K21" s="1768"/>
      <c r="L21" s="1718"/>
      <c r="M21" s="1718"/>
      <c r="N21" s="1689"/>
      <c r="O21" s="1690"/>
      <c r="P21" s="1689"/>
      <c r="Q21" s="1689"/>
      <c r="R21" s="1689"/>
      <c r="S21" s="1689"/>
      <c r="T21" s="1689"/>
      <c r="U21" s="1689"/>
    </row>
    <row r="22" spans="1:21">
      <c r="A22" s="3137" t="s">
        <v>949</v>
      </c>
      <c r="B22" s="1657" t="s">
        <v>1960</v>
      </c>
      <c r="C22" s="1681">
        <f>'数据-汇总表'!D3</f>
        <v>32181.54</v>
      </c>
      <c r="D22" s="1682" t="s">
        <v>1959</v>
      </c>
      <c r="E22" s="3272" t="s">
        <v>3098</v>
      </c>
      <c r="F22" s="3273"/>
      <c r="G22" s="3273"/>
      <c r="H22" s="3273"/>
      <c r="I22" s="3274"/>
      <c r="J22" s="1689"/>
      <c r="K22" s="1768"/>
      <c r="L22" s="1718"/>
      <c r="M22" s="1718"/>
      <c r="N22" s="1689"/>
      <c r="O22" s="1690"/>
      <c r="P22" s="1689"/>
      <c r="Q22" s="1689"/>
      <c r="R22" s="1689"/>
      <c r="S22" s="1689"/>
      <c r="T22" s="1689"/>
      <c r="U22" s="1689"/>
    </row>
    <row r="23" spans="1:21" ht="29.25" thickBot="1">
      <c r="A23" s="3195" t="s">
        <v>1961</v>
      </c>
      <c r="B23" s="1696" t="s">
        <v>1962</v>
      </c>
      <c r="C23" s="1697" t="s">
        <v>1676</v>
      </c>
      <c r="D23" s="1698" t="s">
        <v>1963</v>
      </c>
      <c r="E23" s="1699" t="s">
        <v>1676</v>
      </c>
      <c r="F23" s="1700" t="str">
        <f>IF(AND(C23="是",E23="否"),"是否提供他项权证或相关说明","")</f>
        <v/>
      </c>
      <c r="G23" s="1701" t="s">
        <v>949</v>
      </c>
      <c r="H23" s="1689"/>
      <c r="I23" s="1702"/>
      <c r="J23" s="1689"/>
      <c r="K23" s="1768"/>
      <c r="L23" s="1718"/>
      <c r="M23" s="1718"/>
      <c r="N23" s="1689"/>
      <c r="O23" s="1690"/>
      <c r="P23" s="1689"/>
      <c r="Q23" s="1689"/>
      <c r="R23" s="1689"/>
      <c r="S23" s="1689"/>
      <c r="T23" s="1689"/>
      <c r="U23" s="1689"/>
    </row>
    <row r="24" spans="1:21">
      <c r="A24" s="1745" t="s">
        <v>1964</v>
      </c>
      <c r="B24" s="3275" t="s">
        <v>1965</v>
      </c>
      <c r="C24" s="3276"/>
      <c r="D24" s="3277" t="s">
        <v>1966</v>
      </c>
      <c r="E24" s="3278"/>
      <c r="F24" s="1703" t="s">
        <v>1967</v>
      </c>
      <c r="G24" s="1689"/>
      <c r="H24" s="1689"/>
      <c r="I24" s="1702"/>
      <c r="J24" s="1689"/>
      <c r="K24" s="3263" t="s">
        <v>1968</v>
      </c>
      <c r="L24" s="2452"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8"/>
      <c r="N24" s="1689"/>
      <c r="O24" s="1690"/>
      <c r="P24" s="1689"/>
      <c r="Q24" s="1689"/>
      <c r="R24" s="1689"/>
      <c r="S24" s="1689"/>
      <c r="T24" s="1689"/>
      <c r="U24" s="1689"/>
    </row>
    <row r="25" spans="1:21" ht="28.5">
      <c r="A25" s="1746"/>
      <c r="B25" s="1743" t="s">
        <v>3081</v>
      </c>
      <c r="C25" s="1704" t="s">
        <v>1969</v>
      </c>
      <c r="D25" s="1705"/>
      <c r="E25" s="1706" t="s">
        <v>949</v>
      </c>
      <c r="F25" s="1707"/>
      <c r="G25" s="1689"/>
      <c r="H25" s="1689"/>
      <c r="I25" s="1702"/>
      <c r="J25" s="1689"/>
      <c r="K25" s="3263"/>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上述抵押权设定日期为2017年11月22日，权利人为中信信托有限责任公司，权利范围为部分32181.54平方米，权利价值为48000万元。</v>
      </c>
      <c r="M25" s="1718"/>
      <c r="N25" s="1689"/>
      <c r="O25" s="1690"/>
      <c r="P25" s="1689"/>
      <c r="Q25" s="1689"/>
      <c r="R25" s="1689"/>
      <c r="S25" s="1689"/>
      <c r="T25" s="1689"/>
      <c r="U25" s="1689"/>
    </row>
    <row r="26" spans="1:21" ht="15" thickBot="1">
      <c r="A26" s="1747"/>
      <c r="B26" s="1744" t="s">
        <v>949</v>
      </c>
      <c r="C26" s="1704"/>
      <c r="D26" s="1656"/>
      <c r="E26" s="1656"/>
      <c r="F26" s="1683"/>
      <c r="G26" s="1689"/>
      <c r="H26" s="1689"/>
      <c r="I26" s="1702"/>
      <c r="J26" s="1689"/>
      <c r="K26" s="3263"/>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1970</v>
      </c>
      <c r="B27" s="1748" t="s">
        <v>1971</v>
      </c>
      <c r="C27" s="1708">
        <v>43061</v>
      </c>
      <c r="D27" s="2646" t="s">
        <v>1971</v>
      </c>
      <c r="E27" s="1709"/>
      <c r="F27" s="1683"/>
      <c r="G27" s="1689"/>
      <c r="H27" s="1689"/>
      <c r="I27" s="1702"/>
      <c r="J27" s="1689"/>
      <c r="K27" s="1768"/>
      <c r="L27" s="1718"/>
      <c r="M27" s="1718"/>
      <c r="N27" s="1689"/>
      <c r="O27" s="1690"/>
      <c r="P27" s="1689"/>
      <c r="Q27" s="1689"/>
      <c r="R27" s="1689"/>
      <c r="S27" s="1689"/>
      <c r="T27" s="1689"/>
      <c r="U27" s="1689"/>
    </row>
    <row r="28" spans="1:21" ht="28.5">
      <c r="A28" s="1751"/>
      <c r="B28" s="1748" t="s">
        <v>1972</v>
      </c>
      <c r="C28" s="1710" t="s">
        <v>3082</v>
      </c>
      <c r="D28" s="2647" t="s">
        <v>1972</v>
      </c>
      <c r="E28" s="1711"/>
      <c r="F28" s="1683"/>
      <c r="G28" s="1689"/>
      <c r="H28" s="1689"/>
      <c r="I28" s="1702"/>
      <c r="J28" s="1689"/>
      <c r="K28" s="1768"/>
      <c r="L28" s="1718"/>
      <c r="M28" s="1718"/>
      <c r="N28" s="1689"/>
      <c r="O28" s="1690"/>
      <c r="P28" s="1689"/>
      <c r="Q28" s="1689"/>
      <c r="R28" s="1689"/>
      <c r="S28" s="1689"/>
      <c r="T28" s="1689"/>
      <c r="U28" s="1689"/>
    </row>
    <row r="29" spans="1:21" ht="28.5">
      <c r="A29" s="1751"/>
      <c r="B29" s="1748" t="s">
        <v>1973</v>
      </c>
      <c r="C29" s="1710" t="s">
        <v>3083</v>
      </c>
      <c r="D29" s="2647" t="s">
        <v>1973</v>
      </c>
      <c r="E29" s="1711"/>
      <c r="F29" s="1683"/>
      <c r="G29" s="1689"/>
      <c r="H29" s="1689"/>
      <c r="I29" s="1702"/>
      <c r="J29" s="1689"/>
      <c r="K29" s="1768"/>
      <c r="L29" s="1718"/>
      <c r="M29" s="1718"/>
      <c r="N29" s="1689"/>
      <c r="O29" s="1690"/>
      <c r="P29" s="1689"/>
      <c r="Q29" s="1689"/>
      <c r="R29" s="1689"/>
      <c r="S29" s="1689"/>
      <c r="T29" s="1689"/>
      <c r="U29" s="1689"/>
    </row>
    <row r="30" spans="1:21" ht="15" thickBot="1">
      <c r="A30" s="1752"/>
      <c r="B30" s="1749" t="s">
        <v>1974</v>
      </c>
      <c r="C30" s="1712" t="s">
        <v>3084</v>
      </c>
      <c r="D30" s="2648" t="s">
        <v>1974</v>
      </c>
      <c r="E30" s="1713"/>
      <c r="F30" s="1684"/>
      <c r="G30" s="1737"/>
      <c r="H30" s="1737"/>
      <c r="I30" s="1738"/>
      <c r="J30" s="1689"/>
      <c r="K30" s="1768"/>
      <c r="L30" s="1718"/>
      <c r="M30" s="1718"/>
      <c r="N30" s="1689"/>
      <c r="O30" s="1690"/>
      <c r="P30" s="1689"/>
      <c r="Q30" s="1689"/>
      <c r="R30" s="1689"/>
      <c r="S30" s="1689"/>
      <c r="T30" s="1689"/>
      <c r="U30" s="1689"/>
    </row>
    <row r="31" spans="1:21" ht="15" thickTop="1">
      <c r="A31" s="3249" t="s">
        <v>1998</v>
      </c>
      <c r="B31" s="1759" t="s">
        <v>1999</v>
      </c>
      <c r="C31" s="3288" t="s">
        <v>3085</v>
      </c>
      <c r="D31" s="3289"/>
      <c r="E31" s="1689"/>
      <c r="F31" s="1689"/>
      <c r="G31" s="1689"/>
      <c r="H31" s="1689"/>
      <c r="I31" s="1702"/>
      <c r="J31" s="1689"/>
      <c r="K31" s="2453"/>
      <c r="L31" s="1689"/>
      <c r="M31" s="1689"/>
      <c r="N31" s="1689"/>
      <c r="O31" s="1689"/>
      <c r="P31" s="1689"/>
      <c r="Q31" s="1689"/>
      <c r="R31" s="1689"/>
      <c r="S31" s="1689"/>
      <c r="T31" s="1689"/>
      <c r="U31" s="1689"/>
    </row>
    <row r="32" spans="1:21">
      <c r="A32" s="3249"/>
      <c r="B32" s="1657" t="s">
        <v>2000</v>
      </c>
      <c r="C32" s="1714" t="s">
        <v>2977</v>
      </c>
      <c r="D32" s="1715"/>
      <c r="E32" s="1689"/>
      <c r="F32" s="1689"/>
      <c r="G32" s="1689"/>
      <c r="H32" s="1689"/>
      <c r="I32" s="1702"/>
      <c r="J32" s="1689"/>
      <c r="K32" s="2453"/>
      <c r="L32" s="1689"/>
      <c r="M32" s="1689"/>
      <c r="N32" s="1689"/>
      <c r="O32" s="1689"/>
      <c r="P32" s="1689"/>
      <c r="Q32" s="1689"/>
      <c r="R32" s="1689"/>
      <c r="S32" s="1689"/>
      <c r="T32" s="1689"/>
      <c r="U32" s="1689"/>
    </row>
    <row r="33" spans="1:21">
      <c r="A33" s="3249"/>
      <c r="B33" s="1657" t="s">
        <v>2001</v>
      </c>
      <c r="C33" s="1716" t="s">
        <v>2978</v>
      </c>
      <c r="D33" s="1832"/>
      <c r="E33" s="1689"/>
      <c r="F33" s="1689"/>
      <c r="G33" s="1689"/>
      <c r="H33" s="1689"/>
      <c r="I33" s="1702"/>
      <c r="J33" s="1689"/>
      <c r="K33" s="2453"/>
      <c r="L33" s="1689"/>
      <c r="M33" s="1689"/>
      <c r="N33" s="1689"/>
      <c r="O33" s="1689"/>
      <c r="P33" s="1689"/>
      <c r="Q33" s="1689"/>
      <c r="R33" s="1689"/>
      <c r="S33" s="1689"/>
      <c r="T33" s="1689"/>
      <c r="U33" s="1689"/>
    </row>
    <row r="34" spans="1:21">
      <c r="A34" s="3250"/>
      <c r="B34" s="1657" t="s">
        <v>2002</v>
      </c>
      <c r="C34" s="3251"/>
      <c r="D34" s="3252"/>
      <c r="E34" s="1689"/>
      <c r="F34" s="1689"/>
      <c r="G34" s="1689"/>
      <c r="H34" s="1689"/>
      <c r="I34" s="1702"/>
      <c r="J34" s="1689"/>
      <c r="K34" s="2453"/>
      <c r="L34" s="1689"/>
      <c r="M34" s="1689"/>
      <c r="N34" s="1689"/>
      <c r="O34" s="1689"/>
      <c r="P34" s="1689"/>
      <c r="Q34" s="1689"/>
      <c r="R34" s="1689"/>
      <c r="S34" s="1689"/>
      <c r="T34" s="1689"/>
      <c r="U34" s="1689"/>
    </row>
    <row r="35" spans="1:21">
      <c r="A35" s="3253" t="s">
        <v>844</v>
      </c>
      <c r="B35" s="1717" t="s">
        <v>2979</v>
      </c>
      <c r="C35" s="1770" t="str">
        <f>IF(B35="场地平整","——","具体情况：")</f>
        <v>——</v>
      </c>
      <c r="D35" s="3255"/>
      <c r="E35" s="3256"/>
      <c r="F35" s="3256"/>
      <c r="G35" s="3256"/>
      <c r="H35" s="3256"/>
      <c r="I35" s="3257"/>
      <c r="J35" s="1689"/>
      <c r="K35" s="1769"/>
      <c r="L35" s="1718"/>
      <c r="M35" s="1718"/>
      <c r="N35" s="1689"/>
      <c r="O35" s="1690"/>
      <c r="P35" s="1689"/>
      <c r="Q35" s="1689"/>
      <c r="R35" s="1689"/>
      <c r="S35" s="1689"/>
      <c r="T35" s="1689"/>
      <c r="U35" s="1689"/>
    </row>
    <row r="36" spans="1:21">
      <c r="A36" s="3249"/>
      <c r="B36" s="3258" t="s">
        <v>2051</v>
      </c>
      <c r="C36" s="3259"/>
      <c r="D36" s="1786" t="s">
        <v>2980</v>
      </c>
      <c r="E36" s="3260"/>
      <c r="F36" s="3260"/>
      <c r="G36" s="1682" t="str">
        <f>IF(B35="场地未平整","估价结果处理","")</f>
        <v/>
      </c>
      <c r="H36" s="3261"/>
      <c r="I36" s="3261"/>
      <c r="J36" s="1689"/>
      <c r="K36" s="1769"/>
      <c r="L36" s="1718"/>
      <c r="M36" s="1718"/>
      <c r="N36" s="1689"/>
      <c r="O36" s="1690"/>
      <c r="P36" s="1689"/>
      <c r="Q36" s="1689"/>
      <c r="R36" s="1689"/>
      <c r="S36" s="1689"/>
      <c r="T36" s="1689"/>
      <c r="U36" s="1689"/>
    </row>
    <row r="37" spans="1:21" ht="28.5">
      <c r="A37" s="3249"/>
      <c r="B37" s="3279" t="s">
        <v>845</v>
      </c>
      <c r="C37" s="1719" t="s">
        <v>846</v>
      </c>
      <c r="D37" s="1720"/>
      <c r="E37" s="1721"/>
      <c r="F37" s="1689"/>
      <c r="G37" s="1689"/>
      <c r="H37" s="1689"/>
      <c r="I37" s="1702"/>
      <c r="J37" s="1689"/>
      <c r="K37" s="1769"/>
      <c r="L37" s="1689"/>
      <c r="M37" s="1689"/>
      <c r="N37" s="1689"/>
      <c r="O37" s="1689"/>
      <c r="P37" s="1689"/>
      <c r="Q37" s="1689"/>
      <c r="R37" s="1689"/>
      <c r="S37" s="1689"/>
      <c r="T37" s="1689"/>
      <c r="U37" s="1689"/>
    </row>
    <row r="38" spans="1:21">
      <c r="A38" s="3249"/>
      <c r="B38" s="3280"/>
      <c r="C38" s="1665" t="s">
        <v>847</v>
      </c>
      <c r="D38" s="1785">
        <f>ROUNDDOWN(MIN(('数据-取费表'!$B$2-D37)/365,D34),1)</f>
        <v>119</v>
      </c>
      <c r="E38" s="1722" t="s">
        <v>848</v>
      </c>
      <c r="F38" s="1689"/>
      <c r="G38" s="1689"/>
      <c r="H38" s="1689"/>
      <c r="I38" s="1702"/>
      <c r="J38" s="1689"/>
      <c r="K38" s="1769"/>
      <c r="L38" s="1689"/>
      <c r="M38" s="1689"/>
      <c r="N38" s="1689"/>
      <c r="O38" s="1689"/>
      <c r="P38" s="1689"/>
      <c r="Q38" s="1689"/>
      <c r="R38" s="1689"/>
      <c r="S38" s="1689"/>
      <c r="T38" s="1689"/>
      <c r="U38" s="1689"/>
    </row>
    <row r="39" spans="1:21">
      <c r="A39" s="3250"/>
      <c r="B39" s="3281"/>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8"/>
      <c r="L39" s="1718"/>
      <c r="M39" s="1718"/>
      <c r="N39" s="1689"/>
      <c r="O39" s="1690"/>
      <c r="P39" s="1689"/>
      <c r="Q39" s="1689"/>
      <c r="R39" s="1689"/>
      <c r="S39" s="1689"/>
      <c r="T39" s="1689"/>
      <c r="U39" s="1689"/>
    </row>
    <row r="40" spans="1:21">
      <c r="A40" s="1682" t="s">
        <v>1975</v>
      </c>
      <c r="B40" s="1685" t="s">
        <v>2981</v>
      </c>
      <c r="C40" s="1685" t="s">
        <v>2982</v>
      </c>
      <c r="D40" s="1685" t="s">
        <v>2983</v>
      </c>
      <c r="E40" s="1685" t="s">
        <v>3086</v>
      </c>
      <c r="F40" s="1685" t="s">
        <v>3087</v>
      </c>
      <c r="G40" s="1685" t="s">
        <v>3088</v>
      </c>
      <c r="H40" s="1685"/>
      <c r="I40" s="1702"/>
      <c r="J40" s="1689"/>
      <c r="K40" s="1725">
        <f>COUNTIF(B40:H40,"——")</f>
        <v>0</v>
      </c>
      <c r="L40" s="1694" t="s">
        <v>1976</v>
      </c>
      <c r="M40" s="1691" t="s">
        <v>1977</v>
      </c>
      <c r="N40" s="1691" t="s">
        <v>1978</v>
      </c>
      <c r="O40" s="1691" t="s">
        <v>1979</v>
      </c>
      <c r="P40" s="1691" t="s">
        <v>1980</v>
      </c>
      <c r="Q40" s="1691" t="s">
        <v>1981</v>
      </c>
      <c r="R40" s="1691" t="s">
        <v>1982</v>
      </c>
      <c r="S40" s="3262" t="s">
        <v>1983</v>
      </c>
      <c r="T40" s="1726" t="str">
        <f>NUMBERSTRING(7-K40,1)&amp;"通"</f>
        <v>七通</v>
      </c>
      <c r="U40" s="1689"/>
    </row>
    <row r="41" spans="1:21" ht="28.5">
      <c r="A41" s="1659"/>
      <c r="B41" s="3254" t="s">
        <v>1718</v>
      </c>
      <c r="C41" s="3254"/>
      <c r="D41" s="3254"/>
      <c r="E41" s="3254"/>
      <c r="F41" s="1727" t="str">
        <f>C10</f>
        <v>河北省石家庄市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通路、通电、通上水、通下水</v>
      </c>
      <c r="P41" s="1729" t="str">
        <f>B40&amp;"、"&amp;C40&amp;"、"&amp;D40&amp;"、"&amp;E40&amp;"、"&amp;F40</f>
        <v>通路、通电、通上水、通下水、通热</v>
      </c>
      <c r="Q41" s="1729" t="str">
        <f>B40&amp;"、"&amp;C40&amp;"、"&amp;D40&amp;"、"&amp;E40&amp;"、"&amp;F40&amp;"、"&amp;G40</f>
        <v>通路、通电、通上水、通下水、通热、燃气</v>
      </c>
      <c r="R41" s="1729" t="str">
        <f>B40&amp;"、"&amp;C40&amp;"、"&amp;D40&amp;"、"&amp;E40&amp;"、"&amp;F40&amp;"、"&amp;G40&amp;"、"&amp;H40</f>
        <v>通路、通电、通上水、通下水、通热、燃气、</v>
      </c>
      <c r="S41" s="3262"/>
      <c r="T41" s="1728" t="str">
        <f>IF(T40="一通",L41,IF(T40="二通",M41,IF(T40="三通",N41,IF(T40="四通",O41,IF(T40="五通",P41,IF(T40="六通",Q41,R41))))))</f>
        <v>通路、通电、通上水、通下水、通热、燃气、</v>
      </c>
      <c r="U41" s="1689"/>
    </row>
    <row r="42" spans="1:21">
      <c r="A42" s="1730"/>
      <c r="B42" s="1760" t="s">
        <v>1894</v>
      </c>
      <c r="C42" s="1760" t="s">
        <v>1895</v>
      </c>
      <c r="D42" s="1760" t="s">
        <v>1896</v>
      </c>
      <c r="E42" s="1694" t="s">
        <v>1897</v>
      </c>
      <c r="F42" s="1731"/>
      <c r="G42" s="1689"/>
      <c r="H42" s="1689"/>
      <c r="I42" s="1702"/>
      <c r="J42" s="1689"/>
      <c r="K42" s="1768"/>
      <c r="L42" s="1718"/>
      <c r="M42" s="1718"/>
      <c r="N42" s="1689"/>
      <c r="O42" s="1690"/>
      <c r="P42" s="1689"/>
      <c r="Q42" s="1689"/>
      <c r="R42" s="1689"/>
      <c r="S42" s="1689"/>
      <c r="T42" s="1689"/>
      <c r="U42" s="1689"/>
    </row>
    <row r="43" spans="1:21">
      <c r="A43" s="1732" t="s">
        <v>1703</v>
      </c>
      <c r="B43" s="1733"/>
      <c r="C43" s="1733"/>
      <c r="D43" s="1733"/>
      <c r="E43" s="1733"/>
      <c r="F43" s="1734"/>
      <c r="G43" s="1689"/>
      <c r="H43" s="1689"/>
      <c r="I43" s="1702"/>
      <c r="J43" s="1689"/>
      <c r="K43" s="1768"/>
      <c r="L43" s="1718"/>
      <c r="M43" s="1718"/>
      <c r="N43" s="1689"/>
      <c r="O43" s="1690"/>
      <c r="P43" s="1689"/>
      <c r="Q43" s="1689"/>
      <c r="R43" s="1689"/>
      <c r="S43" s="1689"/>
      <c r="T43" s="1689"/>
      <c r="U43" s="1689"/>
    </row>
    <row r="44" spans="1:21">
      <c r="A44" s="1732" t="s">
        <v>1704</v>
      </c>
      <c r="B44" s="1733"/>
      <c r="C44" s="1733"/>
      <c r="D44" s="1733"/>
      <c r="E44" s="1786"/>
      <c r="F44" s="1734"/>
      <c r="G44" s="1689"/>
      <c r="H44" s="1689"/>
      <c r="I44" s="1702"/>
      <c r="J44" s="1689"/>
      <c r="K44" s="1768"/>
      <c r="L44" s="1718"/>
      <c r="M44" s="1718"/>
      <c r="N44" s="1689"/>
      <c r="O44" s="1690"/>
      <c r="P44" s="1689"/>
      <c r="Q44" s="1689"/>
      <c r="R44" s="1689"/>
      <c r="S44" s="1689"/>
      <c r="T44" s="1689"/>
      <c r="U44" s="1689"/>
    </row>
    <row r="45" spans="1:21" s="3064" customFormat="1" ht="21" thickBot="1">
      <c r="A45" s="3065" t="s">
        <v>2881</v>
      </c>
      <c r="B45" s="3060"/>
      <c r="C45" s="3060"/>
      <c r="D45" s="3060"/>
      <c r="E45" s="3060"/>
      <c r="F45" s="3060"/>
      <c r="G45" s="3060"/>
      <c r="H45" s="3060"/>
      <c r="I45" s="3061"/>
      <c r="J45" s="3060"/>
      <c r="K45" s="3062"/>
      <c r="L45" s="3063"/>
      <c r="M45" s="3063"/>
      <c r="N45" s="3060"/>
      <c r="O45" s="3061"/>
      <c r="P45" s="3060"/>
      <c r="Q45" s="3060"/>
      <c r="R45" s="3060"/>
      <c r="S45" s="3060"/>
      <c r="T45" s="3060"/>
      <c r="U45" s="3060"/>
    </row>
    <row r="46" spans="1:21">
      <c r="A46" s="1689"/>
      <c r="B46" s="1689"/>
      <c r="C46" s="1689"/>
      <c r="D46" s="1689"/>
      <c r="E46" s="1689"/>
      <c r="F46" s="1689"/>
      <c r="G46" s="1689"/>
      <c r="H46" s="1689"/>
      <c r="I46" s="1702"/>
      <c r="J46" s="1689"/>
      <c r="K46" s="1768"/>
      <c r="L46" s="1718"/>
      <c r="M46" s="1718"/>
      <c r="N46" s="1689"/>
      <c r="O46" s="1690"/>
      <c r="P46" s="1689"/>
      <c r="Q46" s="1689"/>
      <c r="R46" s="1689"/>
      <c r="S46" s="1689"/>
      <c r="T46" s="1689"/>
      <c r="U46" s="1689"/>
    </row>
    <row r="47" spans="1:21">
      <c r="A47" s="1735" t="s">
        <v>2003</v>
      </c>
      <c r="B47" s="1736"/>
      <c r="C47" s="1724"/>
      <c r="D47" s="1689"/>
      <c r="E47" s="1689"/>
      <c r="F47" s="1689"/>
      <c r="G47" s="1689"/>
      <c r="H47" s="1689"/>
      <c r="I47" s="1690"/>
      <c r="J47" s="1689"/>
      <c r="K47" s="1768"/>
      <c r="L47" s="1718"/>
      <c r="M47" s="1718"/>
      <c r="N47" s="1689"/>
      <c r="O47" s="1690"/>
      <c r="P47" s="1689"/>
      <c r="Q47" s="1689"/>
      <c r="R47" s="1689"/>
      <c r="S47" s="1689"/>
      <c r="T47" s="1689"/>
      <c r="U47" s="1689"/>
    </row>
    <row r="48" spans="1:21" ht="28.5">
      <c r="A48" s="1694" t="s">
        <v>2004</v>
      </c>
      <c r="B48" s="1681" t="s">
        <v>2005</v>
      </c>
      <c r="C48" s="1681" t="s">
        <v>2006</v>
      </c>
      <c r="D48" s="1681" t="s">
        <v>2007</v>
      </c>
      <c r="E48" s="1681" t="s">
        <v>2008</v>
      </c>
      <c r="F48" s="1681" t="s">
        <v>2009</v>
      </c>
      <c r="G48" s="1681" t="s">
        <v>2010</v>
      </c>
      <c r="H48" s="1681" t="s">
        <v>2011</v>
      </c>
      <c r="I48" s="1681" t="s">
        <v>2012</v>
      </c>
      <c r="J48" s="1766" t="s">
        <v>2013</v>
      </c>
      <c r="K48" s="1760" t="s">
        <v>2014</v>
      </c>
      <c r="L48" s="1760" t="s">
        <v>2015</v>
      </c>
      <c r="M48" s="1760" t="s">
        <v>2016</v>
      </c>
      <c r="N48" s="1681" t="s">
        <v>2017</v>
      </c>
      <c r="O48" s="1681" t="s">
        <v>2018</v>
      </c>
      <c r="P48" s="1681" t="s">
        <v>2019</v>
      </c>
      <c r="Q48" s="1694" t="s">
        <v>2020</v>
      </c>
      <c r="R48" s="1694" t="s">
        <v>2021</v>
      </c>
      <c r="S48" s="1689"/>
      <c r="T48" s="1689"/>
      <c r="U48" s="1689"/>
    </row>
    <row r="49" spans="1:21">
      <c r="A49" s="1691"/>
      <c r="B49" s="1725"/>
      <c r="C49" s="1725"/>
      <c r="D49" s="1725"/>
      <c r="E49" s="1725"/>
      <c r="F49" s="1725"/>
      <c r="G49" s="1725"/>
      <c r="H49" s="1725"/>
      <c r="I49" s="1725"/>
      <c r="J49" s="1833"/>
      <c r="K49" s="1834"/>
      <c r="L49" s="1834"/>
      <c r="M49" s="1725"/>
      <c r="N49" s="1725"/>
      <c r="O49" s="1725"/>
      <c r="P49" s="1725"/>
      <c r="Q49" s="1725"/>
      <c r="R49" s="1725"/>
      <c r="S49" s="1689"/>
      <c r="T49" s="1689"/>
      <c r="U49" s="1689"/>
    </row>
    <row r="50" spans="1:21">
      <c r="A50" s="1691"/>
      <c r="B50" s="1691"/>
      <c r="C50" s="1725"/>
      <c r="D50" s="1725"/>
      <c r="E50" s="1725"/>
      <c r="F50" s="1725"/>
      <c r="G50" s="1725"/>
      <c r="H50" s="1725"/>
      <c r="I50" s="1725"/>
      <c r="J50" s="1833"/>
      <c r="K50" s="1834"/>
      <c r="L50" s="1834"/>
      <c r="M50" s="1725"/>
      <c r="N50" s="1725"/>
      <c r="O50" s="1725"/>
      <c r="P50" s="1725"/>
      <c r="Q50" s="1725"/>
      <c r="R50" s="1725"/>
      <c r="S50" s="1689"/>
      <c r="T50" s="1689"/>
      <c r="U50" s="1689"/>
    </row>
    <row r="51" spans="1:21">
      <c r="A51" s="1691"/>
      <c r="B51" s="1691"/>
      <c r="C51" s="1725"/>
      <c r="D51" s="1725"/>
      <c r="E51" s="1725"/>
      <c r="F51" s="1725"/>
      <c r="G51" s="1725"/>
      <c r="H51" s="1725"/>
      <c r="I51" s="1725"/>
      <c r="J51" s="1833"/>
      <c r="K51" s="1834"/>
      <c r="L51" s="1834"/>
      <c r="M51" s="1725"/>
      <c r="N51" s="1725"/>
      <c r="O51" s="1725"/>
      <c r="P51" s="1725"/>
      <c r="Q51" s="1725"/>
      <c r="R51" s="1725"/>
      <c r="S51" s="1689"/>
      <c r="T51" s="1689"/>
      <c r="U51" s="1689"/>
    </row>
    <row r="52" spans="1:21">
      <c r="A52" s="1691"/>
      <c r="B52" s="1691"/>
      <c r="C52" s="1725"/>
      <c r="D52" s="1725"/>
      <c r="E52" s="1725"/>
      <c r="F52" s="1725"/>
      <c r="G52" s="1725"/>
      <c r="H52" s="1725"/>
      <c r="I52" s="1725"/>
      <c r="J52" s="1833"/>
      <c r="K52" s="1834"/>
      <c r="L52" s="1834"/>
      <c r="M52" s="1725"/>
      <c r="N52" s="1725"/>
      <c r="O52" s="1725"/>
      <c r="P52" s="1725"/>
      <c r="Q52" s="1725"/>
      <c r="R52" s="1725"/>
      <c r="S52" s="1689"/>
      <c r="T52" s="1689"/>
      <c r="U52" s="1689"/>
    </row>
    <row r="53" spans="1:21">
      <c r="A53" s="1691"/>
      <c r="B53" s="1691"/>
      <c r="C53" s="1725"/>
      <c r="D53" s="1725"/>
      <c r="E53" s="1725"/>
      <c r="F53" s="1725"/>
      <c r="G53" s="1725"/>
      <c r="H53" s="1725"/>
      <c r="I53" s="1725"/>
      <c r="J53" s="1833"/>
      <c r="K53" s="1834"/>
      <c r="L53" s="1834"/>
      <c r="M53" s="1725"/>
      <c r="N53" s="1725"/>
      <c r="O53" s="1725"/>
      <c r="P53" s="1725"/>
      <c r="Q53" s="1725"/>
      <c r="R53" s="1725"/>
      <c r="S53" s="1689"/>
      <c r="T53" s="1689"/>
      <c r="U53" s="1689"/>
    </row>
    <row r="54" spans="1:21">
      <c r="A54" s="1691"/>
      <c r="B54" s="1691"/>
      <c r="C54" s="1691"/>
      <c r="D54" s="1691"/>
      <c r="E54" s="1691"/>
      <c r="F54" s="1725"/>
      <c r="G54" s="1691"/>
      <c r="H54" s="1691"/>
      <c r="I54" s="1691"/>
      <c r="J54" s="1835"/>
      <c r="K54" s="1834"/>
      <c r="L54" s="1834"/>
      <c r="M54" s="1834"/>
      <c r="N54" s="1691"/>
      <c r="O54" s="1691"/>
      <c r="P54" s="1691"/>
      <c r="Q54" s="1691"/>
      <c r="R54" s="1691"/>
      <c r="S54" s="1689"/>
      <c r="T54" s="1689"/>
      <c r="U54" s="1689"/>
    </row>
    <row r="55" spans="1:21">
      <c r="A55" s="1691"/>
      <c r="B55" s="1691"/>
      <c r="C55" s="1691"/>
      <c r="D55" s="1691"/>
      <c r="E55" s="1691"/>
      <c r="F55" s="1725"/>
      <c r="G55" s="1691"/>
      <c r="H55" s="1691"/>
      <c r="I55" s="1691"/>
      <c r="J55" s="1835"/>
      <c r="K55" s="1834"/>
      <c r="L55" s="1834"/>
      <c r="M55" s="1834"/>
      <c r="N55" s="1691"/>
      <c r="O55" s="1691"/>
      <c r="P55" s="1691"/>
      <c r="Q55" s="1691"/>
      <c r="R55" s="1691"/>
      <c r="S55" s="1689"/>
      <c r="T55" s="1689"/>
      <c r="U55" s="1689"/>
    </row>
    <row r="56" spans="1:21">
      <c r="A56" s="1691"/>
      <c r="B56" s="1691"/>
      <c r="C56" s="1691"/>
      <c r="D56" s="1691"/>
      <c r="E56" s="1691"/>
      <c r="F56" s="1725"/>
      <c r="G56" s="1691"/>
      <c r="H56" s="1691"/>
      <c r="I56" s="1691"/>
      <c r="J56" s="1835"/>
      <c r="K56" s="1834"/>
      <c r="L56" s="1834"/>
      <c r="M56" s="1834"/>
      <c r="N56" s="1691"/>
      <c r="O56" s="1691"/>
      <c r="P56" s="1691"/>
      <c r="Q56" s="1691"/>
      <c r="R56" s="1691"/>
      <c r="S56" s="1689"/>
      <c r="T56" s="1689"/>
      <c r="U56" s="1689"/>
    </row>
    <row r="57" spans="1:21">
      <c r="A57" s="1691"/>
      <c r="B57" s="1691"/>
      <c r="C57" s="1691"/>
      <c r="D57" s="1691"/>
      <c r="E57" s="1691"/>
      <c r="F57" s="1725"/>
      <c r="G57" s="1691"/>
      <c r="H57" s="1691"/>
      <c r="I57" s="1691"/>
      <c r="J57" s="1835"/>
      <c r="K57" s="1834"/>
      <c r="L57" s="1834"/>
      <c r="M57" s="1834"/>
      <c r="N57" s="1691"/>
      <c r="O57" s="1691"/>
      <c r="P57" s="1691"/>
      <c r="Q57" s="1691"/>
      <c r="R57" s="1691"/>
      <c r="S57" s="1689"/>
      <c r="T57" s="1689"/>
      <c r="U57" s="1689"/>
    </row>
    <row r="58" spans="1:21">
      <c r="A58" s="1691"/>
      <c r="B58" s="1691"/>
      <c r="C58" s="1691"/>
      <c r="D58" s="1691"/>
      <c r="E58" s="1691"/>
      <c r="F58" s="1725"/>
      <c r="G58" s="1691"/>
      <c r="H58" s="1691"/>
      <c r="I58" s="1691"/>
      <c r="J58" s="1835"/>
      <c r="K58" s="1834"/>
      <c r="L58" s="1834"/>
      <c r="M58" s="1834"/>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22"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8" style="15" customWidth="1"/>
    <col min="11" max="11" width="10.625" style="15" customWidth="1"/>
    <col min="12" max="12" width="8.5" style="15"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5" width="10.75" style="15" hidden="1" customWidth="1"/>
    <col min="26" max="26" width="10.25" style="15" customWidth="1"/>
    <col min="27" max="27" width="10" style="15" customWidth="1"/>
    <col min="28" max="28" width="8.875" style="15" customWidth="1"/>
    <col min="29" max="29" width="9.25" style="15" customWidth="1"/>
    <col min="30" max="30" width="10" style="15" hidden="1" customWidth="1"/>
    <col min="31" max="31" width="10.375" style="15" hidden="1" customWidth="1"/>
    <col min="32" max="32" width="9.5" style="15" hidden="1" customWidth="1"/>
    <col min="33" max="33" width="9.25" style="15" hidden="1" customWidth="1"/>
    <col min="34" max="34" width="9.5" style="15" hidden="1" customWidth="1"/>
    <col min="35" max="35" width="9.375" style="15" hidden="1" customWidth="1"/>
    <col min="36" max="36" width="9.5" style="15" hidden="1" customWidth="1"/>
    <col min="37" max="37" width="8.875" style="15" hidden="1" customWidth="1"/>
    <col min="38" max="38" width="9.5" style="15" customWidth="1"/>
    <col min="39" max="39" width="10.625" style="15" customWidth="1"/>
    <col min="40" max="40" width="9.5" style="15" customWidth="1"/>
    <col min="41" max="44" width="9.5" style="15" hidden="1" customWidth="1"/>
    <col min="45" max="45" width="8.5" style="15"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166</v>
      </c>
      <c r="AZ2" s="2355" t="s">
        <v>2327</v>
      </c>
      <c r="BA2" s="2356" t="s">
        <v>2326</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32181.54</v>
      </c>
      <c r="B3" s="22">
        <f>IF(C3="否",G5-AT5,G5)</f>
        <v>186890.99</v>
      </c>
      <c r="C3" s="23" t="s">
        <v>2978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167</v>
      </c>
      <c r="B5" s="987"/>
      <c r="C5" s="987"/>
      <c r="D5" s="994"/>
      <c r="E5" s="27" t="s">
        <v>1</v>
      </c>
      <c r="F5" s="27">
        <f>SUM(F13:F572)</f>
        <v>0</v>
      </c>
      <c r="G5" s="27">
        <f>SUM(G13:G572)</f>
        <v>186890.99</v>
      </c>
      <c r="H5" s="27">
        <f t="shared" ref="H5:AT5" si="0">SUM(H13:H641)</f>
        <v>185054.10999999996</v>
      </c>
      <c r="I5" s="27">
        <f t="shared" si="0"/>
        <v>149322.03999999998</v>
      </c>
      <c r="J5" s="27">
        <f t="shared" si="0"/>
        <v>0</v>
      </c>
      <c r="K5" s="27">
        <f t="shared" si="0"/>
        <v>23721.78</v>
      </c>
      <c r="L5" s="27">
        <f t="shared" si="0"/>
        <v>0</v>
      </c>
      <c r="M5" s="27">
        <f t="shared" si="0"/>
        <v>5360.21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6650.08</v>
      </c>
      <c r="AB5" s="27">
        <f t="shared" si="0"/>
        <v>0</v>
      </c>
      <c r="AC5" s="27">
        <f t="shared" si="0"/>
        <v>1836.8800000000006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1457.1100000000001</v>
      </c>
      <c r="AM5" s="27">
        <f t="shared" si="0"/>
        <v>0</v>
      </c>
      <c r="AN5" s="27">
        <f t="shared" si="0"/>
        <v>379.77000000000044</v>
      </c>
      <c r="AO5" s="27">
        <f t="shared" si="0"/>
        <v>0</v>
      </c>
      <c r="AP5" s="27">
        <f t="shared" si="0"/>
        <v>0</v>
      </c>
      <c r="AQ5" s="27">
        <f t="shared" si="0"/>
        <v>0</v>
      </c>
      <c r="AR5" s="27">
        <f t="shared" si="0"/>
        <v>0</v>
      </c>
      <c r="AS5" s="27">
        <f t="shared" si="0"/>
        <v>0</v>
      </c>
      <c r="AT5" s="27">
        <f t="shared" si="0"/>
        <v>0</v>
      </c>
      <c r="AU5" s="986"/>
      <c r="AV5" s="26" t="s">
        <v>167</v>
      </c>
      <c r="AW5" s="987"/>
      <c r="AX5" s="987"/>
      <c r="AY5" s="28" t="s">
        <v>3</v>
      </c>
      <c r="AZ5" s="29">
        <f t="shared" ref="AZ5:BT5" si="1">SUM(AZ13:AZ641)</f>
        <v>186890.99</v>
      </c>
      <c r="BA5" s="29">
        <f t="shared" si="1"/>
        <v>185054.10999999996</v>
      </c>
      <c r="BB5" s="29">
        <f t="shared" si="1"/>
        <v>149322.03999999998</v>
      </c>
      <c r="BC5" s="29">
        <f t="shared" si="1"/>
        <v>23721.78</v>
      </c>
      <c r="BD5" s="29">
        <f t="shared" si="1"/>
        <v>5360.21</v>
      </c>
      <c r="BE5" s="29">
        <f t="shared" si="1"/>
        <v>0</v>
      </c>
      <c r="BF5" s="29">
        <f t="shared" si="1"/>
        <v>0</v>
      </c>
      <c r="BG5" s="29">
        <f t="shared" si="1"/>
        <v>0</v>
      </c>
      <c r="BH5" s="29">
        <f t="shared" si="1"/>
        <v>0</v>
      </c>
      <c r="BI5" s="29">
        <f t="shared" si="1"/>
        <v>0</v>
      </c>
      <c r="BJ5" s="29">
        <f t="shared" si="1"/>
        <v>0</v>
      </c>
      <c r="BK5" s="29">
        <f t="shared" si="1"/>
        <v>6650.08</v>
      </c>
      <c r="BL5" s="29">
        <f t="shared" si="1"/>
        <v>1836.8800000000006</v>
      </c>
      <c r="BM5" s="29">
        <f t="shared" si="1"/>
        <v>0</v>
      </c>
      <c r="BN5" s="29">
        <f t="shared" si="1"/>
        <v>0</v>
      </c>
      <c r="BO5" s="29">
        <f t="shared" si="1"/>
        <v>0</v>
      </c>
      <c r="BP5" s="29">
        <f t="shared" si="1"/>
        <v>0</v>
      </c>
      <c r="BQ5" s="29">
        <f t="shared" si="1"/>
        <v>1457.1100000000001</v>
      </c>
      <c r="BR5" s="29">
        <f t="shared" si="1"/>
        <v>379.77000000000044</v>
      </c>
      <c r="BS5" s="29">
        <f t="shared" si="1"/>
        <v>0</v>
      </c>
      <c r="BT5" s="30">
        <f t="shared" si="1"/>
        <v>0</v>
      </c>
    </row>
    <row r="6" spans="1:72" s="37" customFormat="1" ht="12.75">
      <c r="A6" s="26" t="s">
        <v>168</v>
      </c>
      <c r="B6" s="31"/>
      <c r="C6" s="31"/>
      <c r="D6" s="32"/>
      <c r="E6" s="27">
        <f>H6+AC6+AT6</f>
        <v>32181.55</v>
      </c>
      <c r="F6" s="27" t="s">
        <v>1</v>
      </c>
      <c r="G6" s="27" t="s">
        <v>2</v>
      </c>
      <c r="H6" s="33">
        <f>SUMIF(I$12:AB$12,"总值",I6:AB6)</f>
        <v>31865.25</v>
      </c>
      <c r="I6" s="27">
        <f t="shared" ref="I6:AB6" si="2">ROUND($A$3*I5/$B$3,2)</f>
        <v>25712.39</v>
      </c>
      <c r="J6" s="27">
        <f t="shared" si="2"/>
        <v>0</v>
      </c>
      <c r="K6" s="27">
        <f t="shared" si="2"/>
        <v>4084.75</v>
      </c>
      <c r="L6" s="27">
        <f t="shared" si="2"/>
        <v>0</v>
      </c>
      <c r="M6" s="27">
        <f t="shared" si="2"/>
        <v>923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1145.1099999999999</v>
      </c>
      <c r="AB6" s="27">
        <f t="shared" si="2"/>
        <v>0</v>
      </c>
      <c r="AC6" s="33">
        <f>SUMIF(AD$12:AS$12,"总值",AD6:AS6)</f>
        <v>316.3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250.91</v>
      </c>
      <c r="AM6" s="27">
        <f t="shared" si="3"/>
        <v>0</v>
      </c>
      <c r="AN6" s="27">
        <f t="shared" si="3"/>
        <v>65.39</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32181.54</v>
      </c>
      <c r="AZ6" s="27" t="s">
        <v>3</v>
      </c>
      <c r="BA6" s="27">
        <f>ROUND($AY$6*BA5/$AZ$5,2)</f>
        <v>31865.24</v>
      </c>
      <c r="BB6" s="27">
        <f>ROUND($AY$6*BB5/$AZ$5,2)</f>
        <v>25712.39</v>
      </c>
      <c r="BC6" s="27">
        <f t="shared" ref="BC6:BH6" si="4">ROUND($AY$6*BC5/$AZ$5,2)</f>
        <v>4084.75</v>
      </c>
      <c r="BD6" s="27">
        <f t="shared" si="4"/>
        <v>923</v>
      </c>
      <c r="BE6" s="27">
        <f t="shared" si="4"/>
        <v>0</v>
      </c>
      <c r="BF6" s="27">
        <f t="shared" si="4"/>
        <v>0</v>
      </c>
      <c r="BG6" s="27">
        <f t="shared" si="4"/>
        <v>0</v>
      </c>
      <c r="BH6" s="27">
        <f t="shared" si="4"/>
        <v>0</v>
      </c>
      <c r="BI6" s="27">
        <f t="shared" ref="BI6:BT6" si="5">ROUND($AY$6*BI5/$AZ$5,2)</f>
        <v>0</v>
      </c>
      <c r="BJ6" s="27">
        <f t="shared" si="5"/>
        <v>0</v>
      </c>
      <c r="BK6" s="27">
        <f t="shared" si="5"/>
        <v>1145.1099999999999</v>
      </c>
      <c r="BL6" s="27">
        <f t="shared" si="5"/>
        <v>316.3</v>
      </c>
      <c r="BM6" s="27">
        <f t="shared" si="5"/>
        <v>0</v>
      </c>
      <c r="BN6" s="27">
        <f t="shared" si="5"/>
        <v>0</v>
      </c>
      <c r="BO6" s="27">
        <f t="shared" si="5"/>
        <v>0</v>
      </c>
      <c r="BP6" s="27">
        <f t="shared" si="5"/>
        <v>0</v>
      </c>
      <c r="BQ6" s="27">
        <f t="shared" si="5"/>
        <v>250.91</v>
      </c>
      <c r="BR6" s="27">
        <f t="shared" si="5"/>
        <v>65.39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92"/>
      <c r="AT8" s="2323" t="s">
        <v>852</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3010" t="s">
        <v>2995</v>
      </c>
      <c r="J9" s="51"/>
      <c r="K9" s="3010" t="s">
        <v>3070</v>
      </c>
      <c r="L9" s="51"/>
      <c r="M9" s="3010" t="s">
        <v>2995</v>
      </c>
      <c r="N9" s="51"/>
      <c r="O9" s="59"/>
      <c r="P9" s="51"/>
      <c r="Q9" s="59"/>
      <c r="R9" s="51"/>
      <c r="S9" s="59"/>
      <c r="T9" s="51"/>
      <c r="U9" s="59"/>
      <c r="V9" s="51"/>
      <c r="W9" s="59"/>
      <c r="X9" s="60"/>
      <c r="Y9" s="59"/>
      <c r="Z9" s="51"/>
      <c r="AA9" s="59" t="s">
        <v>3070</v>
      </c>
      <c r="AB9" s="51"/>
      <c r="AC9" s="46" t="s">
        <v>187</v>
      </c>
      <c r="AD9" s="26" t="s">
        <v>188</v>
      </c>
      <c r="AE9" s="61"/>
      <c r="AF9" s="26" t="s">
        <v>189</v>
      </c>
      <c r="AG9" s="61"/>
      <c r="AH9" s="26" t="s">
        <v>190</v>
      </c>
      <c r="AI9" s="61"/>
      <c r="AJ9" s="26" t="s">
        <v>191</v>
      </c>
      <c r="AK9" s="61"/>
      <c r="AL9" s="26" t="s">
        <v>190</v>
      </c>
      <c r="AM9" s="61"/>
      <c r="AN9" s="26" t="s">
        <v>191</v>
      </c>
      <c r="AO9" s="61"/>
      <c r="AP9" s="1185" t="s">
        <v>190</v>
      </c>
      <c r="AQ9" s="1187"/>
      <c r="AR9" s="1185" t="s">
        <v>191</v>
      </c>
      <c r="AS9" s="2324"/>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3010" t="s">
        <v>2996</v>
      </c>
      <c r="J10" s="51"/>
      <c r="K10" s="3012" t="s">
        <v>3071</v>
      </c>
      <c r="L10" s="51"/>
      <c r="M10" s="3012" t="s">
        <v>2996</v>
      </c>
      <c r="N10" s="51"/>
      <c r="O10" s="66"/>
      <c r="P10" s="51"/>
      <c r="Q10" s="66"/>
      <c r="R10" s="51"/>
      <c r="S10" s="66"/>
      <c r="T10" s="51"/>
      <c r="U10" s="66"/>
      <c r="V10" s="51"/>
      <c r="W10" s="66"/>
      <c r="X10" s="51"/>
      <c r="Y10" s="66"/>
      <c r="Z10" s="51"/>
      <c r="AA10" s="66" t="s">
        <v>3133</v>
      </c>
      <c r="AB10" s="51"/>
      <c r="AC10" s="55"/>
      <c r="AD10" s="2309" t="s">
        <v>2313</v>
      </c>
      <c r="AE10" s="2331"/>
      <c r="AF10" s="2309" t="s">
        <v>2313</v>
      </c>
      <c r="AG10" s="2331"/>
      <c r="AH10" s="2309" t="s">
        <v>2314</v>
      </c>
      <c r="AI10" s="2331"/>
      <c r="AJ10" s="26" t="s">
        <v>2325</v>
      </c>
      <c r="AK10" s="2328"/>
      <c r="AL10" s="2309" t="s">
        <v>2315</v>
      </c>
      <c r="AM10" s="2310"/>
      <c r="AN10" s="26" t="s">
        <v>197</v>
      </c>
      <c r="AO10" s="61"/>
      <c r="AP10" s="1185" t="s">
        <v>198</v>
      </c>
      <c r="AQ10" s="1187"/>
      <c r="AR10" s="1185" t="s">
        <v>198</v>
      </c>
      <c r="AS10" s="1187"/>
      <c r="AT10" s="45"/>
      <c r="AU10" s="45"/>
      <c r="AV10" s="55"/>
      <c r="AW10" s="1001"/>
      <c r="AX10" s="55"/>
      <c r="AY10" s="62"/>
      <c r="AZ10" s="62"/>
      <c r="BA10" s="67" t="s">
        <v>192</v>
      </c>
      <c r="BB10" s="68" t="str">
        <f>I9</f>
        <v>地上</v>
      </c>
      <c r="BC10" s="69" t="str">
        <f>K9</f>
        <v>地下</v>
      </c>
      <c r="BD10" s="69" t="str">
        <f>M9</f>
        <v>地上</v>
      </c>
      <c r="BE10" s="69">
        <f>O9</f>
        <v>0</v>
      </c>
      <c r="BF10" s="69">
        <f>Q9</f>
        <v>0</v>
      </c>
      <c r="BG10" s="69">
        <f>S9</f>
        <v>0</v>
      </c>
      <c r="BH10" s="69">
        <f>U9</f>
        <v>0</v>
      </c>
      <c r="BI10" s="69">
        <f>W9</f>
        <v>0</v>
      </c>
      <c r="BJ10" s="69">
        <f>Y9</f>
        <v>0</v>
      </c>
      <c r="BK10" s="69" t="str">
        <f>AA9</f>
        <v>地下</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1" t="s">
        <v>3089</v>
      </c>
      <c r="J11" s="71"/>
      <c r="K11" s="3011" t="s">
        <v>3071</v>
      </c>
      <c r="L11" s="71"/>
      <c r="M11" s="70" t="s">
        <v>3090</v>
      </c>
      <c r="N11" s="71"/>
      <c r="O11" s="70"/>
      <c r="P11" s="71"/>
      <c r="Q11" s="70"/>
      <c r="R11" s="71"/>
      <c r="S11" s="70"/>
      <c r="T11" s="71"/>
      <c r="U11" s="70"/>
      <c r="V11" s="71"/>
      <c r="W11" s="70"/>
      <c r="X11" s="71"/>
      <c r="Y11" s="70"/>
      <c r="Z11" s="71"/>
      <c r="AA11" s="70" t="s">
        <v>3134</v>
      </c>
      <c r="AB11" s="71"/>
      <c r="AC11" s="55"/>
      <c r="AD11" s="2329" t="s">
        <v>2324</v>
      </c>
      <c r="AE11" s="1000"/>
      <c r="AF11" s="2329" t="s">
        <v>2324</v>
      </c>
      <c r="AG11" s="1000"/>
      <c r="AH11" s="2329" t="s">
        <v>2323</v>
      </c>
      <c r="AI11" s="2330"/>
      <c r="AJ11" s="2329" t="s">
        <v>2323</v>
      </c>
      <c r="AK11" s="2328"/>
      <c r="AL11" s="998"/>
      <c r="AM11" s="1000"/>
      <c r="AN11" s="998"/>
      <c r="AO11" s="1000"/>
      <c r="AP11" s="1186"/>
      <c r="AQ11" s="1188"/>
      <c r="AR11" s="1186"/>
      <c r="AS11" s="1188"/>
      <c r="AT11" s="1001"/>
      <c r="AU11" s="45"/>
      <c r="AV11" s="55"/>
      <c r="AW11" s="1001"/>
      <c r="AX11" s="55"/>
      <c r="AY11" s="62"/>
      <c r="AZ11" s="62"/>
      <c r="BA11" s="62"/>
      <c r="BB11" s="50" t="str">
        <f>I10</f>
        <v>商业</v>
      </c>
      <c r="BC11" s="50" t="str">
        <f>K10</f>
        <v>车库</v>
      </c>
      <c r="BD11" s="50" t="str">
        <f>M10</f>
        <v>商业</v>
      </c>
      <c r="BE11" s="50">
        <f>O10</f>
        <v>0</v>
      </c>
      <c r="BF11" s="50">
        <f>Q10</f>
        <v>0</v>
      </c>
      <c r="BG11" s="50">
        <f>S10</f>
        <v>0</v>
      </c>
      <c r="BH11" s="50">
        <f>U10</f>
        <v>0</v>
      </c>
      <c r="BI11" s="50">
        <f>W10</f>
        <v>0</v>
      </c>
      <c r="BJ11" s="50">
        <f>Y10</f>
        <v>0</v>
      </c>
      <c r="BK11" s="50" t="str">
        <f>AA10</f>
        <v>仓储</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4" t="s">
        <v>199</v>
      </c>
      <c r="AQ12" s="1184" t="s">
        <v>200</v>
      </c>
      <c r="AR12" s="1190" t="s">
        <v>199</v>
      </c>
      <c r="AS12" s="1189" t="s">
        <v>200</v>
      </c>
      <c r="AT12" s="76"/>
      <c r="AU12" s="72"/>
      <c r="AV12" s="77"/>
      <c r="AW12" s="42"/>
      <c r="AX12" s="77"/>
      <c r="AY12" s="78"/>
      <c r="AZ12" s="62"/>
      <c r="BA12" s="67"/>
      <c r="BB12" s="53" t="str">
        <f>I11</f>
        <v>公寓</v>
      </c>
      <c r="BC12" s="79" t="str">
        <f>K11</f>
        <v>车库</v>
      </c>
      <c r="BD12" s="79" t="str">
        <f>M11</f>
        <v>底商</v>
      </c>
      <c r="BE12" s="50">
        <f>O11</f>
        <v>0</v>
      </c>
      <c r="BF12" s="50">
        <f>Q11</f>
        <v>0</v>
      </c>
      <c r="BG12" s="50">
        <f>S11</f>
        <v>0</v>
      </c>
      <c r="BH12" s="50">
        <f>U11</f>
        <v>0</v>
      </c>
      <c r="BI12" s="50">
        <f>W11</f>
        <v>0</v>
      </c>
      <c r="BJ12" s="50">
        <f>Y11</f>
        <v>0</v>
      </c>
      <c r="BK12" s="50" t="str">
        <f>AA11</f>
        <v>戊类库房</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76.5">
      <c r="A13" s="12" t="s">
        <v>3106</v>
      </c>
      <c r="B13" s="12" t="s">
        <v>3107</v>
      </c>
      <c r="C13" s="12" t="s">
        <v>3091</v>
      </c>
      <c r="D13" s="80" t="s">
        <v>3099</v>
      </c>
      <c r="E13" s="27">
        <f t="shared" ref="E13:E20" si="6">IF($C$3="是",ROUND($A$3*G13/$B$3,2),ROUND($A$3*(G13-AT13)/$B$3,2))</f>
        <v>2017.13</v>
      </c>
      <c r="F13" s="81"/>
      <c r="G13" s="82">
        <f t="shared" ref="G13:G20" si="7">H13+AC13+AT13</f>
        <v>11714.3</v>
      </c>
      <c r="H13" s="33">
        <f t="shared" ref="H13:H20" si="8">SUMIF(I$12:AB$12,"总值",I13:AB13)</f>
        <v>11714.3</v>
      </c>
      <c r="I13" s="3213">
        <f>11714.3-AA13</f>
        <v>10982.97</v>
      </c>
      <c r="J13" s="3213"/>
      <c r="K13" s="3213">
        <v>0</v>
      </c>
      <c r="L13" s="3213"/>
      <c r="M13" s="3213">
        <v>0</v>
      </c>
      <c r="N13" s="3213"/>
      <c r="O13" s="3213"/>
      <c r="P13" s="3213"/>
      <c r="Q13" s="3213"/>
      <c r="R13" s="3213"/>
      <c r="S13" s="3213"/>
      <c r="T13" s="3213"/>
      <c r="U13" s="3213"/>
      <c r="V13" s="3213"/>
      <c r="W13" s="3213"/>
      <c r="X13" s="3213"/>
      <c r="Y13" s="3213"/>
      <c r="Z13" s="3213"/>
      <c r="AA13" s="3213">
        <v>731.33</v>
      </c>
      <c r="AB13" s="3213"/>
      <c r="AC13" s="27">
        <f t="shared" ref="AC13:AC20" si="9">SUMIF(AD$12:AS$12,"总值",AD13:AS13)</f>
        <v>0</v>
      </c>
      <c r="AD13" s="3013"/>
      <c r="AE13" s="3013"/>
      <c r="AF13" s="3013"/>
      <c r="AG13" s="3013"/>
      <c r="AH13" s="3013"/>
      <c r="AI13" s="3013"/>
      <c r="AJ13" s="3013"/>
      <c r="AK13" s="3013"/>
      <c r="AL13" s="3013"/>
      <c r="AM13" s="3013"/>
      <c r="AN13" s="3013"/>
      <c r="AO13" s="3013"/>
      <c r="AP13" s="3013"/>
      <c r="AQ13" s="3013"/>
      <c r="AR13" s="3013"/>
      <c r="AS13" s="3013"/>
      <c r="AT13" s="3014"/>
      <c r="AU13" s="3015"/>
      <c r="AV13" s="17" t="str">
        <f t="shared" ref="AV13:AX20" si="10">A13</f>
        <v>长安国用（2014）第00003号</v>
      </c>
      <c r="AW13" s="17" t="str">
        <f t="shared" si="10"/>
        <v>《建设工程规划许可证》[建字第建管130100201800074号]</v>
      </c>
      <c r="AX13" s="17" t="str">
        <f t="shared" si="10"/>
        <v>1#</v>
      </c>
      <c r="AY13" s="994">
        <f t="shared" ref="AY13:AY20" si="11">ROUND($AY$6*AZ13/$AZ$5,2)</f>
        <v>2017.13</v>
      </c>
      <c r="AZ13" s="27">
        <f t="shared" ref="AZ13:AZ20" si="12">BA13+BL13</f>
        <v>11714.3</v>
      </c>
      <c r="BA13" s="27">
        <f t="shared" ref="BA13:BA20" si="13">SUM(BB13:BK13)</f>
        <v>11714.3</v>
      </c>
      <c r="BB13" s="27">
        <f t="shared" ref="BB13:BB20" si="14">IF($D13="是",I13-J13,0)</f>
        <v>10982.97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731.33</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76.5">
      <c r="A14" s="12" t="s">
        <v>3106</v>
      </c>
      <c r="B14" s="12" t="s">
        <v>3108</v>
      </c>
      <c r="C14" s="12" t="s">
        <v>3092</v>
      </c>
      <c r="D14" s="80" t="s">
        <v>3099</v>
      </c>
      <c r="E14" s="27">
        <f t="shared" si="6"/>
        <v>2384.09</v>
      </c>
      <c r="F14" s="81"/>
      <c r="G14" s="82">
        <f t="shared" si="7"/>
        <v>13845.38</v>
      </c>
      <c r="H14" s="33">
        <f t="shared" si="8"/>
        <v>13845.38</v>
      </c>
      <c r="I14" s="3213">
        <f>13845.38-AA14-M14</f>
        <v>12769.179999999998</v>
      </c>
      <c r="J14" s="3213"/>
      <c r="K14" s="3213">
        <v>0</v>
      </c>
      <c r="L14" s="3213"/>
      <c r="M14" s="3213">
        <v>351.92</v>
      </c>
      <c r="N14" s="3213"/>
      <c r="O14" s="3213"/>
      <c r="P14" s="3213"/>
      <c r="Q14" s="3213"/>
      <c r="R14" s="3213"/>
      <c r="S14" s="3213"/>
      <c r="T14" s="3213"/>
      <c r="U14" s="3213"/>
      <c r="V14" s="3213"/>
      <c r="W14" s="3213"/>
      <c r="X14" s="3213"/>
      <c r="Y14" s="3213"/>
      <c r="Z14" s="3213"/>
      <c r="AA14" s="3213">
        <v>724.28</v>
      </c>
      <c r="AB14" s="3213"/>
      <c r="AC14" s="27">
        <f t="shared" si="9"/>
        <v>0</v>
      </c>
      <c r="AD14" s="3013"/>
      <c r="AE14" s="3013"/>
      <c r="AF14" s="3013"/>
      <c r="AG14" s="3013"/>
      <c r="AH14" s="3013"/>
      <c r="AI14" s="3013"/>
      <c r="AJ14" s="3013"/>
      <c r="AK14" s="3013"/>
      <c r="AL14" s="3013"/>
      <c r="AM14" s="3013"/>
      <c r="AN14" s="3013"/>
      <c r="AO14" s="3013"/>
      <c r="AP14" s="3013"/>
      <c r="AQ14" s="3013"/>
      <c r="AR14" s="3013"/>
      <c r="AS14" s="3013"/>
      <c r="AT14" s="3014"/>
      <c r="AU14" s="3015"/>
      <c r="AV14" s="17" t="str">
        <f t="shared" si="10"/>
        <v>长安国用（2014）第00003号</v>
      </c>
      <c r="AW14" s="17" t="str">
        <f t="shared" si="10"/>
        <v>《建设工程规划许可证》[建字第建管130100201800082号]</v>
      </c>
      <c r="AX14" s="17" t="str">
        <f t="shared" si="10"/>
        <v>2#</v>
      </c>
      <c r="AY14" s="994">
        <f t="shared" si="11"/>
        <v>2384.09</v>
      </c>
      <c r="AZ14" s="27">
        <f t="shared" si="12"/>
        <v>13845.38</v>
      </c>
      <c r="BA14" s="27">
        <f t="shared" si="13"/>
        <v>13845.38</v>
      </c>
      <c r="BB14" s="27">
        <f t="shared" si="14"/>
        <v>12769.179999999998</v>
      </c>
      <c r="BC14" s="27">
        <f t="shared" si="15"/>
        <v>0</v>
      </c>
      <c r="BD14" s="27">
        <f t="shared" si="16"/>
        <v>351.92</v>
      </c>
      <c r="BE14" s="27">
        <f t="shared" si="17"/>
        <v>0</v>
      </c>
      <c r="BF14" s="27">
        <f t="shared" si="18"/>
        <v>0</v>
      </c>
      <c r="BG14" s="27">
        <f t="shared" si="19"/>
        <v>0</v>
      </c>
      <c r="BH14" s="27">
        <f t="shared" si="20"/>
        <v>0</v>
      </c>
      <c r="BI14" s="27">
        <f t="shared" si="21"/>
        <v>0</v>
      </c>
      <c r="BJ14" s="27">
        <f t="shared" si="22"/>
        <v>0</v>
      </c>
      <c r="BK14" s="27">
        <f t="shared" si="23"/>
        <v>724.28</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67.5" customHeight="1">
      <c r="A15" s="12" t="s">
        <v>3106</v>
      </c>
      <c r="B15" s="12" t="s">
        <v>3108</v>
      </c>
      <c r="C15" s="12" t="s">
        <v>3093</v>
      </c>
      <c r="D15" s="80" t="s">
        <v>3099</v>
      </c>
      <c r="E15" s="27">
        <f t="shared" si="6"/>
        <v>3251.95</v>
      </c>
      <c r="F15" s="81"/>
      <c r="G15" s="82">
        <f t="shared" si="7"/>
        <v>18885.34</v>
      </c>
      <c r="H15" s="33">
        <f t="shared" si="8"/>
        <v>18885.34</v>
      </c>
      <c r="I15" s="3213">
        <f>18885.34-AA15-M15</f>
        <v>17835.989999999998</v>
      </c>
      <c r="J15" s="3213"/>
      <c r="K15" s="3213">
        <v>0</v>
      </c>
      <c r="L15" s="3213"/>
      <c r="M15" s="3213">
        <v>463.2</v>
      </c>
      <c r="N15" s="3213"/>
      <c r="O15" s="3213"/>
      <c r="P15" s="3213"/>
      <c r="Q15" s="3213"/>
      <c r="R15" s="3213"/>
      <c r="S15" s="3213"/>
      <c r="T15" s="3213"/>
      <c r="U15" s="3213"/>
      <c r="V15" s="3213"/>
      <c r="W15" s="3213"/>
      <c r="X15" s="3213"/>
      <c r="Y15" s="3213"/>
      <c r="Z15" s="3213"/>
      <c r="AA15" s="3213">
        <v>586.15</v>
      </c>
      <c r="AB15" s="3213"/>
      <c r="AC15" s="27">
        <f t="shared" si="9"/>
        <v>0</v>
      </c>
      <c r="AD15" s="3013"/>
      <c r="AE15" s="3013"/>
      <c r="AF15" s="3013"/>
      <c r="AG15" s="3013"/>
      <c r="AH15" s="3013"/>
      <c r="AI15" s="3013"/>
      <c r="AJ15" s="3013"/>
      <c r="AK15" s="3013"/>
      <c r="AL15" s="3013"/>
      <c r="AM15" s="3013"/>
      <c r="AN15" s="3013"/>
      <c r="AO15" s="3013"/>
      <c r="AP15" s="3013"/>
      <c r="AQ15" s="3013"/>
      <c r="AR15" s="3013"/>
      <c r="AS15" s="3013"/>
      <c r="AT15" s="3014"/>
      <c r="AU15" s="3015"/>
      <c r="AV15" s="17" t="str">
        <f t="shared" si="10"/>
        <v>长安国用（2014）第00003号</v>
      </c>
      <c r="AW15" s="17" t="str">
        <f t="shared" si="10"/>
        <v>《建设工程规划许可证》[建字第建管130100201800082号]</v>
      </c>
      <c r="AX15" s="17" t="str">
        <f t="shared" si="10"/>
        <v>3#</v>
      </c>
      <c r="AY15" s="994">
        <f t="shared" si="11"/>
        <v>3251.95</v>
      </c>
      <c r="AZ15" s="27">
        <f t="shared" si="12"/>
        <v>18885.34</v>
      </c>
      <c r="BA15" s="27">
        <f t="shared" si="13"/>
        <v>18885.34</v>
      </c>
      <c r="BB15" s="27">
        <f t="shared" si="14"/>
        <v>17835.989999999998</v>
      </c>
      <c r="BC15" s="27">
        <f t="shared" si="15"/>
        <v>0</v>
      </c>
      <c r="BD15" s="27">
        <f t="shared" si="16"/>
        <v>463.2</v>
      </c>
      <c r="BE15" s="27">
        <f t="shared" si="17"/>
        <v>0</v>
      </c>
      <c r="BF15" s="27">
        <f t="shared" si="18"/>
        <v>0</v>
      </c>
      <c r="BG15" s="27">
        <f t="shared" si="19"/>
        <v>0</v>
      </c>
      <c r="BH15" s="27">
        <f t="shared" si="20"/>
        <v>0</v>
      </c>
      <c r="BI15" s="27">
        <f t="shared" si="21"/>
        <v>0</v>
      </c>
      <c r="BJ15" s="27">
        <f t="shared" si="22"/>
        <v>0</v>
      </c>
      <c r="BK15" s="27">
        <f t="shared" si="23"/>
        <v>586.15</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76.5">
      <c r="A16" s="12" t="s">
        <v>3106</v>
      </c>
      <c r="B16" s="12" t="s">
        <v>3108</v>
      </c>
      <c r="C16" s="12" t="s">
        <v>3094</v>
      </c>
      <c r="D16" s="80" t="s">
        <v>3099</v>
      </c>
      <c r="E16" s="27">
        <f t="shared" si="6"/>
        <v>2665.05</v>
      </c>
      <c r="F16" s="81"/>
      <c r="G16" s="82">
        <f t="shared" si="7"/>
        <v>15476.98</v>
      </c>
      <c r="H16" s="33">
        <f t="shared" si="8"/>
        <v>15476.98</v>
      </c>
      <c r="I16" s="3213">
        <f>15476.98-AA16-M16</f>
        <v>14423.2</v>
      </c>
      <c r="J16" s="3213"/>
      <c r="K16" s="3213">
        <v>0</v>
      </c>
      <c r="L16" s="3213"/>
      <c r="M16" s="3213">
        <v>385.14</v>
      </c>
      <c r="N16" s="3213"/>
      <c r="O16" s="3213"/>
      <c r="P16" s="3213"/>
      <c r="Q16" s="3213"/>
      <c r="R16" s="3213"/>
      <c r="S16" s="3213"/>
      <c r="T16" s="3213"/>
      <c r="U16" s="3213"/>
      <c r="V16" s="3213"/>
      <c r="W16" s="3213"/>
      <c r="X16" s="3213"/>
      <c r="Y16" s="3213"/>
      <c r="Z16" s="3213"/>
      <c r="AA16" s="3213">
        <v>668.64</v>
      </c>
      <c r="AB16" s="3213"/>
      <c r="AC16" s="27">
        <f t="shared" si="9"/>
        <v>0</v>
      </c>
      <c r="AD16" s="3013"/>
      <c r="AE16" s="3013"/>
      <c r="AF16" s="3013"/>
      <c r="AG16" s="3013"/>
      <c r="AH16" s="3013"/>
      <c r="AI16" s="3013"/>
      <c r="AJ16" s="3013"/>
      <c r="AK16" s="3013"/>
      <c r="AL16" s="3013"/>
      <c r="AM16" s="3013"/>
      <c r="AN16" s="3013"/>
      <c r="AO16" s="3013"/>
      <c r="AP16" s="3013"/>
      <c r="AQ16" s="3013"/>
      <c r="AR16" s="3013"/>
      <c r="AS16" s="3013"/>
      <c r="AT16" s="3014"/>
      <c r="AU16" s="3015"/>
      <c r="AV16" s="17" t="str">
        <f t="shared" si="10"/>
        <v>长安国用（2014）第00003号</v>
      </c>
      <c r="AW16" s="17" t="str">
        <f t="shared" si="10"/>
        <v>《建设工程规划许可证》[建字第建管130100201800082号]</v>
      </c>
      <c r="AX16" s="17" t="str">
        <f t="shared" si="10"/>
        <v>4#</v>
      </c>
      <c r="AY16" s="994">
        <f t="shared" si="11"/>
        <v>2665.05</v>
      </c>
      <c r="AZ16" s="27">
        <f t="shared" si="12"/>
        <v>15476.98</v>
      </c>
      <c r="BA16" s="27">
        <f t="shared" si="13"/>
        <v>15476.98</v>
      </c>
      <c r="BB16" s="27">
        <f t="shared" si="14"/>
        <v>14423.2</v>
      </c>
      <c r="BC16" s="27">
        <f t="shared" si="15"/>
        <v>0</v>
      </c>
      <c r="BD16" s="27">
        <f t="shared" si="16"/>
        <v>385.14</v>
      </c>
      <c r="BE16" s="27">
        <f t="shared" si="17"/>
        <v>0</v>
      </c>
      <c r="BF16" s="27">
        <f t="shared" si="18"/>
        <v>0</v>
      </c>
      <c r="BG16" s="27">
        <f t="shared" si="19"/>
        <v>0</v>
      </c>
      <c r="BH16" s="27">
        <f t="shared" si="20"/>
        <v>0</v>
      </c>
      <c r="BI16" s="27">
        <f t="shared" si="21"/>
        <v>0</v>
      </c>
      <c r="BJ16" s="27">
        <f t="shared" si="22"/>
        <v>0</v>
      </c>
      <c r="BK16" s="27">
        <f t="shared" si="23"/>
        <v>668.64</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76.5">
      <c r="A17" s="12" t="s">
        <v>3106</v>
      </c>
      <c r="B17" s="12" t="s">
        <v>3108</v>
      </c>
      <c r="C17" s="12" t="s">
        <v>3095</v>
      </c>
      <c r="D17" s="80" t="s">
        <v>3099</v>
      </c>
      <c r="E17" s="27">
        <f t="shared" si="6"/>
        <v>5371.88</v>
      </c>
      <c r="F17" s="81"/>
      <c r="G17" s="82">
        <f t="shared" si="7"/>
        <v>31196.67</v>
      </c>
      <c r="H17" s="33">
        <f t="shared" si="8"/>
        <v>31196.67</v>
      </c>
      <c r="I17" s="3213">
        <f>31196.67-AA17-M17</f>
        <v>29869.489999999998</v>
      </c>
      <c r="J17" s="3213"/>
      <c r="K17" s="3213">
        <v>0</v>
      </c>
      <c r="L17" s="3213"/>
      <c r="M17" s="3213">
        <v>105.04</v>
      </c>
      <c r="N17" s="3213"/>
      <c r="O17" s="3213"/>
      <c r="P17" s="3213"/>
      <c r="Q17" s="3213"/>
      <c r="R17" s="3213"/>
      <c r="S17" s="3213"/>
      <c r="T17" s="3213"/>
      <c r="U17" s="3213"/>
      <c r="V17" s="3213"/>
      <c r="W17" s="3213"/>
      <c r="X17" s="3213"/>
      <c r="Y17" s="3213"/>
      <c r="Z17" s="3213"/>
      <c r="AA17" s="3213">
        <v>1222.1400000000001</v>
      </c>
      <c r="AB17" s="3213"/>
      <c r="AC17" s="27">
        <f t="shared" si="9"/>
        <v>0</v>
      </c>
      <c r="AD17" s="3013"/>
      <c r="AE17" s="3013"/>
      <c r="AF17" s="3013"/>
      <c r="AG17" s="3013"/>
      <c r="AH17" s="3013"/>
      <c r="AI17" s="3013"/>
      <c r="AJ17" s="3013"/>
      <c r="AK17" s="3013"/>
      <c r="AL17" s="3013"/>
      <c r="AM17" s="3013"/>
      <c r="AN17" s="3013"/>
      <c r="AO17" s="3013"/>
      <c r="AP17" s="3013"/>
      <c r="AQ17" s="3013"/>
      <c r="AR17" s="3013"/>
      <c r="AS17" s="3013"/>
      <c r="AT17" s="3014"/>
      <c r="AU17" s="3015"/>
      <c r="AV17" s="17" t="str">
        <f t="shared" si="10"/>
        <v>长安国用（2014）第00003号</v>
      </c>
      <c r="AW17" s="17" t="str">
        <f t="shared" si="10"/>
        <v>《建设工程规划许可证》[建字第建管130100201800082号]</v>
      </c>
      <c r="AX17" s="17" t="str">
        <f t="shared" si="10"/>
        <v>5#</v>
      </c>
      <c r="AY17" s="994">
        <f t="shared" si="11"/>
        <v>5371.88</v>
      </c>
      <c r="AZ17" s="27">
        <f t="shared" si="12"/>
        <v>31196.67</v>
      </c>
      <c r="BA17" s="27">
        <f t="shared" si="13"/>
        <v>31196.67</v>
      </c>
      <c r="BB17" s="27">
        <f t="shared" si="14"/>
        <v>29869.489999999998</v>
      </c>
      <c r="BC17" s="27">
        <f t="shared" si="15"/>
        <v>0</v>
      </c>
      <c r="BD17" s="27">
        <f t="shared" si="16"/>
        <v>105.04</v>
      </c>
      <c r="BE17" s="27">
        <f t="shared" si="17"/>
        <v>0</v>
      </c>
      <c r="BF17" s="27">
        <f t="shared" si="18"/>
        <v>0</v>
      </c>
      <c r="BG17" s="27">
        <f t="shared" si="19"/>
        <v>0</v>
      </c>
      <c r="BH17" s="27">
        <f t="shared" si="20"/>
        <v>0</v>
      </c>
      <c r="BI17" s="27">
        <f t="shared" si="21"/>
        <v>0</v>
      </c>
      <c r="BJ17" s="27">
        <f t="shared" si="22"/>
        <v>0</v>
      </c>
      <c r="BK17" s="27">
        <f t="shared" si="23"/>
        <v>1222.1400000000001</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85.5">
      <c r="A18" s="12" t="s">
        <v>3106</v>
      </c>
      <c r="B18" s="12" t="s">
        <v>3108</v>
      </c>
      <c r="C18" s="3207" t="s">
        <v>3096</v>
      </c>
      <c r="D18" s="80" t="s">
        <v>3099</v>
      </c>
      <c r="E18" s="86">
        <f t="shared" si="6"/>
        <v>5548.41</v>
      </c>
      <c r="F18" s="87"/>
      <c r="G18" s="88">
        <f t="shared" si="7"/>
        <v>32221.85</v>
      </c>
      <c r="H18" s="89">
        <f t="shared" si="8"/>
        <v>32221.85</v>
      </c>
      <c r="I18" s="3211">
        <f>32221.85-AA18-M18</f>
        <v>30626.26</v>
      </c>
      <c r="J18" s="3213"/>
      <c r="K18" s="3208">
        <v>0</v>
      </c>
      <c r="L18" s="3213"/>
      <c r="M18" s="3213">
        <v>236.82</v>
      </c>
      <c r="N18" s="3213"/>
      <c r="O18" s="3213"/>
      <c r="P18" s="3213"/>
      <c r="Q18" s="3213"/>
      <c r="R18" s="3213"/>
      <c r="S18" s="3213"/>
      <c r="T18" s="3213"/>
      <c r="U18" s="3213"/>
      <c r="V18" s="3213"/>
      <c r="W18" s="3213"/>
      <c r="X18" s="3213"/>
      <c r="Y18" s="3213"/>
      <c r="Z18" s="3213"/>
      <c r="AA18" s="3213">
        <v>1358.77</v>
      </c>
      <c r="AB18" s="3213"/>
      <c r="AC18" s="86">
        <f t="shared" si="9"/>
        <v>0</v>
      </c>
      <c r="AD18" s="91"/>
      <c r="AE18" s="91"/>
      <c r="AF18" s="1392"/>
      <c r="AG18" s="91"/>
      <c r="AH18" s="91"/>
      <c r="AI18" s="91"/>
      <c r="AJ18" s="91"/>
      <c r="AK18" s="91"/>
      <c r="AL18" s="1362"/>
      <c r="AM18" s="91"/>
      <c r="AN18" s="1392"/>
      <c r="AO18" s="91"/>
      <c r="AP18" s="91"/>
      <c r="AQ18" s="91"/>
      <c r="AR18" s="91"/>
      <c r="AS18" s="91"/>
      <c r="AT18" s="92"/>
      <c r="AU18" s="93"/>
      <c r="AV18" s="990" t="str">
        <f t="shared" si="10"/>
        <v>长安国用（2014）第00003号</v>
      </c>
      <c r="AW18" s="990" t="str">
        <f t="shared" si="10"/>
        <v>《建设工程规划许可证》[建字第建管130100201800082号]</v>
      </c>
      <c r="AX18" s="990" t="str">
        <f t="shared" si="10"/>
        <v>6#</v>
      </c>
      <c r="AY18" s="94">
        <f t="shared" si="11"/>
        <v>5548.41</v>
      </c>
      <c r="AZ18" s="86">
        <f t="shared" si="12"/>
        <v>32221.85</v>
      </c>
      <c r="BA18" s="86">
        <f t="shared" si="13"/>
        <v>32221.85</v>
      </c>
      <c r="BB18" s="86">
        <f t="shared" si="14"/>
        <v>30626.26</v>
      </c>
      <c r="BC18" s="86">
        <f t="shared" si="15"/>
        <v>0</v>
      </c>
      <c r="BD18" s="86">
        <f t="shared" si="16"/>
        <v>236.82</v>
      </c>
      <c r="BE18" s="86">
        <f t="shared" si="17"/>
        <v>0</v>
      </c>
      <c r="BF18" s="86">
        <f t="shared" si="18"/>
        <v>0</v>
      </c>
      <c r="BG18" s="86">
        <f t="shared" si="19"/>
        <v>0</v>
      </c>
      <c r="BH18" s="86">
        <f t="shared" si="20"/>
        <v>0</v>
      </c>
      <c r="BI18" s="86">
        <f t="shared" si="21"/>
        <v>0</v>
      </c>
      <c r="BJ18" s="86">
        <f t="shared" si="22"/>
        <v>0</v>
      </c>
      <c r="BK18" s="86">
        <f t="shared" si="23"/>
        <v>1358.77</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85.5">
      <c r="A19" s="12" t="s">
        <v>3106</v>
      </c>
      <c r="B19" s="12" t="s">
        <v>3108</v>
      </c>
      <c r="C19" s="3208" t="s">
        <v>3097</v>
      </c>
      <c r="D19" s="80" t="s">
        <v>3099</v>
      </c>
      <c r="E19" s="86">
        <f t="shared" si="6"/>
        <v>5884.52</v>
      </c>
      <c r="F19" s="87"/>
      <c r="G19" s="88">
        <f t="shared" si="7"/>
        <v>34173.72</v>
      </c>
      <c r="H19" s="89">
        <f t="shared" si="8"/>
        <v>34173.72</v>
      </c>
      <c r="I19" s="3211">
        <f>34173.72-AA19-M19</f>
        <v>32814.950000000004</v>
      </c>
      <c r="J19" s="3213"/>
      <c r="K19" s="3208">
        <v>0</v>
      </c>
      <c r="L19" s="3213"/>
      <c r="M19" s="3213">
        <v>0</v>
      </c>
      <c r="N19" s="3213"/>
      <c r="O19" s="3213"/>
      <c r="P19" s="3213"/>
      <c r="Q19" s="3213"/>
      <c r="R19" s="3213"/>
      <c r="S19" s="3213"/>
      <c r="T19" s="3213"/>
      <c r="U19" s="3213"/>
      <c r="V19" s="3213"/>
      <c r="W19" s="3213"/>
      <c r="X19" s="3213"/>
      <c r="Y19" s="3213"/>
      <c r="Z19" s="3213"/>
      <c r="AA19" s="3213">
        <v>1358.77</v>
      </c>
      <c r="AB19" s="3213"/>
      <c r="AC19" s="86">
        <f t="shared" si="9"/>
        <v>0</v>
      </c>
      <c r="AD19" s="91"/>
      <c r="AE19" s="91"/>
      <c r="AF19" s="1392"/>
      <c r="AG19" s="91"/>
      <c r="AH19" s="91"/>
      <c r="AI19" s="91"/>
      <c r="AJ19" s="91"/>
      <c r="AK19" s="91"/>
      <c r="AL19" s="91"/>
      <c r="AM19" s="91"/>
      <c r="AN19" s="1392"/>
      <c r="AO19" s="91"/>
      <c r="AP19" s="91"/>
      <c r="AQ19" s="91"/>
      <c r="AR19" s="91"/>
      <c r="AS19" s="91"/>
      <c r="AT19" s="92"/>
      <c r="AU19" s="93"/>
      <c r="AV19" s="990" t="str">
        <f t="shared" si="10"/>
        <v>长安国用（2014）第00003号</v>
      </c>
      <c r="AW19" s="990" t="str">
        <f t="shared" si="10"/>
        <v>《建设工程规划许可证》[建字第建管130100201800082号]</v>
      </c>
      <c r="AX19" s="990" t="str">
        <f t="shared" si="10"/>
        <v>7#</v>
      </c>
      <c r="AY19" s="94">
        <f t="shared" si="11"/>
        <v>5884.52</v>
      </c>
      <c r="AZ19" s="86">
        <f t="shared" si="12"/>
        <v>34173.72</v>
      </c>
      <c r="BA19" s="86">
        <f t="shared" si="13"/>
        <v>34173.72</v>
      </c>
      <c r="BB19" s="86">
        <f t="shared" si="14"/>
        <v>32814.950000000004</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1358.77</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64.5" customHeight="1">
      <c r="A20" s="12" t="s">
        <v>3106</v>
      </c>
      <c r="B20" s="12" t="s">
        <v>3108</v>
      </c>
      <c r="C20" s="3209" t="s">
        <v>3100</v>
      </c>
      <c r="D20" s="80" t="s">
        <v>3099</v>
      </c>
      <c r="E20" s="86">
        <f t="shared" si="6"/>
        <v>257.77</v>
      </c>
      <c r="F20" s="87"/>
      <c r="G20" s="88">
        <f t="shared" si="7"/>
        <v>1496.98</v>
      </c>
      <c r="H20" s="89">
        <f t="shared" si="8"/>
        <v>756</v>
      </c>
      <c r="I20" s="3211">
        <v>0</v>
      </c>
      <c r="J20" s="3213"/>
      <c r="K20" s="3208">
        <v>0</v>
      </c>
      <c r="L20" s="3213"/>
      <c r="M20" s="3213">
        <v>756</v>
      </c>
      <c r="N20" s="3213"/>
      <c r="O20" s="3213"/>
      <c r="P20" s="3213"/>
      <c r="Q20" s="3213"/>
      <c r="R20" s="3213"/>
      <c r="S20" s="3213"/>
      <c r="T20" s="3213"/>
      <c r="U20" s="3213"/>
      <c r="V20" s="3213"/>
      <c r="W20" s="3213"/>
      <c r="X20" s="3213"/>
      <c r="Y20" s="3213"/>
      <c r="Z20" s="3213"/>
      <c r="AA20" s="3213">
        <v>0</v>
      </c>
      <c r="AB20" s="3213"/>
      <c r="AC20" s="86">
        <f t="shared" si="9"/>
        <v>740.98</v>
      </c>
      <c r="AD20" s="91"/>
      <c r="AE20" s="91"/>
      <c r="AF20" s="1392"/>
      <c r="AG20" s="91"/>
      <c r="AH20" s="91"/>
      <c r="AI20" s="91"/>
      <c r="AJ20" s="91"/>
      <c r="AK20" s="91"/>
      <c r="AL20" s="91">
        <f>1496.98-M20</f>
        <v>740.98</v>
      </c>
      <c r="AM20" s="91"/>
      <c r="AN20" s="1392"/>
      <c r="AO20" s="91"/>
      <c r="AP20" s="91"/>
      <c r="AQ20" s="91"/>
      <c r="AR20" s="91"/>
      <c r="AS20" s="91"/>
      <c r="AT20" s="92"/>
      <c r="AU20" s="93"/>
      <c r="AV20" s="990" t="str">
        <f t="shared" si="10"/>
        <v>长安国用（2014）第00003号</v>
      </c>
      <c r="AW20" s="990" t="str">
        <f t="shared" si="10"/>
        <v>《建设工程规划许可证》[建字第建管130100201800082号]</v>
      </c>
      <c r="AX20" s="990" t="str">
        <f t="shared" si="10"/>
        <v>C-1#商业楼</v>
      </c>
      <c r="AY20" s="94">
        <f t="shared" si="11"/>
        <v>257.77</v>
      </c>
      <c r="AZ20" s="86">
        <f t="shared" si="12"/>
        <v>1496.98</v>
      </c>
      <c r="BA20" s="86">
        <f t="shared" si="13"/>
        <v>756</v>
      </c>
      <c r="BB20" s="86">
        <f t="shared" si="14"/>
        <v>0</v>
      </c>
      <c r="BC20" s="86">
        <f t="shared" si="15"/>
        <v>0</v>
      </c>
      <c r="BD20" s="86">
        <f t="shared" si="16"/>
        <v>756</v>
      </c>
      <c r="BE20" s="86">
        <f t="shared" si="17"/>
        <v>0</v>
      </c>
      <c r="BF20" s="86">
        <f t="shared" si="18"/>
        <v>0</v>
      </c>
      <c r="BG20" s="86">
        <f t="shared" si="19"/>
        <v>0</v>
      </c>
      <c r="BH20" s="86">
        <f t="shared" si="20"/>
        <v>0</v>
      </c>
      <c r="BI20" s="86">
        <f t="shared" si="21"/>
        <v>0</v>
      </c>
      <c r="BJ20" s="86">
        <f t="shared" si="22"/>
        <v>0</v>
      </c>
      <c r="BK20" s="86">
        <f t="shared" si="23"/>
        <v>0</v>
      </c>
      <c r="BL20" s="86">
        <f t="shared" si="24"/>
        <v>740.98</v>
      </c>
      <c r="BM20" s="86">
        <f t="shared" si="25"/>
        <v>0</v>
      </c>
      <c r="BN20" s="86">
        <f t="shared" si="26"/>
        <v>0</v>
      </c>
      <c r="BO20" s="86">
        <f t="shared" si="27"/>
        <v>0</v>
      </c>
      <c r="BP20" s="86">
        <f t="shared" si="28"/>
        <v>0</v>
      </c>
      <c r="BQ20" s="86">
        <f t="shared" si="29"/>
        <v>740.98</v>
      </c>
      <c r="BR20" s="86">
        <f t="shared" si="30"/>
        <v>0</v>
      </c>
      <c r="BS20" s="86">
        <f t="shared" si="31"/>
        <v>0</v>
      </c>
      <c r="BT20" s="95">
        <f t="shared" si="32"/>
        <v>0</v>
      </c>
    </row>
    <row r="21" spans="1:72" ht="67.5" customHeight="1">
      <c r="A21" s="12" t="s">
        <v>3106</v>
      </c>
      <c r="B21" s="12" t="s">
        <v>3108</v>
      </c>
      <c r="C21" s="3209" t="s">
        <v>3101</v>
      </c>
      <c r="D21" s="80" t="s">
        <v>3099</v>
      </c>
      <c r="E21" s="86">
        <f t="shared" ref="E21:E112" si="33">IF($C$3="是",ROUND($A$3*G21/$B$3,2),ROUND($A$3*(G21-AT21)/$B$3,2))</f>
        <v>160.19</v>
      </c>
      <c r="F21" s="87"/>
      <c r="G21" s="88">
        <f t="shared" ref="G21:G109" si="34">H21+AC21+AT21</f>
        <v>930.3</v>
      </c>
      <c r="H21" s="89">
        <f t="shared" ref="H21:H109" si="35">SUMIF(I$12:AB$12,"总值",I21:AB21)</f>
        <v>930.3</v>
      </c>
      <c r="I21" s="3203">
        <v>0</v>
      </c>
      <c r="J21" s="3213"/>
      <c r="K21" s="3203">
        <v>0</v>
      </c>
      <c r="L21" s="3213"/>
      <c r="M21" s="3213">
        <v>930.3</v>
      </c>
      <c r="N21" s="3213"/>
      <c r="O21" s="3213"/>
      <c r="P21" s="3213"/>
      <c r="Q21" s="3213"/>
      <c r="R21" s="3213"/>
      <c r="S21" s="3213"/>
      <c r="T21" s="3213"/>
      <c r="U21" s="3213"/>
      <c r="V21" s="3213"/>
      <c r="W21" s="3213"/>
      <c r="X21" s="3213"/>
      <c r="Y21" s="3213"/>
      <c r="Z21" s="3213"/>
      <c r="AA21" s="3213">
        <v>0</v>
      </c>
      <c r="AB21" s="3213"/>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4" t="str">
        <f t="shared" ref="AV21:AV112" si="37">A21</f>
        <v>长安国用（2014）第00003号</v>
      </c>
      <c r="AW21" s="1974" t="str">
        <f t="shared" ref="AW21:AW112" si="38">B21</f>
        <v>《建设工程规划许可证》[建字第建管130100201800082号]</v>
      </c>
      <c r="AX21" s="1974" t="str">
        <f t="shared" ref="AX21:AX112" si="39">C21</f>
        <v>C-2#商业楼</v>
      </c>
      <c r="AY21" s="94">
        <f t="shared" ref="AY21:AY109" si="40">ROUND($AY$6*AZ21/$AZ$5,2)</f>
        <v>160.19</v>
      </c>
      <c r="AZ21" s="86">
        <f t="shared" ref="AZ21:AZ109" si="41">BA21+BL21</f>
        <v>930.3</v>
      </c>
      <c r="BA21" s="86">
        <f t="shared" ref="BA21:BA109" si="42">SUM(BB21:BK21)</f>
        <v>930.3</v>
      </c>
      <c r="BB21" s="86">
        <f t="shared" ref="BB21:BB109" si="43">IF($D21="是",I21-J21,0)</f>
        <v>0</v>
      </c>
      <c r="BC21" s="86">
        <f t="shared" ref="BC21:BC109" si="44">IF($D21="是",K21-L21,0)</f>
        <v>0</v>
      </c>
      <c r="BD21" s="86">
        <f t="shared" ref="BD21:BD109" si="45">IF($D21="是",M21-N21,0)</f>
        <v>930.3</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63" customHeight="1">
      <c r="A22" s="12" t="s">
        <v>3106</v>
      </c>
      <c r="B22" s="12" t="s">
        <v>3108</v>
      </c>
      <c r="C22" s="3208" t="s">
        <v>3102</v>
      </c>
      <c r="D22" s="3009" t="s">
        <v>1676</v>
      </c>
      <c r="E22" s="86">
        <f t="shared" si="33"/>
        <v>248.79</v>
      </c>
      <c r="F22" s="87"/>
      <c r="G22" s="88">
        <f t="shared" si="34"/>
        <v>1444.8</v>
      </c>
      <c r="H22" s="89">
        <f t="shared" si="35"/>
        <v>1444.8</v>
      </c>
      <c r="I22" s="3203">
        <v>0</v>
      </c>
      <c r="J22" s="3213"/>
      <c r="K22" s="3203">
        <v>0</v>
      </c>
      <c r="L22" s="3213"/>
      <c r="M22" s="3212">
        <v>1444.8</v>
      </c>
      <c r="N22" s="3213"/>
      <c r="O22" s="3213"/>
      <c r="P22" s="3213"/>
      <c r="Q22" s="3213"/>
      <c r="R22" s="3213"/>
      <c r="S22" s="3213"/>
      <c r="T22" s="3213"/>
      <c r="U22" s="3213"/>
      <c r="V22" s="3213"/>
      <c r="W22" s="3213"/>
      <c r="X22" s="3213"/>
      <c r="Y22" s="3213"/>
      <c r="Z22" s="3213"/>
      <c r="AA22" s="3213">
        <v>0</v>
      </c>
      <c r="AB22" s="3213"/>
      <c r="AC22" s="86">
        <f t="shared" si="36"/>
        <v>0</v>
      </c>
      <c r="AD22" s="1362"/>
      <c r="AE22" s="91"/>
      <c r="AF22" s="1395"/>
      <c r="AG22" s="91"/>
      <c r="AH22" s="91"/>
      <c r="AI22" s="91"/>
      <c r="AJ22" s="91"/>
      <c r="AK22" s="91"/>
      <c r="AL22" s="1362"/>
      <c r="AM22" s="91"/>
      <c r="AN22" s="1362"/>
      <c r="AO22" s="91"/>
      <c r="AP22" s="91"/>
      <c r="AQ22" s="91"/>
      <c r="AR22" s="91"/>
      <c r="AS22" s="91"/>
      <c r="AT22" s="92"/>
      <c r="AU22" s="93"/>
      <c r="AV22" s="1974" t="str">
        <f t="shared" si="37"/>
        <v>长安国用（2014）第00003号</v>
      </c>
      <c r="AW22" s="1974" t="str">
        <f t="shared" si="38"/>
        <v>《建设工程规划许可证》[建字第建管130100201800082号]</v>
      </c>
      <c r="AX22" s="1974" t="str">
        <f t="shared" si="39"/>
        <v>C-3#商业楼</v>
      </c>
      <c r="AY22" s="94">
        <f t="shared" si="40"/>
        <v>248.79</v>
      </c>
      <c r="AZ22" s="86">
        <f t="shared" si="41"/>
        <v>1444.8</v>
      </c>
      <c r="BA22" s="86">
        <f t="shared" si="42"/>
        <v>1444.8</v>
      </c>
      <c r="BB22" s="86">
        <f t="shared" si="43"/>
        <v>0</v>
      </c>
      <c r="BC22" s="86">
        <f t="shared" si="44"/>
        <v>0</v>
      </c>
      <c r="BD22" s="86">
        <f t="shared" si="45"/>
        <v>1444.8</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60.75" customHeight="1">
      <c r="A23" s="12" t="s">
        <v>3106</v>
      </c>
      <c r="B23" s="12" t="s">
        <v>3108</v>
      </c>
      <c r="C23" s="3208" t="s">
        <v>3103</v>
      </c>
      <c r="D23" s="3009" t="s">
        <v>1676</v>
      </c>
      <c r="E23" s="86">
        <f t="shared" si="33"/>
        <v>236.59</v>
      </c>
      <c r="F23" s="87"/>
      <c r="G23" s="88">
        <f t="shared" si="34"/>
        <v>1373.98</v>
      </c>
      <c r="H23" s="89">
        <f t="shared" si="35"/>
        <v>686.99</v>
      </c>
      <c r="I23" s="3203">
        <v>0</v>
      </c>
      <c r="J23" s="3213"/>
      <c r="K23" s="3203">
        <v>0</v>
      </c>
      <c r="L23" s="3213"/>
      <c r="M23" s="3212">
        <v>686.99</v>
      </c>
      <c r="N23" s="3213"/>
      <c r="O23" s="3213"/>
      <c r="P23" s="3213"/>
      <c r="Q23" s="3213"/>
      <c r="R23" s="3213"/>
      <c r="S23" s="3213"/>
      <c r="T23" s="3213"/>
      <c r="U23" s="3213"/>
      <c r="V23" s="3213"/>
      <c r="W23" s="3213"/>
      <c r="X23" s="3213"/>
      <c r="Y23" s="3213"/>
      <c r="Z23" s="3213"/>
      <c r="AA23" s="3213">
        <v>0</v>
      </c>
      <c r="AB23" s="3213"/>
      <c r="AC23" s="86">
        <f t="shared" si="36"/>
        <v>686.99</v>
      </c>
      <c r="AD23" s="91"/>
      <c r="AE23" s="91"/>
      <c r="AF23" s="1395"/>
      <c r="AG23" s="91"/>
      <c r="AH23" s="91"/>
      <c r="AI23" s="91"/>
      <c r="AJ23" s="91"/>
      <c r="AK23" s="91"/>
      <c r="AL23" s="1362">
        <f>1373.98-M23</f>
        <v>686.99</v>
      </c>
      <c r="AM23" s="91"/>
      <c r="AN23" s="1362"/>
      <c r="AO23" s="91"/>
      <c r="AP23" s="91"/>
      <c r="AQ23" s="91"/>
      <c r="AR23" s="91"/>
      <c r="AS23" s="91"/>
      <c r="AT23" s="92"/>
      <c r="AU23" s="93"/>
      <c r="AV23" s="1974" t="str">
        <f t="shared" si="37"/>
        <v>长安国用（2014）第00003号</v>
      </c>
      <c r="AW23" s="1974" t="str">
        <f t="shared" si="38"/>
        <v>《建设工程规划许可证》[建字第建管130100201800082号]</v>
      </c>
      <c r="AX23" s="1974" t="str">
        <f t="shared" si="39"/>
        <v>C-4#商业楼</v>
      </c>
      <c r="AY23" s="94">
        <f t="shared" si="40"/>
        <v>236.59</v>
      </c>
      <c r="AZ23" s="86">
        <f t="shared" si="41"/>
        <v>1373.98</v>
      </c>
      <c r="BA23" s="86">
        <f t="shared" si="42"/>
        <v>686.99</v>
      </c>
      <c r="BB23" s="86">
        <f t="shared" si="43"/>
        <v>0</v>
      </c>
      <c r="BC23" s="86">
        <f t="shared" si="44"/>
        <v>0</v>
      </c>
      <c r="BD23" s="86">
        <f t="shared" si="45"/>
        <v>686.99</v>
      </c>
      <c r="BE23" s="86">
        <f t="shared" si="46"/>
        <v>0</v>
      </c>
      <c r="BF23" s="86">
        <f t="shared" si="47"/>
        <v>0</v>
      </c>
      <c r="BG23" s="86">
        <f t="shared" si="48"/>
        <v>0</v>
      </c>
      <c r="BH23" s="86">
        <f t="shared" si="49"/>
        <v>0</v>
      </c>
      <c r="BI23" s="86">
        <f t="shared" si="50"/>
        <v>0</v>
      </c>
      <c r="BJ23" s="86">
        <f t="shared" si="51"/>
        <v>0</v>
      </c>
      <c r="BK23" s="86">
        <f t="shared" si="52"/>
        <v>0</v>
      </c>
      <c r="BL23" s="86">
        <f t="shared" si="53"/>
        <v>686.99</v>
      </c>
      <c r="BM23" s="86">
        <f t="shared" si="54"/>
        <v>0</v>
      </c>
      <c r="BN23" s="86">
        <f t="shared" si="55"/>
        <v>0</v>
      </c>
      <c r="BO23" s="86">
        <f t="shared" si="56"/>
        <v>0</v>
      </c>
      <c r="BP23" s="86">
        <f t="shared" si="57"/>
        <v>0</v>
      </c>
      <c r="BQ23" s="86">
        <f t="shared" si="58"/>
        <v>686.99</v>
      </c>
      <c r="BR23" s="86">
        <f t="shared" si="59"/>
        <v>0</v>
      </c>
      <c r="BS23" s="86">
        <f t="shared" si="60"/>
        <v>0</v>
      </c>
      <c r="BT23" s="95">
        <f t="shared" si="61"/>
        <v>0</v>
      </c>
    </row>
    <row r="24" spans="1:72" ht="85.5">
      <c r="A24" s="12" t="s">
        <v>3106</v>
      </c>
      <c r="B24" s="12" t="s">
        <v>3108</v>
      </c>
      <c r="C24" s="3214" t="s">
        <v>3104</v>
      </c>
      <c r="D24" s="80" t="s">
        <v>1676</v>
      </c>
      <c r="E24" s="86">
        <f t="shared" si="33"/>
        <v>4150.1499999999996</v>
      </c>
      <c r="F24" s="87"/>
      <c r="G24" s="88">
        <f t="shared" si="34"/>
        <v>24101.55</v>
      </c>
      <c r="H24" s="89">
        <f t="shared" si="35"/>
        <v>23721.78</v>
      </c>
      <c r="I24" s="3203">
        <v>0</v>
      </c>
      <c r="J24" s="3213"/>
      <c r="K24" s="3203">
        <v>23721.78</v>
      </c>
      <c r="L24" s="3213"/>
      <c r="M24" s="3213">
        <v>0</v>
      </c>
      <c r="N24" s="3213"/>
      <c r="O24" s="3212"/>
      <c r="P24" s="3213"/>
      <c r="Q24" s="3213"/>
      <c r="R24" s="3213"/>
      <c r="S24" s="3213"/>
      <c r="T24" s="3213"/>
      <c r="U24" s="3213"/>
      <c r="V24" s="3213"/>
      <c r="W24" s="3213"/>
      <c r="X24" s="3213"/>
      <c r="Y24" s="3213"/>
      <c r="Z24" s="3213"/>
      <c r="AA24" s="3213">
        <v>0</v>
      </c>
      <c r="AB24" s="3213"/>
      <c r="AC24" s="86">
        <f t="shared" si="36"/>
        <v>379.77000000000044</v>
      </c>
      <c r="AD24" s="91"/>
      <c r="AE24" s="91"/>
      <c r="AF24" s="1395"/>
      <c r="AG24" s="91"/>
      <c r="AH24" s="91"/>
      <c r="AI24" s="91"/>
      <c r="AJ24" s="91"/>
      <c r="AK24" s="91"/>
      <c r="AL24" s="91"/>
      <c r="AM24" s="91"/>
      <c r="AN24" s="91">
        <f>24101.55-K24</f>
        <v>379.77000000000044</v>
      </c>
      <c r="AO24" s="91"/>
      <c r="AP24" s="91"/>
      <c r="AQ24" s="91"/>
      <c r="AR24" s="91"/>
      <c r="AS24" s="91"/>
      <c r="AT24" s="92"/>
      <c r="AU24" s="93"/>
      <c r="AV24" s="1974" t="str">
        <f t="shared" si="37"/>
        <v>长安国用（2014）第00003号</v>
      </c>
      <c r="AW24" s="1974" t="str">
        <f t="shared" si="38"/>
        <v>《建设工程规划许可证》[建字第建管130100201800082号]</v>
      </c>
      <c r="AX24" s="1974" t="str">
        <f t="shared" si="39"/>
        <v>地下车库</v>
      </c>
      <c r="AY24" s="94">
        <f t="shared" si="40"/>
        <v>4150.1499999999996</v>
      </c>
      <c r="AZ24" s="86">
        <f t="shared" si="41"/>
        <v>24101.55</v>
      </c>
      <c r="BA24" s="86">
        <f t="shared" si="42"/>
        <v>23721.78</v>
      </c>
      <c r="BB24" s="86">
        <f t="shared" si="43"/>
        <v>0</v>
      </c>
      <c r="BC24" s="86">
        <f t="shared" si="44"/>
        <v>23721.78</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379.77000000000044</v>
      </c>
      <c r="BM24" s="86">
        <f t="shared" si="54"/>
        <v>0</v>
      </c>
      <c r="BN24" s="86">
        <f t="shared" si="55"/>
        <v>0</v>
      </c>
      <c r="BO24" s="86">
        <f t="shared" si="56"/>
        <v>0</v>
      </c>
      <c r="BP24" s="86">
        <f t="shared" si="57"/>
        <v>0</v>
      </c>
      <c r="BQ24" s="86">
        <f t="shared" si="58"/>
        <v>0</v>
      </c>
      <c r="BR24" s="86">
        <f t="shared" si="59"/>
        <v>379.77000000000044</v>
      </c>
      <c r="BS24" s="86">
        <f t="shared" si="60"/>
        <v>0</v>
      </c>
      <c r="BT24" s="95">
        <f t="shared" si="61"/>
        <v>0</v>
      </c>
    </row>
    <row r="25" spans="1:72" ht="85.5">
      <c r="A25" s="12" t="s">
        <v>3106</v>
      </c>
      <c r="B25" s="12" t="s">
        <v>3108</v>
      </c>
      <c r="C25" s="3214" t="s">
        <v>3105</v>
      </c>
      <c r="D25" s="80" t="s">
        <v>1676</v>
      </c>
      <c r="E25" s="86">
        <f t="shared" si="33"/>
        <v>5.0199999999999996</v>
      </c>
      <c r="F25" s="87"/>
      <c r="G25" s="88">
        <f t="shared" si="34"/>
        <v>29.14</v>
      </c>
      <c r="H25" s="89">
        <f t="shared" si="35"/>
        <v>0</v>
      </c>
      <c r="I25" s="3203">
        <v>0</v>
      </c>
      <c r="J25" s="3213"/>
      <c r="K25" s="3203">
        <v>0</v>
      </c>
      <c r="L25" s="3213"/>
      <c r="M25" s="3213">
        <v>0</v>
      </c>
      <c r="N25" s="3213"/>
      <c r="O25" s="3213"/>
      <c r="P25" s="3213"/>
      <c r="Q25" s="3213"/>
      <c r="R25" s="3213"/>
      <c r="S25" s="3213"/>
      <c r="T25" s="3213"/>
      <c r="U25" s="3213"/>
      <c r="V25" s="3213"/>
      <c r="W25" s="3213"/>
      <c r="X25" s="3213"/>
      <c r="Y25" s="3213"/>
      <c r="Z25" s="3213"/>
      <c r="AA25" s="3213">
        <v>0</v>
      </c>
      <c r="AB25" s="3213"/>
      <c r="AC25" s="86">
        <f t="shared" si="36"/>
        <v>29.14</v>
      </c>
      <c r="AD25" s="91"/>
      <c r="AE25" s="91"/>
      <c r="AF25" s="1395"/>
      <c r="AG25" s="91"/>
      <c r="AH25" s="91"/>
      <c r="AI25" s="91"/>
      <c r="AJ25" s="91"/>
      <c r="AK25" s="91"/>
      <c r="AL25" s="91">
        <v>29.14</v>
      </c>
      <c r="AM25" s="91"/>
      <c r="AN25" s="91"/>
      <c r="AO25" s="91"/>
      <c r="AP25" s="91"/>
      <c r="AQ25" s="91"/>
      <c r="AR25" s="91"/>
      <c r="AS25" s="91"/>
      <c r="AT25" s="92"/>
      <c r="AU25" s="93"/>
      <c r="AV25" s="1974" t="str">
        <f t="shared" si="37"/>
        <v>长安国用（2014）第00003号</v>
      </c>
      <c r="AW25" s="1974" t="str">
        <f t="shared" si="38"/>
        <v>《建设工程规划许可证》[建字第建管130100201800082号]</v>
      </c>
      <c r="AX25" s="1974" t="str">
        <f t="shared" si="39"/>
        <v>门卫室</v>
      </c>
      <c r="AY25" s="94">
        <f t="shared" si="40"/>
        <v>5.0199999999999996</v>
      </c>
      <c r="AZ25" s="86">
        <f t="shared" si="41"/>
        <v>29.14</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29.14</v>
      </c>
      <c r="BM25" s="86">
        <f t="shared" si="54"/>
        <v>0</v>
      </c>
      <c r="BN25" s="86">
        <f t="shared" si="55"/>
        <v>0</v>
      </c>
      <c r="BO25" s="86">
        <f t="shared" si="56"/>
        <v>0</v>
      </c>
      <c r="BP25" s="86">
        <f t="shared" si="57"/>
        <v>0</v>
      </c>
      <c r="BQ25" s="86">
        <f t="shared" si="58"/>
        <v>29.14</v>
      </c>
      <c r="BR25" s="86">
        <f t="shared" si="59"/>
        <v>0</v>
      </c>
      <c r="BS25" s="86">
        <f t="shared" si="60"/>
        <v>0</v>
      </c>
      <c r="BT25" s="95">
        <f t="shared" si="61"/>
        <v>0</v>
      </c>
    </row>
    <row r="26" spans="1:72" ht="15">
      <c r="A26" s="83"/>
      <c r="B26" s="3205"/>
      <c r="C26" s="3204"/>
      <c r="D26" s="80"/>
      <c r="E26" s="86">
        <f t="shared" si="33"/>
        <v>0</v>
      </c>
      <c r="F26" s="87"/>
      <c r="G26" s="88">
        <f t="shared" si="34"/>
        <v>0</v>
      </c>
      <c r="H26" s="89">
        <f t="shared" si="35"/>
        <v>0</v>
      </c>
      <c r="I26" s="3203"/>
      <c r="J26" s="3213"/>
      <c r="K26" s="3203"/>
      <c r="L26" s="3213"/>
      <c r="M26" s="3213"/>
      <c r="N26" s="3213"/>
      <c r="O26" s="3213"/>
      <c r="P26" s="3213"/>
      <c r="Q26" s="3213"/>
      <c r="R26" s="3213"/>
      <c r="S26" s="3213"/>
      <c r="T26" s="3213"/>
      <c r="U26" s="3213"/>
      <c r="V26" s="3213"/>
      <c r="W26" s="3213"/>
      <c r="X26" s="3213"/>
      <c r="Y26" s="3213"/>
      <c r="Z26" s="3213"/>
      <c r="AA26" s="3213"/>
      <c r="AB26" s="3213"/>
      <c r="AC26" s="86">
        <f t="shared" si="36"/>
        <v>0</v>
      </c>
      <c r="AD26" s="91"/>
      <c r="AE26" s="91"/>
      <c r="AF26" s="1395"/>
      <c r="AG26" s="91"/>
      <c r="AH26" s="91"/>
      <c r="AI26" s="91"/>
      <c r="AJ26" s="91"/>
      <c r="AK26" s="91"/>
      <c r="AL26" s="91"/>
      <c r="AM26" s="91"/>
      <c r="AN26" s="91"/>
      <c r="AO26" s="91"/>
      <c r="AP26" s="91"/>
      <c r="AQ26" s="91"/>
      <c r="AR26" s="91"/>
      <c r="AS26" s="91"/>
      <c r="AT26" s="92"/>
      <c r="AU26" s="93"/>
      <c r="AV26" s="1974">
        <f t="shared" si="37"/>
        <v>0</v>
      </c>
      <c r="AW26" s="1974">
        <f t="shared" si="38"/>
        <v>0</v>
      </c>
      <c r="AX26" s="197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
      <c r="A27" s="83"/>
      <c r="B27" s="3205"/>
      <c r="C27" s="3204"/>
      <c r="D27" s="80"/>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4">
        <f t="shared" si="37"/>
        <v>0</v>
      </c>
      <c r="AW27" s="1974">
        <f t="shared" si="38"/>
        <v>0</v>
      </c>
      <c r="AX27" s="197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
      <c r="A28" s="83"/>
      <c r="B28" s="3205"/>
      <c r="C28" s="3204"/>
      <c r="D28" s="80"/>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4">
        <f t="shared" si="37"/>
        <v>0</v>
      </c>
      <c r="AW28" s="1974">
        <f t="shared" si="38"/>
        <v>0</v>
      </c>
      <c r="AX28" s="197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
      <c r="A29" s="83"/>
      <c r="B29" s="3206"/>
      <c r="C29" s="3210"/>
      <c r="D29" s="80"/>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4">
        <f t="shared" si="37"/>
        <v>0</v>
      </c>
      <c r="AW29" s="1974">
        <f t="shared" si="38"/>
        <v>0</v>
      </c>
      <c r="AX29" s="197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
      <c r="A30" s="83"/>
      <c r="B30" s="3205"/>
      <c r="C30" s="3204"/>
      <c r="D30" s="80"/>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4">
        <f t="shared" si="37"/>
        <v>0</v>
      </c>
      <c r="AW30" s="1974">
        <f t="shared" si="38"/>
        <v>0</v>
      </c>
      <c r="AX30" s="197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
      <c r="A31" s="83"/>
      <c r="B31" s="3205"/>
      <c r="C31" s="3204"/>
      <c r="D31" s="80"/>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4">
        <f t="shared" si="37"/>
        <v>0</v>
      </c>
      <c r="AW31" s="1974">
        <f t="shared" si="38"/>
        <v>0</v>
      </c>
      <c r="AX31" s="197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
      <c r="A32" s="83"/>
      <c r="B32" s="3205"/>
      <c r="C32" s="3204"/>
      <c r="D32" s="80"/>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4">
        <f t="shared" si="37"/>
        <v>0</v>
      </c>
      <c r="AW32" s="1974">
        <f t="shared" si="38"/>
        <v>0</v>
      </c>
      <c r="AX32" s="197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
      <c r="A33" s="83"/>
      <c r="B33" s="3205"/>
      <c r="C33" s="3204"/>
      <c r="D33" s="80"/>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4">
        <f t="shared" si="37"/>
        <v>0</v>
      </c>
      <c r="AW33" s="1974">
        <f t="shared" si="38"/>
        <v>0</v>
      </c>
      <c r="AX33" s="197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
      <c r="A34" s="83"/>
      <c r="B34" s="3205"/>
      <c r="C34" s="3204"/>
      <c r="D34" s="80"/>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4">
        <f t="shared" si="37"/>
        <v>0</v>
      </c>
      <c r="AW34" s="1974">
        <f t="shared" si="38"/>
        <v>0</v>
      </c>
      <c r="AX34" s="197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80"/>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4">
        <f t="shared" si="37"/>
        <v>0</v>
      </c>
      <c r="AW35" s="1974">
        <f t="shared" si="38"/>
        <v>0</v>
      </c>
      <c r="AX35" s="197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80"/>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4">
        <f t="shared" si="37"/>
        <v>0</v>
      </c>
      <c r="AW36" s="1974">
        <f t="shared" si="38"/>
        <v>0</v>
      </c>
      <c r="AX36" s="197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80"/>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4">
        <f t="shared" si="37"/>
        <v>0</v>
      </c>
      <c r="AW37" s="1974">
        <f t="shared" si="38"/>
        <v>0</v>
      </c>
      <c r="AX37" s="197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80"/>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4">
        <f t="shared" si="37"/>
        <v>0</v>
      </c>
      <c r="AW38" s="1974">
        <f t="shared" si="38"/>
        <v>0</v>
      </c>
      <c r="AX38" s="197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80"/>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4">
        <f t="shared" si="37"/>
        <v>0</v>
      </c>
      <c r="AW39" s="1974">
        <f t="shared" si="38"/>
        <v>0</v>
      </c>
      <c r="AX39" s="197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80"/>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4">
        <f t="shared" si="37"/>
        <v>0</v>
      </c>
      <c r="AW40" s="1974">
        <f t="shared" si="38"/>
        <v>0</v>
      </c>
      <c r="AX40" s="197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80"/>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4">
        <f t="shared" si="37"/>
        <v>0</v>
      </c>
      <c r="AW41" s="1974">
        <f t="shared" si="38"/>
        <v>0</v>
      </c>
      <c r="AX41" s="197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80"/>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4">
        <f t="shared" si="37"/>
        <v>0</v>
      </c>
      <c r="AW42" s="1974">
        <f t="shared" si="38"/>
        <v>0</v>
      </c>
      <c r="AX42" s="197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80"/>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4">
        <f t="shared" si="37"/>
        <v>0</v>
      </c>
      <c r="AW43" s="1974">
        <f t="shared" si="38"/>
        <v>0</v>
      </c>
      <c r="AX43" s="197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80"/>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4">
        <f t="shared" si="37"/>
        <v>0</v>
      </c>
      <c r="AW44" s="1974">
        <f t="shared" si="38"/>
        <v>0</v>
      </c>
      <c r="AX44" s="197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80"/>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4">
        <f t="shared" si="37"/>
        <v>0</v>
      </c>
      <c r="AW45" s="1974">
        <f t="shared" si="38"/>
        <v>0</v>
      </c>
      <c r="AX45" s="197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80"/>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4">
        <f t="shared" si="37"/>
        <v>0</v>
      </c>
      <c r="AW46" s="1974">
        <f t="shared" si="38"/>
        <v>0</v>
      </c>
      <c r="AX46" s="197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80"/>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4">
        <f t="shared" si="37"/>
        <v>0</v>
      </c>
      <c r="AW47" s="1974">
        <f t="shared" si="38"/>
        <v>0</v>
      </c>
      <c r="AX47" s="197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80"/>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4">
        <f t="shared" si="37"/>
        <v>0</v>
      </c>
      <c r="AW48" s="1974">
        <f t="shared" si="38"/>
        <v>0</v>
      </c>
      <c r="AX48" s="197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80"/>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4">
        <f t="shared" si="37"/>
        <v>0</v>
      </c>
      <c r="AW49" s="1974">
        <f t="shared" si="38"/>
        <v>0</v>
      </c>
      <c r="AX49" s="197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80"/>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4">
        <f t="shared" si="37"/>
        <v>0</v>
      </c>
      <c r="AW50" s="1974">
        <f t="shared" si="38"/>
        <v>0</v>
      </c>
      <c r="AX50" s="197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80"/>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4">
        <f t="shared" si="37"/>
        <v>0</v>
      </c>
      <c r="AW51" s="1974">
        <f t="shared" si="38"/>
        <v>0</v>
      </c>
      <c r="AX51" s="197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80"/>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4">
        <f t="shared" si="37"/>
        <v>0</v>
      </c>
      <c r="AW52" s="1974">
        <f t="shared" si="38"/>
        <v>0</v>
      </c>
      <c r="AX52" s="197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80"/>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4">
        <f t="shared" si="37"/>
        <v>0</v>
      </c>
      <c r="AW53" s="1974">
        <f t="shared" si="38"/>
        <v>0</v>
      </c>
      <c r="AX53" s="197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80"/>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4">
        <f t="shared" si="37"/>
        <v>0</v>
      </c>
      <c r="AW54" s="1974">
        <f t="shared" si="38"/>
        <v>0</v>
      </c>
      <c r="AX54" s="197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80"/>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4">
        <f t="shared" si="37"/>
        <v>0</v>
      </c>
      <c r="AW55" s="1974">
        <f t="shared" si="38"/>
        <v>0</v>
      </c>
      <c r="AX55" s="197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4">
        <f t="shared" si="37"/>
        <v>0</v>
      </c>
      <c r="AW56" s="1974">
        <f t="shared" si="38"/>
        <v>0</v>
      </c>
      <c r="AX56" s="197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4">
        <f t="shared" si="37"/>
        <v>0</v>
      </c>
      <c r="AW57" s="1974">
        <f t="shared" si="38"/>
        <v>0</v>
      </c>
      <c r="AX57" s="197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4">
        <f t="shared" si="37"/>
        <v>0</v>
      </c>
      <c r="AW58" s="1974">
        <f t="shared" si="38"/>
        <v>0</v>
      </c>
      <c r="AX58" s="197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4">
        <f t="shared" si="37"/>
        <v>0</v>
      </c>
      <c r="AW59" s="1974">
        <f t="shared" si="38"/>
        <v>0</v>
      </c>
      <c r="AX59" s="197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4">
        <f t="shared" si="37"/>
        <v>0</v>
      </c>
      <c r="AW60" s="1974">
        <f t="shared" si="38"/>
        <v>0</v>
      </c>
      <c r="AX60" s="197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4">
        <f t="shared" si="37"/>
        <v>0</v>
      </c>
      <c r="AW61" s="1974">
        <f t="shared" si="38"/>
        <v>0</v>
      </c>
      <c r="AX61" s="197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4">
        <f t="shared" si="37"/>
        <v>0</v>
      </c>
      <c r="AW62" s="1974">
        <f t="shared" si="38"/>
        <v>0</v>
      </c>
      <c r="AX62" s="197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4">
        <f t="shared" si="37"/>
        <v>0</v>
      </c>
      <c r="AW63" s="1974">
        <f t="shared" si="38"/>
        <v>0</v>
      </c>
      <c r="AX63" s="197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4">
        <f t="shared" si="37"/>
        <v>0</v>
      </c>
      <c r="AW64" s="1974">
        <f t="shared" si="38"/>
        <v>0</v>
      </c>
      <c r="AX64" s="197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4">
        <f t="shared" si="37"/>
        <v>0</v>
      </c>
      <c r="AW65" s="1974">
        <f t="shared" si="38"/>
        <v>0</v>
      </c>
      <c r="AX65" s="197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4">
        <f t="shared" si="37"/>
        <v>0</v>
      </c>
      <c r="AW66" s="1974">
        <f t="shared" si="38"/>
        <v>0</v>
      </c>
      <c r="AX66" s="197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4">
        <f t="shared" si="37"/>
        <v>0</v>
      </c>
      <c r="AW67" s="1974">
        <f t="shared" si="38"/>
        <v>0</v>
      </c>
      <c r="AX67" s="197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4">
        <f t="shared" si="37"/>
        <v>0</v>
      </c>
      <c r="AW68" s="1974">
        <f t="shared" si="38"/>
        <v>0</v>
      </c>
      <c r="AX68" s="197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4">
        <f t="shared" si="37"/>
        <v>0</v>
      </c>
      <c r="AW69" s="1974">
        <f t="shared" si="38"/>
        <v>0</v>
      </c>
      <c r="AX69" s="197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4">
        <f t="shared" si="37"/>
        <v>0</v>
      </c>
      <c r="AW70" s="1974">
        <f t="shared" si="38"/>
        <v>0</v>
      </c>
      <c r="AX70" s="197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4">
        <f t="shared" si="37"/>
        <v>0</v>
      </c>
      <c r="AW71" s="1974">
        <f t="shared" si="38"/>
        <v>0</v>
      </c>
      <c r="AX71" s="197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4">
        <f t="shared" si="37"/>
        <v>0</v>
      </c>
      <c r="AW72" s="1974">
        <f t="shared" si="38"/>
        <v>0</v>
      </c>
      <c r="AX72" s="197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4">
        <f t="shared" si="37"/>
        <v>0</v>
      </c>
      <c r="AW73" s="1974">
        <f t="shared" si="38"/>
        <v>0</v>
      </c>
      <c r="AX73" s="197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4">
        <f t="shared" si="37"/>
        <v>0</v>
      </c>
      <c r="AW74" s="1974">
        <f t="shared" si="38"/>
        <v>0</v>
      </c>
      <c r="AX74" s="197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4">
        <f t="shared" si="37"/>
        <v>0</v>
      </c>
      <c r="AW75" s="1974">
        <f t="shared" si="38"/>
        <v>0</v>
      </c>
      <c r="AX75" s="197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4">
        <f t="shared" si="37"/>
        <v>0</v>
      </c>
      <c r="AW76" s="1974">
        <f t="shared" si="38"/>
        <v>0</v>
      </c>
      <c r="AX76" s="197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4">
        <f t="shared" si="37"/>
        <v>0</v>
      </c>
      <c r="AW77" s="1974">
        <f t="shared" si="38"/>
        <v>0</v>
      </c>
      <c r="AX77" s="197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4">
        <f t="shared" si="37"/>
        <v>0</v>
      </c>
      <c r="AW78" s="1974">
        <f t="shared" si="38"/>
        <v>0</v>
      </c>
      <c r="AX78" s="197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4">
        <f t="shared" si="37"/>
        <v>0</v>
      </c>
      <c r="AW79" s="1974">
        <f t="shared" si="38"/>
        <v>0</v>
      </c>
      <c r="AX79" s="197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4">
        <f t="shared" si="37"/>
        <v>0</v>
      </c>
      <c r="AW80" s="1974">
        <f t="shared" si="38"/>
        <v>0</v>
      </c>
      <c r="AX80" s="197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4">
        <f t="shared" si="37"/>
        <v>0</v>
      </c>
      <c r="AW81" s="1974">
        <f t="shared" si="38"/>
        <v>0</v>
      </c>
      <c r="AX81" s="197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4">
        <f t="shared" si="37"/>
        <v>0</v>
      </c>
      <c r="AW82" s="1974">
        <f t="shared" si="38"/>
        <v>0</v>
      </c>
      <c r="AX82" s="197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4">
        <f t="shared" si="37"/>
        <v>0</v>
      </c>
      <c r="AW83" s="1974">
        <f t="shared" si="38"/>
        <v>0</v>
      </c>
      <c r="AX83" s="197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4">
        <f t="shared" si="37"/>
        <v>0</v>
      </c>
      <c r="AW84" s="1974">
        <f t="shared" si="38"/>
        <v>0</v>
      </c>
      <c r="AX84" s="197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4">
        <f t="shared" si="37"/>
        <v>0</v>
      </c>
      <c r="AW85" s="1974">
        <f t="shared" si="38"/>
        <v>0</v>
      </c>
      <c r="AX85" s="197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4">
        <f t="shared" si="37"/>
        <v>0</v>
      </c>
      <c r="AW86" s="1974">
        <f t="shared" si="38"/>
        <v>0</v>
      </c>
      <c r="AX86" s="197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4">
        <f t="shared" si="37"/>
        <v>0</v>
      </c>
      <c r="AW87" s="1974">
        <f t="shared" si="38"/>
        <v>0</v>
      </c>
      <c r="AX87" s="197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4">
        <f t="shared" si="37"/>
        <v>0</v>
      </c>
      <c r="AW88" s="1974">
        <f t="shared" si="38"/>
        <v>0</v>
      </c>
      <c r="AX88" s="197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4">
        <f t="shared" si="37"/>
        <v>0</v>
      </c>
      <c r="AW89" s="1974">
        <f t="shared" si="38"/>
        <v>0</v>
      </c>
      <c r="AX89" s="197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4">
        <f t="shared" si="37"/>
        <v>0</v>
      </c>
      <c r="AW90" s="1974">
        <f t="shared" si="38"/>
        <v>0</v>
      </c>
      <c r="AX90" s="197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4">
        <f t="shared" si="37"/>
        <v>0</v>
      </c>
      <c r="AW91" s="1974">
        <f t="shared" si="38"/>
        <v>0</v>
      </c>
      <c r="AX91" s="197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4">
        <f t="shared" si="37"/>
        <v>0</v>
      </c>
      <c r="AW92" s="1974">
        <f t="shared" si="38"/>
        <v>0</v>
      </c>
      <c r="AX92" s="197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4">
        <f t="shared" si="37"/>
        <v>0</v>
      </c>
      <c r="AW93" s="1974">
        <f t="shared" si="38"/>
        <v>0</v>
      </c>
      <c r="AX93" s="197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4">
        <f t="shared" si="37"/>
        <v>0</v>
      </c>
      <c r="AW94" s="1974">
        <f t="shared" si="38"/>
        <v>0</v>
      </c>
      <c r="AX94" s="197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4">
        <f t="shared" si="37"/>
        <v>0</v>
      </c>
      <c r="AW95" s="1974">
        <f t="shared" si="38"/>
        <v>0</v>
      </c>
      <c r="AX95" s="197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4">
        <f t="shared" si="37"/>
        <v>0</v>
      </c>
      <c r="AW96" s="1974">
        <f t="shared" si="38"/>
        <v>0</v>
      </c>
      <c r="AX96" s="197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4">
        <f t="shared" si="37"/>
        <v>0</v>
      </c>
      <c r="AW97" s="1974">
        <f t="shared" si="38"/>
        <v>0</v>
      </c>
      <c r="AX97" s="197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4">
        <f t="shared" si="37"/>
        <v>0</v>
      </c>
      <c r="AW98" s="1974">
        <f t="shared" si="38"/>
        <v>0</v>
      </c>
      <c r="AX98" s="197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4">
        <f t="shared" si="37"/>
        <v>0</v>
      </c>
      <c r="AW99" s="1974">
        <f t="shared" si="38"/>
        <v>0</v>
      </c>
      <c r="AX99" s="197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4">
        <f t="shared" si="37"/>
        <v>0</v>
      </c>
      <c r="AW100" s="1974">
        <f t="shared" si="38"/>
        <v>0</v>
      </c>
      <c r="AX100" s="197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4">
        <f t="shared" si="37"/>
        <v>0</v>
      </c>
      <c r="AW101" s="1974">
        <f t="shared" si="38"/>
        <v>0</v>
      </c>
      <c r="AX101" s="197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4">
        <f t="shared" si="37"/>
        <v>0</v>
      </c>
      <c r="AW102" s="1974">
        <f t="shared" si="38"/>
        <v>0</v>
      </c>
      <c r="AX102" s="197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4">
        <f t="shared" si="37"/>
        <v>0</v>
      </c>
      <c r="AW103" s="1974">
        <f t="shared" si="38"/>
        <v>0</v>
      </c>
      <c r="AX103" s="197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4">
        <f t="shared" si="37"/>
        <v>0</v>
      </c>
      <c r="AW104" s="1974">
        <f t="shared" si="38"/>
        <v>0</v>
      </c>
      <c r="AX104" s="197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4">
        <f t="shared" si="37"/>
        <v>0</v>
      </c>
      <c r="AW105" s="1974">
        <f t="shared" si="38"/>
        <v>0</v>
      </c>
      <c r="AX105" s="197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4">
        <f t="shared" si="37"/>
        <v>0</v>
      </c>
      <c r="AW106" s="1974">
        <f t="shared" si="38"/>
        <v>0</v>
      </c>
      <c r="AX106" s="197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4">
        <f t="shared" si="37"/>
        <v>0</v>
      </c>
      <c r="AW107" s="1974">
        <f t="shared" si="38"/>
        <v>0</v>
      </c>
      <c r="AX107" s="197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4">
        <f t="shared" si="37"/>
        <v>0</v>
      </c>
      <c r="AW108" s="1974">
        <f t="shared" si="38"/>
        <v>0</v>
      </c>
      <c r="AX108" s="197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4">
        <f t="shared" si="37"/>
        <v>0</v>
      </c>
      <c r="AW109" s="1974">
        <f t="shared" si="38"/>
        <v>0</v>
      </c>
      <c r="AX109" s="197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4">
        <f t="shared" si="37"/>
        <v>0</v>
      </c>
      <c r="AW110" s="1974">
        <f t="shared" si="38"/>
        <v>0</v>
      </c>
      <c r="AX110" s="197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4">
        <f t="shared" si="37"/>
        <v>0</v>
      </c>
      <c r="AW111" s="1974">
        <f t="shared" si="38"/>
        <v>0</v>
      </c>
      <c r="AX111" s="197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4">
        <f t="shared" si="37"/>
        <v>0</v>
      </c>
      <c r="AW112" s="1974">
        <f t="shared" si="38"/>
        <v>0</v>
      </c>
      <c r="AX112" s="197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80"/>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4">
        <f t="shared" ref="AV113:AV144" si="88">A113</f>
        <v>0</v>
      </c>
      <c r="AW113" s="1974">
        <f t="shared" ref="AW113:AW144" si="89">B113</f>
        <v>0</v>
      </c>
      <c r="AX113" s="197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80"/>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4">
        <f t="shared" si="88"/>
        <v>0</v>
      </c>
      <c r="AW114" s="1974">
        <f t="shared" si="89"/>
        <v>0</v>
      </c>
      <c r="AX114" s="197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80"/>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4">
        <f t="shared" si="88"/>
        <v>0</v>
      </c>
      <c r="AW115" s="1974">
        <f t="shared" si="89"/>
        <v>0</v>
      </c>
      <c r="AX115" s="197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80"/>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4">
        <f t="shared" si="88"/>
        <v>0</v>
      </c>
      <c r="AW116" s="1974">
        <f t="shared" si="89"/>
        <v>0</v>
      </c>
      <c r="AX116" s="197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80"/>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4">
        <f t="shared" si="88"/>
        <v>0</v>
      </c>
      <c r="AW117" s="1974">
        <f t="shared" si="89"/>
        <v>0</v>
      </c>
      <c r="AX117" s="197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80"/>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4">
        <f t="shared" si="88"/>
        <v>0</v>
      </c>
      <c r="AW118" s="1974">
        <f t="shared" si="89"/>
        <v>0</v>
      </c>
      <c r="AX118" s="197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80"/>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4">
        <f t="shared" si="88"/>
        <v>0</v>
      </c>
      <c r="AW119" s="1974">
        <f t="shared" si="89"/>
        <v>0</v>
      </c>
      <c r="AX119" s="197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80"/>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4">
        <f t="shared" si="88"/>
        <v>0</v>
      </c>
      <c r="AW120" s="1974">
        <f t="shared" si="89"/>
        <v>0</v>
      </c>
      <c r="AX120" s="197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80"/>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4">
        <f t="shared" si="88"/>
        <v>0</v>
      </c>
      <c r="AW121" s="1974">
        <f t="shared" si="89"/>
        <v>0</v>
      </c>
      <c r="AX121" s="197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80"/>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4">
        <f t="shared" si="88"/>
        <v>0</v>
      </c>
      <c r="AW122" s="1974">
        <f t="shared" si="89"/>
        <v>0</v>
      </c>
      <c r="AX122" s="197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80"/>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4">
        <f t="shared" si="88"/>
        <v>0</v>
      </c>
      <c r="AW123" s="1974">
        <f t="shared" si="89"/>
        <v>0</v>
      </c>
      <c r="AX123" s="197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80"/>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4">
        <f t="shared" si="88"/>
        <v>0</v>
      </c>
      <c r="AW124" s="1974">
        <f t="shared" si="89"/>
        <v>0</v>
      </c>
      <c r="AX124" s="197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80"/>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4">
        <f t="shared" si="88"/>
        <v>0</v>
      </c>
      <c r="AW125" s="1974">
        <f t="shared" si="89"/>
        <v>0</v>
      </c>
      <c r="AX125" s="197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80"/>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4">
        <f t="shared" si="88"/>
        <v>0</v>
      </c>
      <c r="AW126" s="1974">
        <f t="shared" si="89"/>
        <v>0</v>
      </c>
      <c r="AX126" s="197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80"/>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4">
        <f t="shared" si="88"/>
        <v>0</v>
      </c>
      <c r="AW127" s="1974">
        <f t="shared" si="89"/>
        <v>0</v>
      </c>
      <c r="AX127" s="197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80"/>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4">
        <f t="shared" si="88"/>
        <v>0</v>
      </c>
      <c r="AW128" s="1974">
        <f t="shared" si="89"/>
        <v>0</v>
      </c>
      <c r="AX128" s="197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80"/>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4">
        <f t="shared" si="88"/>
        <v>0</v>
      </c>
      <c r="AW129" s="1974">
        <f t="shared" si="89"/>
        <v>0</v>
      </c>
      <c r="AX129" s="197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80"/>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4">
        <f t="shared" si="88"/>
        <v>0</v>
      </c>
      <c r="AW130" s="1974">
        <f t="shared" si="89"/>
        <v>0</v>
      </c>
      <c r="AX130" s="197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80"/>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4">
        <f t="shared" si="88"/>
        <v>0</v>
      </c>
      <c r="AW131" s="1974">
        <f t="shared" si="89"/>
        <v>0</v>
      </c>
      <c r="AX131" s="197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80"/>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4">
        <f t="shared" si="88"/>
        <v>0</v>
      </c>
      <c r="AW132" s="1974">
        <f t="shared" si="89"/>
        <v>0</v>
      </c>
      <c r="AX132" s="197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80"/>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4">
        <f t="shared" si="88"/>
        <v>0</v>
      </c>
      <c r="AW133" s="1974">
        <f t="shared" si="89"/>
        <v>0</v>
      </c>
      <c r="AX133" s="197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80"/>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4">
        <f t="shared" si="88"/>
        <v>0</v>
      </c>
      <c r="AW134" s="1974">
        <f t="shared" si="89"/>
        <v>0</v>
      </c>
      <c r="AX134" s="197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80"/>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4">
        <f t="shared" si="88"/>
        <v>0</v>
      </c>
      <c r="AW135" s="1974">
        <f t="shared" si="89"/>
        <v>0</v>
      </c>
      <c r="AX135" s="197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80"/>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4">
        <f t="shared" si="88"/>
        <v>0</v>
      </c>
      <c r="AW136" s="1974">
        <f t="shared" si="89"/>
        <v>0</v>
      </c>
      <c r="AX136" s="197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80"/>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4">
        <f t="shared" si="88"/>
        <v>0</v>
      </c>
      <c r="AW137" s="1974">
        <f t="shared" si="89"/>
        <v>0</v>
      </c>
      <c r="AX137" s="197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80"/>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4">
        <f t="shared" si="88"/>
        <v>0</v>
      </c>
      <c r="AW138" s="1974">
        <f t="shared" si="89"/>
        <v>0</v>
      </c>
      <c r="AX138" s="197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80"/>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4">
        <f t="shared" si="88"/>
        <v>0</v>
      </c>
      <c r="AW139" s="1974">
        <f t="shared" si="89"/>
        <v>0</v>
      </c>
      <c r="AX139" s="197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80"/>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4">
        <f t="shared" si="88"/>
        <v>0</v>
      </c>
      <c r="AW140" s="1974">
        <f t="shared" si="89"/>
        <v>0</v>
      </c>
      <c r="AX140" s="197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80"/>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4">
        <f t="shared" si="88"/>
        <v>0</v>
      </c>
      <c r="AW141" s="1974">
        <f t="shared" si="89"/>
        <v>0</v>
      </c>
      <c r="AX141" s="197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80"/>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4">
        <f t="shared" si="88"/>
        <v>0</v>
      </c>
      <c r="AW142" s="1974">
        <f t="shared" si="89"/>
        <v>0</v>
      </c>
      <c r="AX142" s="197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80"/>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4">
        <f t="shared" si="88"/>
        <v>0</v>
      </c>
      <c r="AW143" s="1974">
        <f t="shared" si="89"/>
        <v>0</v>
      </c>
      <c r="AX143" s="197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80"/>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4">
        <f t="shared" si="88"/>
        <v>0</v>
      </c>
      <c r="AW144" s="1974">
        <f t="shared" si="89"/>
        <v>0</v>
      </c>
      <c r="AX144" s="197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80"/>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4">
        <f t="shared" ref="AV145:AV176" si="117">A145</f>
        <v>0</v>
      </c>
      <c r="AW145" s="1974">
        <f t="shared" ref="AW145:AW176" si="118">B145</f>
        <v>0</v>
      </c>
      <c r="AX145" s="197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80"/>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4">
        <f t="shared" si="117"/>
        <v>0</v>
      </c>
      <c r="AW146" s="1974">
        <f t="shared" si="118"/>
        <v>0</v>
      </c>
      <c r="AX146" s="197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80"/>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4">
        <f t="shared" si="117"/>
        <v>0</v>
      </c>
      <c r="AW147" s="1974">
        <f t="shared" si="118"/>
        <v>0</v>
      </c>
      <c r="AX147" s="197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4">
        <f t="shared" si="117"/>
        <v>0</v>
      </c>
      <c r="AW148" s="1974">
        <f t="shared" si="118"/>
        <v>0</v>
      </c>
      <c r="AX148" s="197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4">
        <f t="shared" si="117"/>
        <v>0</v>
      </c>
      <c r="AW149" s="1974">
        <f t="shared" si="118"/>
        <v>0</v>
      </c>
      <c r="AX149" s="197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4">
        <f t="shared" si="117"/>
        <v>0</v>
      </c>
      <c r="AW150" s="1974">
        <f t="shared" si="118"/>
        <v>0</v>
      </c>
      <c r="AX150" s="197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4">
        <f t="shared" si="117"/>
        <v>0</v>
      </c>
      <c r="AW151" s="1974">
        <f t="shared" si="118"/>
        <v>0</v>
      </c>
      <c r="AX151" s="197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4">
        <f t="shared" si="117"/>
        <v>0</v>
      </c>
      <c r="AW152" s="1974">
        <f t="shared" si="118"/>
        <v>0</v>
      </c>
      <c r="AX152" s="197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4">
        <f t="shared" si="117"/>
        <v>0</v>
      </c>
      <c r="AW153" s="1974">
        <f t="shared" si="118"/>
        <v>0</v>
      </c>
      <c r="AX153" s="197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4">
        <f t="shared" si="117"/>
        <v>0</v>
      </c>
      <c r="AW154" s="1974">
        <f t="shared" si="118"/>
        <v>0</v>
      </c>
      <c r="AX154" s="197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4">
        <f t="shared" si="117"/>
        <v>0</v>
      </c>
      <c r="AW155" s="1974">
        <f t="shared" si="118"/>
        <v>0</v>
      </c>
      <c r="AX155" s="197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4">
        <f t="shared" si="117"/>
        <v>0</v>
      </c>
      <c r="AW156" s="1974">
        <f t="shared" si="118"/>
        <v>0</v>
      </c>
      <c r="AX156" s="197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4">
        <f t="shared" si="117"/>
        <v>0</v>
      </c>
      <c r="AW157" s="1974">
        <f t="shared" si="118"/>
        <v>0</v>
      </c>
      <c r="AX157" s="197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4">
        <f t="shared" si="117"/>
        <v>0</v>
      </c>
      <c r="AW158" s="1974">
        <f t="shared" si="118"/>
        <v>0</v>
      </c>
      <c r="AX158" s="197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4">
        <f t="shared" si="117"/>
        <v>0</v>
      </c>
      <c r="AW159" s="1974">
        <f t="shared" si="118"/>
        <v>0</v>
      </c>
      <c r="AX159" s="197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4">
        <f t="shared" si="117"/>
        <v>0</v>
      </c>
      <c r="AW160" s="1974">
        <f t="shared" si="118"/>
        <v>0</v>
      </c>
      <c r="AX160" s="197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4">
        <f t="shared" si="117"/>
        <v>0</v>
      </c>
      <c r="AW161" s="1974">
        <f t="shared" si="118"/>
        <v>0</v>
      </c>
      <c r="AX161" s="197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4">
        <f t="shared" si="117"/>
        <v>0</v>
      </c>
      <c r="AW162" s="1974">
        <f t="shared" si="118"/>
        <v>0</v>
      </c>
      <c r="AX162" s="197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4">
        <f t="shared" si="117"/>
        <v>0</v>
      </c>
      <c r="AW163" s="1974">
        <f t="shared" si="118"/>
        <v>0</v>
      </c>
      <c r="AX163" s="197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4">
        <f t="shared" si="117"/>
        <v>0</v>
      </c>
      <c r="AW164" s="1974">
        <f t="shared" si="118"/>
        <v>0</v>
      </c>
      <c r="AX164" s="197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4">
        <f t="shared" si="117"/>
        <v>0</v>
      </c>
      <c r="AW165" s="1974">
        <f t="shared" si="118"/>
        <v>0</v>
      </c>
      <c r="AX165" s="197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4">
        <f t="shared" si="117"/>
        <v>0</v>
      </c>
      <c r="AW166" s="1974">
        <f t="shared" si="118"/>
        <v>0</v>
      </c>
      <c r="AX166" s="197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4">
        <f t="shared" si="117"/>
        <v>0</v>
      </c>
      <c r="AW167" s="1974">
        <f t="shared" si="118"/>
        <v>0</v>
      </c>
      <c r="AX167" s="197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4">
        <f t="shared" si="117"/>
        <v>0</v>
      </c>
      <c r="AW168" s="1974">
        <f t="shared" si="118"/>
        <v>0</v>
      </c>
      <c r="AX168" s="197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4">
        <f t="shared" si="117"/>
        <v>0</v>
      </c>
      <c r="AW169" s="1974">
        <f t="shared" si="118"/>
        <v>0</v>
      </c>
      <c r="AX169" s="197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4">
        <f t="shared" si="117"/>
        <v>0</v>
      </c>
      <c r="AW170" s="1974">
        <f t="shared" si="118"/>
        <v>0</v>
      </c>
      <c r="AX170" s="197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4">
        <f t="shared" si="117"/>
        <v>0</v>
      </c>
      <c r="AW171" s="1974">
        <f t="shared" si="118"/>
        <v>0</v>
      </c>
      <c r="AX171" s="197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4">
        <f t="shared" si="117"/>
        <v>0</v>
      </c>
      <c r="AW172" s="1974">
        <f t="shared" si="118"/>
        <v>0</v>
      </c>
      <c r="AX172" s="197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4">
        <f t="shared" si="117"/>
        <v>0</v>
      </c>
      <c r="AW173" s="1974">
        <f t="shared" si="118"/>
        <v>0</v>
      </c>
      <c r="AX173" s="197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4">
        <f t="shared" si="117"/>
        <v>0</v>
      </c>
      <c r="AW174" s="1974">
        <f t="shared" si="118"/>
        <v>0</v>
      </c>
      <c r="AX174" s="197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4">
        <f t="shared" si="117"/>
        <v>0</v>
      </c>
      <c r="AW175" s="1974">
        <f t="shared" si="118"/>
        <v>0</v>
      </c>
      <c r="AX175" s="197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4">
        <f t="shared" si="117"/>
        <v>0</v>
      </c>
      <c r="AW176" s="1974">
        <f t="shared" si="118"/>
        <v>0</v>
      </c>
      <c r="AX176" s="197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4">
        <f t="shared" ref="AV177:AV204" si="146">A177</f>
        <v>0</v>
      </c>
      <c r="AW177" s="1974">
        <f t="shared" ref="AW177:AW204" si="147">B177</f>
        <v>0</v>
      </c>
      <c r="AX177" s="197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4">
        <f t="shared" si="146"/>
        <v>0</v>
      </c>
      <c r="AW178" s="1974">
        <f t="shared" si="147"/>
        <v>0</v>
      </c>
      <c r="AX178" s="197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4">
        <f t="shared" si="146"/>
        <v>0</v>
      </c>
      <c r="AW179" s="1974">
        <f t="shared" si="147"/>
        <v>0</v>
      </c>
      <c r="AX179" s="197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4">
        <f t="shared" si="146"/>
        <v>0</v>
      </c>
      <c r="AW180" s="1974">
        <f t="shared" si="147"/>
        <v>0</v>
      </c>
      <c r="AX180" s="197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4">
        <f t="shared" si="146"/>
        <v>0</v>
      </c>
      <c r="AW181" s="1974">
        <f t="shared" si="147"/>
        <v>0</v>
      </c>
      <c r="AX181" s="197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4">
        <f t="shared" si="146"/>
        <v>0</v>
      </c>
      <c r="AW182" s="1974">
        <f t="shared" si="147"/>
        <v>0</v>
      </c>
      <c r="AX182" s="197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4">
        <f t="shared" si="146"/>
        <v>0</v>
      </c>
      <c r="AW183" s="1974">
        <f t="shared" si="147"/>
        <v>0</v>
      </c>
      <c r="AX183" s="197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4">
        <f t="shared" si="146"/>
        <v>0</v>
      </c>
      <c r="AW184" s="1974">
        <f t="shared" si="147"/>
        <v>0</v>
      </c>
      <c r="AX184" s="197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4">
        <f t="shared" si="146"/>
        <v>0</v>
      </c>
      <c r="AW185" s="1974">
        <f t="shared" si="147"/>
        <v>0</v>
      </c>
      <c r="AX185" s="197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4">
        <f t="shared" si="146"/>
        <v>0</v>
      </c>
      <c r="AW186" s="1974">
        <f t="shared" si="147"/>
        <v>0</v>
      </c>
      <c r="AX186" s="197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4">
        <f t="shared" si="146"/>
        <v>0</v>
      </c>
      <c r="AW187" s="1974">
        <f t="shared" si="147"/>
        <v>0</v>
      </c>
      <c r="AX187" s="197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4">
        <f t="shared" si="146"/>
        <v>0</v>
      </c>
      <c r="AW188" s="1974">
        <f t="shared" si="147"/>
        <v>0</v>
      </c>
      <c r="AX188" s="197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4">
        <f t="shared" si="146"/>
        <v>0</v>
      </c>
      <c r="AW189" s="1974">
        <f t="shared" si="147"/>
        <v>0</v>
      </c>
      <c r="AX189" s="197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4">
        <f t="shared" si="146"/>
        <v>0</v>
      </c>
      <c r="AW190" s="1974">
        <f t="shared" si="147"/>
        <v>0</v>
      </c>
      <c r="AX190" s="197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4">
        <f t="shared" si="146"/>
        <v>0</v>
      </c>
      <c r="AW191" s="1974">
        <f t="shared" si="147"/>
        <v>0</v>
      </c>
      <c r="AX191" s="197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4">
        <f t="shared" si="146"/>
        <v>0</v>
      </c>
      <c r="AW192" s="1974">
        <f t="shared" si="147"/>
        <v>0</v>
      </c>
      <c r="AX192" s="197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4">
        <f t="shared" si="146"/>
        <v>0</v>
      </c>
      <c r="AW193" s="1974">
        <f t="shared" si="147"/>
        <v>0</v>
      </c>
      <c r="AX193" s="197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4">
        <f t="shared" si="146"/>
        <v>0</v>
      </c>
      <c r="AW194" s="1974">
        <f t="shared" si="147"/>
        <v>0</v>
      </c>
      <c r="AX194" s="197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4">
        <f t="shared" si="146"/>
        <v>0</v>
      </c>
      <c r="AW195" s="1974">
        <f t="shared" si="147"/>
        <v>0</v>
      </c>
      <c r="AX195" s="197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4">
        <f t="shared" si="146"/>
        <v>0</v>
      </c>
      <c r="AW196" s="1974">
        <f t="shared" si="147"/>
        <v>0</v>
      </c>
      <c r="AX196" s="197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4">
        <f t="shared" si="146"/>
        <v>0</v>
      </c>
      <c r="AW197" s="1974">
        <f t="shared" si="147"/>
        <v>0</v>
      </c>
      <c r="AX197" s="197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4">
        <f t="shared" si="146"/>
        <v>0</v>
      </c>
      <c r="AW198" s="1974">
        <f t="shared" si="147"/>
        <v>0</v>
      </c>
      <c r="AX198" s="197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4">
        <f t="shared" si="146"/>
        <v>0</v>
      </c>
      <c r="AW199" s="1974">
        <f t="shared" si="147"/>
        <v>0</v>
      </c>
      <c r="AX199" s="197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4">
        <f t="shared" si="146"/>
        <v>0</v>
      </c>
      <c r="AW200" s="1974">
        <f t="shared" si="147"/>
        <v>0</v>
      </c>
      <c r="AX200" s="197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4">
        <f t="shared" si="146"/>
        <v>0</v>
      </c>
      <c r="AW201" s="1974">
        <f t="shared" si="147"/>
        <v>0</v>
      </c>
      <c r="AX201" s="197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4">
        <f t="shared" si="146"/>
        <v>0</v>
      </c>
      <c r="AW202" s="1974">
        <f t="shared" si="147"/>
        <v>0</v>
      </c>
      <c r="AX202" s="197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4">
        <f t="shared" si="146"/>
        <v>0</v>
      </c>
      <c r="AW203" s="1974">
        <f t="shared" si="147"/>
        <v>0</v>
      </c>
      <c r="AX203" s="197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4">
        <f t="shared" si="146"/>
        <v>0</v>
      </c>
      <c r="AW204" s="1974">
        <f t="shared" si="147"/>
        <v>0</v>
      </c>
      <c r="AX204" s="197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80"/>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4">
        <f t="shared" ref="AV205:AV296" si="153">A205</f>
        <v>0</v>
      </c>
      <c r="AW205" s="1974">
        <f t="shared" ref="AW205:AW296" si="154">B205</f>
        <v>0</v>
      </c>
      <c r="AX205" s="197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80"/>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4">
        <f t="shared" si="153"/>
        <v>0</v>
      </c>
      <c r="AW206" s="1974">
        <f t="shared" si="154"/>
        <v>0</v>
      </c>
      <c r="AX206" s="197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80"/>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4">
        <f t="shared" si="153"/>
        <v>0</v>
      </c>
      <c r="AW207" s="1974">
        <f t="shared" si="154"/>
        <v>0</v>
      </c>
      <c r="AX207" s="197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80"/>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4">
        <f t="shared" si="153"/>
        <v>0</v>
      </c>
      <c r="AW208" s="1974">
        <f t="shared" si="154"/>
        <v>0</v>
      </c>
      <c r="AX208" s="197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80"/>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4">
        <f t="shared" si="153"/>
        <v>0</v>
      </c>
      <c r="AW209" s="1974">
        <f t="shared" si="154"/>
        <v>0</v>
      </c>
      <c r="AX209" s="197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80"/>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4">
        <f t="shared" si="153"/>
        <v>0</v>
      </c>
      <c r="AW210" s="1974">
        <f t="shared" si="154"/>
        <v>0</v>
      </c>
      <c r="AX210" s="197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80"/>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4">
        <f t="shared" si="153"/>
        <v>0</v>
      </c>
      <c r="AW211" s="1974">
        <f t="shared" si="154"/>
        <v>0</v>
      </c>
      <c r="AX211" s="197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80"/>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4">
        <f t="shared" si="153"/>
        <v>0</v>
      </c>
      <c r="AW212" s="1974">
        <f t="shared" si="154"/>
        <v>0</v>
      </c>
      <c r="AX212" s="197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80"/>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4">
        <f t="shared" si="153"/>
        <v>0</v>
      </c>
      <c r="AW213" s="1974">
        <f t="shared" si="154"/>
        <v>0</v>
      </c>
      <c r="AX213" s="197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80"/>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4">
        <f t="shared" si="153"/>
        <v>0</v>
      </c>
      <c r="AW214" s="1974">
        <f t="shared" si="154"/>
        <v>0</v>
      </c>
      <c r="AX214" s="197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80"/>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4">
        <f t="shared" si="153"/>
        <v>0</v>
      </c>
      <c r="AW215" s="1974">
        <f t="shared" si="154"/>
        <v>0</v>
      </c>
      <c r="AX215" s="197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80"/>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4">
        <f t="shared" si="153"/>
        <v>0</v>
      </c>
      <c r="AW216" s="1974">
        <f t="shared" si="154"/>
        <v>0</v>
      </c>
      <c r="AX216" s="197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80"/>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4">
        <f t="shared" si="153"/>
        <v>0</v>
      </c>
      <c r="AW217" s="1974">
        <f t="shared" si="154"/>
        <v>0</v>
      </c>
      <c r="AX217" s="197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80"/>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4">
        <f t="shared" si="153"/>
        <v>0</v>
      </c>
      <c r="AW218" s="1974">
        <f t="shared" si="154"/>
        <v>0</v>
      </c>
      <c r="AX218" s="197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80"/>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4">
        <f t="shared" si="153"/>
        <v>0</v>
      </c>
      <c r="AW219" s="1974">
        <f t="shared" si="154"/>
        <v>0</v>
      </c>
      <c r="AX219" s="197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80"/>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4">
        <f t="shared" si="153"/>
        <v>0</v>
      </c>
      <c r="AW220" s="1974">
        <f t="shared" si="154"/>
        <v>0</v>
      </c>
      <c r="AX220" s="197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80"/>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4">
        <f t="shared" si="153"/>
        <v>0</v>
      </c>
      <c r="AW221" s="1974">
        <f t="shared" si="154"/>
        <v>0</v>
      </c>
      <c r="AX221" s="197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80"/>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4">
        <f t="shared" si="153"/>
        <v>0</v>
      </c>
      <c r="AW222" s="1974">
        <f t="shared" si="154"/>
        <v>0</v>
      </c>
      <c r="AX222" s="197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80"/>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4">
        <f t="shared" si="153"/>
        <v>0</v>
      </c>
      <c r="AW223" s="1974">
        <f t="shared" si="154"/>
        <v>0</v>
      </c>
      <c r="AX223" s="197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80"/>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4">
        <f t="shared" si="153"/>
        <v>0</v>
      </c>
      <c r="AW224" s="1974">
        <f t="shared" si="154"/>
        <v>0</v>
      </c>
      <c r="AX224" s="197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80"/>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4">
        <f t="shared" si="153"/>
        <v>0</v>
      </c>
      <c r="AW225" s="1974">
        <f t="shared" si="154"/>
        <v>0</v>
      </c>
      <c r="AX225" s="197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80"/>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4">
        <f t="shared" si="153"/>
        <v>0</v>
      </c>
      <c r="AW226" s="1974">
        <f t="shared" si="154"/>
        <v>0</v>
      </c>
      <c r="AX226" s="197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80"/>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4">
        <f t="shared" si="153"/>
        <v>0</v>
      </c>
      <c r="AW227" s="1974">
        <f t="shared" si="154"/>
        <v>0</v>
      </c>
      <c r="AX227" s="197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80"/>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4">
        <f t="shared" si="153"/>
        <v>0</v>
      </c>
      <c r="AW228" s="1974">
        <f t="shared" si="154"/>
        <v>0</v>
      </c>
      <c r="AX228" s="197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80"/>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4">
        <f t="shared" si="153"/>
        <v>0</v>
      </c>
      <c r="AW229" s="1974">
        <f t="shared" si="154"/>
        <v>0</v>
      </c>
      <c r="AX229" s="197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80"/>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4">
        <f t="shared" si="153"/>
        <v>0</v>
      </c>
      <c r="AW230" s="1974">
        <f t="shared" si="154"/>
        <v>0</v>
      </c>
      <c r="AX230" s="197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80"/>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4">
        <f t="shared" si="153"/>
        <v>0</v>
      </c>
      <c r="AW231" s="1974">
        <f t="shared" si="154"/>
        <v>0</v>
      </c>
      <c r="AX231" s="197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80"/>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4">
        <f t="shared" si="153"/>
        <v>0</v>
      </c>
      <c r="AW232" s="1974">
        <f t="shared" si="154"/>
        <v>0</v>
      </c>
      <c r="AX232" s="197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80"/>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4">
        <f t="shared" si="153"/>
        <v>0</v>
      </c>
      <c r="AW233" s="1974">
        <f t="shared" si="154"/>
        <v>0</v>
      </c>
      <c r="AX233" s="197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80"/>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4">
        <f t="shared" si="153"/>
        <v>0</v>
      </c>
      <c r="AW234" s="1974">
        <f t="shared" si="154"/>
        <v>0</v>
      </c>
      <c r="AX234" s="197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80"/>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4">
        <f t="shared" si="153"/>
        <v>0</v>
      </c>
      <c r="AW235" s="1974">
        <f t="shared" si="154"/>
        <v>0</v>
      </c>
      <c r="AX235" s="197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80"/>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4">
        <f t="shared" si="153"/>
        <v>0</v>
      </c>
      <c r="AW236" s="1974">
        <f t="shared" si="154"/>
        <v>0</v>
      </c>
      <c r="AX236" s="197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80"/>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4">
        <f t="shared" si="153"/>
        <v>0</v>
      </c>
      <c r="AW237" s="1974">
        <f t="shared" si="154"/>
        <v>0</v>
      </c>
      <c r="AX237" s="197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80"/>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4">
        <f t="shared" si="153"/>
        <v>0</v>
      </c>
      <c r="AW238" s="1974">
        <f t="shared" si="154"/>
        <v>0</v>
      </c>
      <c r="AX238" s="197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80"/>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4">
        <f t="shared" si="153"/>
        <v>0</v>
      </c>
      <c r="AW239" s="1974">
        <f t="shared" si="154"/>
        <v>0</v>
      </c>
      <c r="AX239" s="197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4">
        <f t="shared" si="153"/>
        <v>0</v>
      </c>
      <c r="AW240" s="1974">
        <f t="shared" si="154"/>
        <v>0</v>
      </c>
      <c r="AX240" s="197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4">
        <f t="shared" si="153"/>
        <v>0</v>
      </c>
      <c r="AW241" s="1974">
        <f t="shared" si="154"/>
        <v>0</v>
      </c>
      <c r="AX241" s="197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4">
        <f t="shared" si="153"/>
        <v>0</v>
      </c>
      <c r="AW242" s="1974">
        <f t="shared" si="154"/>
        <v>0</v>
      </c>
      <c r="AX242" s="197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4">
        <f t="shared" si="153"/>
        <v>0</v>
      </c>
      <c r="AW243" s="1974">
        <f t="shared" si="154"/>
        <v>0</v>
      </c>
      <c r="AX243" s="197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4">
        <f t="shared" si="153"/>
        <v>0</v>
      </c>
      <c r="AW244" s="1974">
        <f t="shared" si="154"/>
        <v>0</v>
      </c>
      <c r="AX244" s="197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4">
        <f t="shared" si="153"/>
        <v>0</v>
      </c>
      <c r="AW245" s="1974">
        <f t="shared" si="154"/>
        <v>0</v>
      </c>
      <c r="AX245" s="197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4">
        <f t="shared" si="153"/>
        <v>0</v>
      </c>
      <c r="AW246" s="1974">
        <f t="shared" si="154"/>
        <v>0</v>
      </c>
      <c r="AX246" s="197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4">
        <f t="shared" si="153"/>
        <v>0</v>
      </c>
      <c r="AW247" s="1974">
        <f t="shared" si="154"/>
        <v>0</v>
      </c>
      <c r="AX247" s="197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4">
        <f t="shared" si="153"/>
        <v>0</v>
      </c>
      <c r="AW248" s="1974">
        <f t="shared" si="154"/>
        <v>0</v>
      </c>
      <c r="AX248" s="197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4">
        <f t="shared" si="153"/>
        <v>0</v>
      </c>
      <c r="AW249" s="1974">
        <f t="shared" si="154"/>
        <v>0</v>
      </c>
      <c r="AX249" s="197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4">
        <f t="shared" si="153"/>
        <v>0</v>
      </c>
      <c r="AW250" s="1974">
        <f t="shared" si="154"/>
        <v>0</v>
      </c>
      <c r="AX250" s="197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4">
        <f t="shared" si="153"/>
        <v>0</v>
      </c>
      <c r="AW251" s="1974">
        <f t="shared" si="154"/>
        <v>0</v>
      </c>
      <c r="AX251" s="197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4">
        <f t="shared" si="153"/>
        <v>0</v>
      </c>
      <c r="AW252" s="1974">
        <f t="shared" si="154"/>
        <v>0</v>
      </c>
      <c r="AX252" s="197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4">
        <f t="shared" si="153"/>
        <v>0</v>
      </c>
      <c r="AW253" s="1974">
        <f t="shared" si="154"/>
        <v>0</v>
      </c>
      <c r="AX253" s="197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4">
        <f t="shared" si="153"/>
        <v>0</v>
      </c>
      <c r="AW254" s="1974">
        <f t="shared" si="154"/>
        <v>0</v>
      </c>
      <c r="AX254" s="197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4">
        <f t="shared" si="153"/>
        <v>0</v>
      </c>
      <c r="AW255" s="1974">
        <f t="shared" si="154"/>
        <v>0</v>
      </c>
      <c r="AX255" s="197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4">
        <f t="shared" si="153"/>
        <v>0</v>
      </c>
      <c r="AW256" s="1974">
        <f t="shared" si="154"/>
        <v>0</v>
      </c>
      <c r="AX256" s="197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4">
        <f t="shared" si="153"/>
        <v>0</v>
      </c>
      <c r="AW257" s="1974">
        <f t="shared" si="154"/>
        <v>0</v>
      </c>
      <c r="AX257" s="197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4">
        <f t="shared" si="153"/>
        <v>0</v>
      </c>
      <c r="AW258" s="1974">
        <f t="shared" si="154"/>
        <v>0</v>
      </c>
      <c r="AX258" s="197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4">
        <f t="shared" si="153"/>
        <v>0</v>
      </c>
      <c r="AW259" s="1974">
        <f t="shared" si="154"/>
        <v>0</v>
      </c>
      <c r="AX259" s="197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4">
        <f t="shared" si="153"/>
        <v>0</v>
      </c>
      <c r="AW260" s="1974">
        <f t="shared" si="154"/>
        <v>0</v>
      </c>
      <c r="AX260" s="197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4">
        <f t="shared" si="153"/>
        <v>0</v>
      </c>
      <c r="AW261" s="1974">
        <f t="shared" si="154"/>
        <v>0</v>
      </c>
      <c r="AX261" s="197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4">
        <f t="shared" si="153"/>
        <v>0</v>
      </c>
      <c r="AW262" s="1974">
        <f t="shared" si="154"/>
        <v>0</v>
      </c>
      <c r="AX262" s="197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4">
        <f t="shared" si="153"/>
        <v>0</v>
      </c>
      <c r="AW263" s="1974">
        <f t="shared" si="154"/>
        <v>0</v>
      </c>
      <c r="AX263" s="197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4">
        <f t="shared" si="153"/>
        <v>0</v>
      </c>
      <c r="AW264" s="1974">
        <f t="shared" si="154"/>
        <v>0</v>
      </c>
      <c r="AX264" s="197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4">
        <f t="shared" si="153"/>
        <v>0</v>
      </c>
      <c r="AW265" s="1974">
        <f t="shared" si="154"/>
        <v>0</v>
      </c>
      <c r="AX265" s="197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4">
        <f t="shared" si="153"/>
        <v>0</v>
      </c>
      <c r="AW266" s="1974">
        <f t="shared" si="154"/>
        <v>0</v>
      </c>
      <c r="AX266" s="197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4">
        <f t="shared" si="153"/>
        <v>0</v>
      </c>
      <c r="AW267" s="1974">
        <f t="shared" si="154"/>
        <v>0</v>
      </c>
      <c r="AX267" s="197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4">
        <f t="shared" si="153"/>
        <v>0</v>
      </c>
      <c r="AW268" s="1974">
        <f t="shared" si="154"/>
        <v>0</v>
      </c>
      <c r="AX268" s="197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4">
        <f t="shared" si="153"/>
        <v>0</v>
      </c>
      <c r="AW269" s="1974">
        <f t="shared" si="154"/>
        <v>0</v>
      </c>
      <c r="AX269" s="197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4">
        <f t="shared" si="153"/>
        <v>0</v>
      </c>
      <c r="AW270" s="1974">
        <f t="shared" si="154"/>
        <v>0</v>
      </c>
      <c r="AX270" s="197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4">
        <f t="shared" si="153"/>
        <v>0</v>
      </c>
      <c r="AW271" s="1974">
        <f t="shared" si="154"/>
        <v>0</v>
      </c>
      <c r="AX271" s="197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4">
        <f t="shared" si="153"/>
        <v>0</v>
      </c>
      <c r="AW272" s="1974">
        <f t="shared" si="154"/>
        <v>0</v>
      </c>
      <c r="AX272" s="197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4">
        <f t="shared" si="153"/>
        <v>0</v>
      </c>
      <c r="AW273" s="1974">
        <f t="shared" si="154"/>
        <v>0</v>
      </c>
      <c r="AX273" s="197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4">
        <f t="shared" si="153"/>
        <v>0</v>
      </c>
      <c r="AW274" s="1974">
        <f t="shared" si="154"/>
        <v>0</v>
      </c>
      <c r="AX274" s="197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4">
        <f t="shared" si="153"/>
        <v>0</v>
      </c>
      <c r="AW275" s="1974">
        <f t="shared" si="154"/>
        <v>0</v>
      </c>
      <c r="AX275" s="197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4">
        <f t="shared" si="153"/>
        <v>0</v>
      </c>
      <c r="AW276" s="1974">
        <f t="shared" si="154"/>
        <v>0</v>
      </c>
      <c r="AX276" s="197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4">
        <f t="shared" si="153"/>
        <v>0</v>
      </c>
      <c r="AW277" s="1974">
        <f t="shared" si="154"/>
        <v>0</v>
      </c>
      <c r="AX277" s="197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4">
        <f t="shared" si="153"/>
        <v>0</v>
      </c>
      <c r="AW278" s="1974">
        <f t="shared" si="154"/>
        <v>0</v>
      </c>
      <c r="AX278" s="197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4">
        <f t="shared" si="153"/>
        <v>0</v>
      </c>
      <c r="AW279" s="1974">
        <f t="shared" si="154"/>
        <v>0</v>
      </c>
      <c r="AX279" s="197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4">
        <f t="shared" si="153"/>
        <v>0</v>
      </c>
      <c r="AW280" s="1974">
        <f t="shared" si="154"/>
        <v>0</v>
      </c>
      <c r="AX280" s="197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4">
        <f t="shared" si="153"/>
        <v>0</v>
      </c>
      <c r="AW281" s="1974">
        <f t="shared" si="154"/>
        <v>0</v>
      </c>
      <c r="AX281" s="197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4">
        <f t="shared" si="153"/>
        <v>0</v>
      </c>
      <c r="AW282" s="1974">
        <f t="shared" si="154"/>
        <v>0</v>
      </c>
      <c r="AX282" s="197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4">
        <f t="shared" si="153"/>
        <v>0</v>
      </c>
      <c r="AW283" s="1974">
        <f t="shared" si="154"/>
        <v>0</v>
      </c>
      <c r="AX283" s="197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4">
        <f t="shared" si="153"/>
        <v>0</v>
      </c>
      <c r="AW284" s="1974">
        <f t="shared" si="154"/>
        <v>0</v>
      </c>
      <c r="AX284" s="197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4">
        <f t="shared" si="153"/>
        <v>0</v>
      </c>
      <c r="AW285" s="1974">
        <f t="shared" si="154"/>
        <v>0</v>
      </c>
      <c r="AX285" s="197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4">
        <f t="shared" si="153"/>
        <v>0</v>
      </c>
      <c r="AW286" s="1974">
        <f t="shared" si="154"/>
        <v>0</v>
      </c>
      <c r="AX286" s="197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4">
        <f t="shared" si="153"/>
        <v>0</v>
      </c>
      <c r="AW287" s="1974">
        <f t="shared" si="154"/>
        <v>0</v>
      </c>
      <c r="AX287" s="197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4">
        <f t="shared" si="153"/>
        <v>0</v>
      </c>
      <c r="AW288" s="1974">
        <f t="shared" si="154"/>
        <v>0</v>
      </c>
      <c r="AX288" s="197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4">
        <f t="shared" si="153"/>
        <v>0</v>
      </c>
      <c r="AW289" s="1974">
        <f t="shared" si="154"/>
        <v>0</v>
      </c>
      <c r="AX289" s="197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4">
        <f t="shared" si="153"/>
        <v>0</v>
      </c>
      <c r="AW290" s="1974">
        <f t="shared" si="154"/>
        <v>0</v>
      </c>
      <c r="AX290" s="197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4">
        <f t="shared" si="153"/>
        <v>0</v>
      </c>
      <c r="AW291" s="1974">
        <f t="shared" si="154"/>
        <v>0</v>
      </c>
      <c r="AX291" s="197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4">
        <f t="shared" si="153"/>
        <v>0</v>
      </c>
      <c r="AW292" s="1974">
        <f t="shared" si="154"/>
        <v>0</v>
      </c>
      <c r="AX292" s="197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4">
        <f t="shared" si="153"/>
        <v>0</v>
      </c>
      <c r="AW293" s="1974">
        <f t="shared" si="154"/>
        <v>0</v>
      </c>
      <c r="AX293" s="197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4">
        <f t="shared" si="153"/>
        <v>0</v>
      </c>
      <c r="AW294" s="1974">
        <f t="shared" si="154"/>
        <v>0</v>
      </c>
      <c r="AX294" s="197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4">
        <f t="shared" si="153"/>
        <v>0</v>
      </c>
      <c r="AW295" s="1974">
        <f t="shared" si="154"/>
        <v>0</v>
      </c>
      <c r="AX295" s="197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4">
        <f t="shared" si="153"/>
        <v>0</v>
      </c>
      <c r="AW296" s="1974">
        <f t="shared" si="154"/>
        <v>0</v>
      </c>
      <c r="AX296" s="197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80"/>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4">
        <f t="shared" ref="AV297:AV328" si="204">A297</f>
        <v>0</v>
      </c>
      <c r="AW297" s="1974">
        <f t="shared" ref="AW297:AW328" si="205">B297</f>
        <v>0</v>
      </c>
      <c r="AX297" s="197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80"/>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4">
        <f t="shared" si="204"/>
        <v>0</v>
      </c>
      <c r="AW298" s="1974">
        <f t="shared" si="205"/>
        <v>0</v>
      </c>
      <c r="AX298" s="197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80"/>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4">
        <f t="shared" si="204"/>
        <v>0</v>
      </c>
      <c r="AW299" s="1974">
        <f t="shared" si="205"/>
        <v>0</v>
      </c>
      <c r="AX299" s="197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80"/>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4">
        <f t="shared" si="204"/>
        <v>0</v>
      </c>
      <c r="AW300" s="1974">
        <f t="shared" si="205"/>
        <v>0</v>
      </c>
      <c r="AX300" s="197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80"/>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4">
        <f t="shared" si="204"/>
        <v>0</v>
      </c>
      <c r="AW301" s="1974">
        <f t="shared" si="205"/>
        <v>0</v>
      </c>
      <c r="AX301" s="197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80"/>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4">
        <f t="shared" si="204"/>
        <v>0</v>
      </c>
      <c r="AW302" s="1974">
        <f t="shared" si="205"/>
        <v>0</v>
      </c>
      <c r="AX302" s="197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80"/>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4">
        <f t="shared" si="204"/>
        <v>0</v>
      </c>
      <c r="AW303" s="1974">
        <f t="shared" si="205"/>
        <v>0</v>
      </c>
      <c r="AX303" s="197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80"/>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4">
        <f t="shared" si="204"/>
        <v>0</v>
      </c>
      <c r="AW304" s="1974">
        <f t="shared" si="205"/>
        <v>0</v>
      </c>
      <c r="AX304" s="197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80"/>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4">
        <f t="shared" si="204"/>
        <v>0</v>
      </c>
      <c r="AW305" s="1974">
        <f t="shared" si="205"/>
        <v>0</v>
      </c>
      <c r="AX305" s="197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80"/>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4">
        <f t="shared" si="204"/>
        <v>0</v>
      </c>
      <c r="AW306" s="1974">
        <f t="shared" si="205"/>
        <v>0</v>
      </c>
      <c r="AX306" s="197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80"/>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4">
        <f t="shared" si="204"/>
        <v>0</v>
      </c>
      <c r="AW307" s="1974">
        <f t="shared" si="205"/>
        <v>0</v>
      </c>
      <c r="AX307" s="197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80"/>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4">
        <f t="shared" si="204"/>
        <v>0</v>
      </c>
      <c r="AW308" s="1974">
        <f t="shared" si="205"/>
        <v>0</v>
      </c>
      <c r="AX308" s="197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80"/>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4">
        <f t="shared" si="204"/>
        <v>0</v>
      </c>
      <c r="AW309" s="1974">
        <f t="shared" si="205"/>
        <v>0</v>
      </c>
      <c r="AX309" s="197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80"/>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4">
        <f t="shared" si="204"/>
        <v>0</v>
      </c>
      <c r="AW310" s="1974">
        <f t="shared" si="205"/>
        <v>0</v>
      </c>
      <c r="AX310" s="197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80"/>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4">
        <f t="shared" si="204"/>
        <v>0</v>
      </c>
      <c r="AW311" s="1974">
        <f t="shared" si="205"/>
        <v>0</v>
      </c>
      <c r="AX311" s="197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80"/>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4">
        <f t="shared" si="204"/>
        <v>0</v>
      </c>
      <c r="AW312" s="1974">
        <f t="shared" si="205"/>
        <v>0</v>
      </c>
      <c r="AX312" s="197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80"/>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4">
        <f t="shared" si="204"/>
        <v>0</v>
      </c>
      <c r="AW313" s="1974">
        <f t="shared" si="205"/>
        <v>0</v>
      </c>
      <c r="AX313" s="197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80"/>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4">
        <f t="shared" si="204"/>
        <v>0</v>
      </c>
      <c r="AW314" s="1974">
        <f t="shared" si="205"/>
        <v>0</v>
      </c>
      <c r="AX314" s="197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80"/>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4">
        <f t="shared" si="204"/>
        <v>0</v>
      </c>
      <c r="AW315" s="1974">
        <f t="shared" si="205"/>
        <v>0</v>
      </c>
      <c r="AX315" s="197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80"/>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4">
        <f t="shared" si="204"/>
        <v>0</v>
      </c>
      <c r="AW316" s="1974">
        <f t="shared" si="205"/>
        <v>0</v>
      </c>
      <c r="AX316" s="197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80"/>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4">
        <f t="shared" si="204"/>
        <v>0</v>
      </c>
      <c r="AW317" s="1974">
        <f t="shared" si="205"/>
        <v>0</v>
      </c>
      <c r="AX317" s="197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80"/>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4">
        <f t="shared" si="204"/>
        <v>0</v>
      </c>
      <c r="AW318" s="1974">
        <f t="shared" si="205"/>
        <v>0</v>
      </c>
      <c r="AX318" s="197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80"/>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4">
        <f t="shared" si="204"/>
        <v>0</v>
      </c>
      <c r="AW319" s="1974">
        <f t="shared" si="205"/>
        <v>0</v>
      </c>
      <c r="AX319" s="197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80"/>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4">
        <f t="shared" si="204"/>
        <v>0</v>
      </c>
      <c r="AW320" s="1974">
        <f t="shared" si="205"/>
        <v>0</v>
      </c>
      <c r="AX320" s="197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80"/>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4">
        <f t="shared" si="204"/>
        <v>0</v>
      </c>
      <c r="AW321" s="1974">
        <f t="shared" si="205"/>
        <v>0</v>
      </c>
      <c r="AX321" s="197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80"/>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4">
        <f t="shared" si="204"/>
        <v>0</v>
      </c>
      <c r="AW322" s="1974">
        <f t="shared" si="205"/>
        <v>0</v>
      </c>
      <c r="AX322" s="197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80"/>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4">
        <f t="shared" si="204"/>
        <v>0</v>
      </c>
      <c r="AW323" s="1974">
        <f t="shared" si="205"/>
        <v>0</v>
      </c>
      <c r="AX323" s="197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80"/>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4">
        <f t="shared" si="204"/>
        <v>0</v>
      </c>
      <c r="AW324" s="1974">
        <f t="shared" si="205"/>
        <v>0</v>
      </c>
      <c r="AX324" s="197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80"/>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4">
        <f t="shared" si="204"/>
        <v>0</v>
      </c>
      <c r="AW325" s="1974">
        <f t="shared" si="205"/>
        <v>0</v>
      </c>
      <c r="AX325" s="197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80"/>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4">
        <f t="shared" si="204"/>
        <v>0</v>
      </c>
      <c r="AW326" s="1974">
        <f t="shared" si="205"/>
        <v>0</v>
      </c>
      <c r="AX326" s="197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80"/>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4">
        <f t="shared" si="204"/>
        <v>0</v>
      </c>
      <c r="AW327" s="1974">
        <f t="shared" si="205"/>
        <v>0</v>
      </c>
      <c r="AX327" s="197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80"/>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4">
        <f t="shared" si="204"/>
        <v>0</v>
      </c>
      <c r="AW328" s="1974">
        <f t="shared" si="205"/>
        <v>0</v>
      </c>
      <c r="AX328" s="197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80"/>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4">
        <f t="shared" ref="AV329:AV360" si="233">A329</f>
        <v>0</v>
      </c>
      <c r="AW329" s="1974">
        <f t="shared" ref="AW329:AW360" si="234">B329</f>
        <v>0</v>
      </c>
      <c r="AX329" s="197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80"/>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4">
        <f t="shared" si="233"/>
        <v>0</v>
      </c>
      <c r="AW330" s="1974">
        <f t="shared" si="234"/>
        <v>0</v>
      </c>
      <c r="AX330" s="197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80"/>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4">
        <f t="shared" si="233"/>
        <v>0</v>
      </c>
      <c r="AW331" s="1974">
        <f t="shared" si="234"/>
        <v>0</v>
      </c>
      <c r="AX331" s="197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4">
        <f t="shared" si="233"/>
        <v>0</v>
      </c>
      <c r="AW332" s="1974">
        <f t="shared" si="234"/>
        <v>0</v>
      </c>
      <c r="AX332" s="197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4">
        <f t="shared" si="233"/>
        <v>0</v>
      </c>
      <c r="AW333" s="1974">
        <f t="shared" si="234"/>
        <v>0</v>
      </c>
      <c r="AX333" s="197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4">
        <f t="shared" si="233"/>
        <v>0</v>
      </c>
      <c r="AW334" s="1974">
        <f t="shared" si="234"/>
        <v>0</v>
      </c>
      <c r="AX334" s="197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4">
        <f t="shared" si="233"/>
        <v>0</v>
      </c>
      <c r="AW335" s="1974">
        <f t="shared" si="234"/>
        <v>0</v>
      </c>
      <c r="AX335" s="197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4">
        <f t="shared" si="233"/>
        <v>0</v>
      </c>
      <c r="AW336" s="1974">
        <f t="shared" si="234"/>
        <v>0</v>
      </c>
      <c r="AX336" s="197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4">
        <f t="shared" si="233"/>
        <v>0</v>
      </c>
      <c r="AW337" s="1974">
        <f t="shared" si="234"/>
        <v>0</v>
      </c>
      <c r="AX337" s="197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4">
        <f t="shared" si="233"/>
        <v>0</v>
      </c>
      <c r="AW338" s="1974">
        <f t="shared" si="234"/>
        <v>0</v>
      </c>
      <c r="AX338" s="197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4">
        <f t="shared" si="233"/>
        <v>0</v>
      </c>
      <c r="AW339" s="1974">
        <f t="shared" si="234"/>
        <v>0</v>
      </c>
      <c r="AX339" s="197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4">
        <f t="shared" si="233"/>
        <v>0</v>
      </c>
      <c r="AW340" s="1974">
        <f t="shared" si="234"/>
        <v>0</v>
      </c>
      <c r="AX340" s="197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4">
        <f t="shared" si="233"/>
        <v>0</v>
      </c>
      <c r="AW341" s="1974">
        <f t="shared" si="234"/>
        <v>0</v>
      </c>
      <c r="AX341" s="197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4">
        <f t="shared" si="233"/>
        <v>0</v>
      </c>
      <c r="AW342" s="1974">
        <f t="shared" si="234"/>
        <v>0</v>
      </c>
      <c r="AX342" s="197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4">
        <f t="shared" si="233"/>
        <v>0</v>
      </c>
      <c r="AW343" s="1974">
        <f t="shared" si="234"/>
        <v>0</v>
      </c>
      <c r="AX343" s="197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4">
        <f t="shared" si="233"/>
        <v>0</v>
      </c>
      <c r="AW344" s="1974">
        <f t="shared" si="234"/>
        <v>0</v>
      </c>
      <c r="AX344" s="197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4">
        <f t="shared" si="233"/>
        <v>0</v>
      </c>
      <c r="AW345" s="1974">
        <f t="shared" si="234"/>
        <v>0</v>
      </c>
      <c r="AX345" s="197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4">
        <f t="shared" si="233"/>
        <v>0</v>
      </c>
      <c r="AW346" s="1974">
        <f t="shared" si="234"/>
        <v>0</v>
      </c>
      <c r="AX346" s="197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4">
        <f t="shared" si="233"/>
        <v>0</v>
      </c>
      <c r="AW347" s="1974">
        <f t="shared" si="234"/>
        <v>0</v>
      </c>
      <c r="AX347" s="197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4">
        <f t="shared" si="233"/>
        <v>0</v>
      </c>
      <c r="AW348" s="1974">
        <f t="shared" si="234"/>
        <v>0</v>
      </c>
      <c r="AX348" s="197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4">
        <f t="shared" si="233"/>
        <v>0</v>
      </c>
      <c r="AW349" s="1974">
        <f t="shared" si="234"/>
        <v>0</v>
      </c>
      <c r="AX349" s="197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4">
        <f t="shared" si="233"/>
        <v>0</v>
      </c>
      <c r="AW350" s="1974">
        <f t="shared" si="234"/>
        <v>0</v>
      </c>
      <c r="AX350" s="197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4">
        <f t="shared" si="233"/>
        <v>0</v>
      </c>
      <c r="AW351" s="1974">
        <f t="shared" si="234"/>
        <v>0</v>
      </c>
      <c r="AX351" s="197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4">
        <f t="shared" si="233"/>
        <v>0</v>
      </c>
      <c r="AW352" s="1974">
        <f t="shared" si="234"/>
        <v>0</v>
      </c>
      <c r="AX352" s="197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4">
        <f t="shared" si="233"/>
        <v>0</v>
      </c>
      <c r="AW353" s="1974">
        <f t="shared" si="234"/>
        <v>0</v>
      </c>
      <c r="AX353" s="197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4">
        <f t="shared" si="233"/>
        <v>0</v>
      </c>
      <c r="AW354" s="1974">
        <f t="shared" si="234"/>
        <v>0</v>
      </c>
      <c r="AX354" s="197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4">
        <f t="shared" si="233"/>
        <v>0</v>
      </c>
      <c r="AW355" s="1974">
        <f t="shared" si="234"/>
        <v>0</v>
      </c>
      <c r="AX355" s="197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4">
        <f t="shared" si="233"/>
        <v>0</v>
      </c>
      <c r="AW356" s="1974">
        <f t="shared" si="234"/>
        <v>0</v>
      </c>
      <c r="AX356" s="197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4">
        <f t="shared" si="233"/>
        <v>0</v>
      </c>
      <c r="AW357" s="1974">
        <f t="shared" si="234"/>
        <v>0</v>
      </c>
      <c r="AX357" s="197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4">
        <f t="shared" si="233"/>
        <v>0</v>
      </c>
      <c r="AW358" s="1974">
        <f t="shared" si="234"/>
        <v>0</v>
      </c>
      <c r="AX358" s="197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4">
        <f t="shared" si="233"/>
        <v>0</v>
      </c>
      <c r="AW359" s="1974">
        <f t="shared" si="234"/>
        <v>0</v>
      </c>
      <c r="AX359" s="197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4">
        <f t="shared" si="233"/>
        <v>0</v>
      </c>
      <c r="AW360" s="1974">
        <f t="shared" si="234"/>
        <v>0</v>
      </c>
      <c r="AX360" s="197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4">
        <f t="shared" ref="AV361:AV388" si="262">A361</f>
        <v>0</v>
      </c>
      <c r="AW361" s="1974">
        <f t="shared" ref="AW361:AW388" si="263">B361</f>
        <v>0</v>
      </c>
      <c r="AX361" s="197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4">
        <f t="shared" si="262"/>
        <v>0</v>
      </c>
      <c r="AW362" s="1974">
        <f t="shared" si="263"/>
        <v>0</v>
      </c>
      <c r="AX362" s="197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4">
        <f t="shared" si="262"/>
        <v>0</v>
      </c>
      <c r="AW363" s="1974">
        <f t="shared" si="263"/>
        <v>0</v>
      </c>
      <c r="AX363" s="197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4">
        <f t="shared" si="262"/>
        <v>0</v>
      </c>
      <c r="AW364" s="1974">
        <f t="shared" si="263"/>
        <v>0</v>
      </c>
      <c r="AX364" s="197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4">
        <f t="shared" si="262"/>
        <v>0</v>
      </c>
      <c r="AW365" s="1974">
        <f t="shared" si="263"/>
        <v>0</v>
      </c>
      <c r="AX365" s="197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4">
        <f t="shared" si="262"/>
        <v>0</v>
      </c>
      <c r="AW366" s="1974">
        <f t="shared" si="263"/>
        <v>0</v>
      </c>
      <c r="AX366" s="197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4">
        <f t="shared" si="262"/>
        <v>0</v>
      </c>
      <c r="AW367" s="1974">
        <f t="shared" si="263"/>
        <v>0</v>
      </c>
      <c r="AX367" s="197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4">
        <f t="shared" si="262"/>
        <v>0</v>
      </c>
      <c r="AW368" s="1974">
        <f t="shared" si="263"/>
        <v>0</v>
      </c>
      <c r="AX368" s="197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4">
        <f t="shared" si="262"/>
        <v>0</v>
      </c>
      <c r="AW369" s="1974">
        <f t="shared" si="263"/>
        <v>0</v>
      </c>
      <c r="AX369" s="197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4">
        <f t="shared" si="262"/>
        <v>0</v>
      </c>
      <c r="AW370" s="1974">
        <f t="shared" si="263"/>
        <v>0</v>
      </c>
      <c r="AX370" s="197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4">
        <f t="shared" si="262"/>
        <v>0</v>
      </c>
      <c r="AW371" s="1974">
        <f t="shared" si="263"/>
        <v>0</v>
      </c>
      <c r="AX371" s="197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4">
        <f t="shared" si="262"/>
        <v>0</v>
      </c>
      <c r="AW372" s="1974">
        <f t="shared" si="263"/>
        <v>0</v>
      </c>
      <c r="AX372" s="197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4">
        <f t="shared" si="262"/>
        <v>0</v>
      </c>
      <c r="AW373" s="1974">
        <f t="shared" si="263"/>
        <v>0</v>
      </c>
      <c r="AX373" s="197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4">
        <f t="shared" si="262"/>
        <v>0</v>
      </c>
      <c r="AW374" s="1974">
        <f t="shared" si="263"/>
        <v>0</v>
      </c>
      <c r="AX374" s="197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4">
        <f t="shared" si="262"/>
        <v>0</v>
      </c>
      <c r="AW375" s="1974">
        <f t="shared" si="263"/>
        <v>0</v>
      </c>
      <c r="AX375" s="197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4">
        <f t="shared" si="262"/>
        <v>0</v>
      </c>
      <c r="AW376" s="1974">
        <f t="shared" si="263"/>
        <v>0</v>
      </c>
      <c r="AX376" s="197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4">
        <f t="shared" si="262"/>
        <v>0</v>
      </c>
      <c r="AW377" s="1974">
        <f t="shared" si="263"/>
        <v>0</v>
      </c>
      <c r="AX377" s="197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4">
        <f t="shared" si="262"/>
        <v>0</v>
      </c>
      <c r="AW378" s="1974">
        <f t="shared" si="263"/>
        <v>0</v>
      </c>
      <c r="AX378" s="197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4">
        <f t="shared" si="262"/>
        <v>0</v>
      </c>
      <c r="AW379" s="1974">
        <f t="shared" si="263"/>
        <v>0</v>
      </c>
      <c r="AX379" s="197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4">
        <f t="shared" si="262"/>
        <v>0</v>
      </c>
      <c r="AW380" s="1974">
        <f t="shared" si="263"/>
        <v>0</v>
      </c>
      <c r="AX380" s="197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4">
        <f t="shared" si="262"/>
        <v>0</v>
      </c>
      <c r="AW381" s="1974">
        <f t="shared" si="263"/>
        <v>0</v>
      </c>
      <c r="AX381" s="197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4">
        <f t="shared" si="262"/>
        <v>0</v>
      </c>
      <c r="AW382" s="1974">
        <f t="shared" si="263"/>
        <v>0</v>
      </c>
      <c r="AX382" s="197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4">
        <f t="shared" si="262"/>
        <v>0</v>
      </c>
      <c r="AW383" s="1974">
        <f t="shared" si="263"/>
        <v>0</v>
      </c>
      <c r="AX383" s="197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4">
        <f t="shared" si="262"/>
        <v>0</v>
      </c>
      <c r="AW384" s="1974">
        <f t="shared" si="263"/>
        <v>0</v>
      </c>
      <c r="AX384" s="197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4">
        <f t="shared" si="262"/>
        <v>0</v>
      </c>
      <c r="AW385" s="1974">
        <f t="shared" si="263"/>
        <v>0</v>
      </c>
      <c r="AX385" s="197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4">
        <f t="shared" si="262"/>
        <v>0</v>
      </c>
      <c r="AW386" s="1974">
        <f t="shared" si="263"/>
        <v>0</v>
      </c>
      <c r="AX386" s="197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4">
        <f t="shared" si="262"/>
        <v>0</v>
      </c>
      <c r="AW387" s="1974">
        <f t="shared" si="263"/>
        <v>0</v>
      </c>
      <c r="AX387" s="197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4">
        <f t="shared" si="262"/>
        <v>0</v>
      </c>
      <c r="AW388" s="1974">
        <f t="shared" si="263"/>
        <v>0</v>
      </c>
      <c r="AX388" s="197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80"/>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4">
        <f t="shared" ref="AV389:AV480" si="269">A389</f>
        <v>0</v>
      </c>
      <c r="AW389" s="1974">
        <f t="shared" ref="AW389:AW480" si="270">B389</f>
        <v>0</v>
      </c>
      <c r="AX389" s="197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80"/>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4">
        <f t="shared" si="269"/>
        <v>0</v>
      </c>
      <c r="AW390" s="1974">
        <f t="shared" si="270"/>
        <v>0</v>
      </c>
      <c r="AX390" s="197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80"/>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4">
        <f t="shared" si="269"/>
        <v>0</v>
      </c>
      <c r="AW391" s="1974">
        <f t="shared" si="270"/>
        <v>0</v>
      </c>
      <c r="AX391" s="197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80"/>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4">
        <f t="shared" si="269"/>
        <v>0</v>
      </c>
      <c r="AW392" s="1974">
        <f t="shared" si="270"/>
        <v>0</v>
      </c>
      <c r="AX392" s="197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80"/>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4">
        <f t="shared" si="269"/>
        <v>0</v>
      </c>
      <c r="AW393" s="1974">
        <f t="shared" si="270"/>
        <v>0</v>
      </c>
      <c r="AX393" s="197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80"/>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4">
        <f t="shared" si="269"/>
        <v>0</v>
      </c>
      <c r="AW394" s="1974">
        <f t="shared" si="270"/>
        <v>0</v>
      </c>
      <c r="AX394" s="197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80"/>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4">
        <f t="shared" si="269"/>
        <v>0</v>
      </c>
      <c r="AW395" s="1974">
        <f t="shared" si="270"/>
        <v>0</v>
      </c>
      <c r="AX395" s="197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80"/>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4">
        <f t="shared" si="269"/>
        <v>0</v>
      </c>
      <c r="AW396" s="1974">
        <f t="shared" si="270"/>
        <v>0</v>
      </c>
      <c r="AX396" s="197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80"/>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4">
        <f t="shared" si="269"/>
        <v>0</v>
      </c>
      <c r="AW397" s="1974">
        <f t="shared" si="270"/>
        <v>0</v>
      </c>
      <c r="AX397" s="197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80"/>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4">
        <f t="shared" si="269"/>
        <v>0</v>
      </c>
      <c r="AW398" s="1974">
        <f t="shared" si="270"/>
        <v>0</v>
      </c>
      <c r="AX398" s="197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80"/>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4">
        <f t="shared" si="269"/>
        <v>0</v>
      </c>
      <c r="AW399" s="1974">
        <f t="shared" si="270"/>
        <v>0</v>
      </c>
      <c r="AX399" s="197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80"/>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4">
        <f t="shared" si="269"/>
        <v>0</v>
      </c>
      <c r="AW400" s="1974">
        <f t="shared" si="270"/>
        <v>0</v>
      </c>
      <c r="AX400" s="197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80"/>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4">
        <f t="shared" si="269"/>
        <v>0</v>
      </c>
      <c r="AW401" s="1974">
        <f t="shared" si="270"/>
        <v>0</v>
      </c>
      <c r="AX401" s="197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80"/>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4">
        <f t="shared" si="269"/>
        <v>0</v>
      </c>
      <c r="AW402" s="1974">
        <f t="shared" si="270"/>
        <v>0</v>
      </c>
      <c r="AX402" s="197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80"/>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4">
        <f t="shared" si="269"/>
        <v>0</v>
      </c>
      <c r="AW403" s="1974">
        <f t="shared" si="270"/>
        <v>0</v>
      </c>
      <c r="AX403" s="197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80"/>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4">
        <f t="shared" si="269"/>
        <v>0</v>
      </c>
      <c r="AW404" s="1974">
        <f t="shared" si="270"/>
        <v>0</v>
      </c>
      <c r="AX404" s="197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80"/>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4">
        <f t="shared" si="269"/>
        <v>0</v>
      </c>
      <c r="AW405" s="1974">
        <f t="shared" si="270"/>
        <v>0</v>
      </c>
      <c r="AX405" s="197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80"/>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4">
        <f t="shared" si="269"/>
        <v>0</v>
      </c>
      <c r="AW406" s="1974">
        <f t="shared" si="270"/>
        <v>0</v>
      </c>
      <c r="AX406" s="197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80"/>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4">
        <f t="shared" si="269"/>
        <v>0</v>
      </c>
      <c r="AW407" s="1974">
        <f t="shared" si="270"/>
        <v>0</v>
      </c>
      <c r="AX407" s="197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80"/>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4">
        <f t="shared" si="269"/>
        <v>0</v>
      </c>
      <c r="AW408" s="1974">
        <f t="shared" si="270"/>
        <v>0</v>
      </c>
      <c r="AX408" s="197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80"/>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4">
        <f t="shared" si="269"/>
        <v>0</v>
      </c>
      <c r="AW409" s="1974">
        <f t="shared" si="270"/>
        <v>0</v>
      </c>
      <c r="AX409" s="197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80"/>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4">
        <f t="shared" si="269"/>
        <v>0</v>
      </c>
      <c r="AW410" s="1974">
        <f t="shared" si="270"/>
        <v>0</v>
      </c>
      <c r="AX410" s="197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80"/>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4">
        <f t="shared" si="269"/>
        <v>0</v>
      </c>
      <c r="AW411" s="1974">
        <f t="shared" si="270"/>
        <v>0</v>
      </c>
      <c r="AX411" s="197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80"/>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4">
        <f t="shared" si="269"/>
        <v>0</v>
      </c>
      <c r="AW412" s="1974">
        <f t="shared" si="270"/>
        <v>0</v>
      </c>
      <c r="AX412" s="197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80"/>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4">
        <f t="shared" si="269"/>
        <v>0</v>
      </c>
      <c r="AW413" s="1974">
        <f t="shared" si="270"/>
        <v>0</v>
      </c>
      <c r="AX413" s="197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80"/>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4">
        <f t="shared" si="269"/>
        <v>0</v>
      </c>
      <c r="AW414" s="1974">
        <f t="shared" si="270"/>
        <v>0</v>
      </c>
      <c r="AX414" s="197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80"/>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4">
        <f t="shared" si="269"/>
        <v>0</v>
      </c>
      <c r="AW415" s="1974">
        <f t="shared" si="270"/>
        <v>0</v>
      </c>
      <c r="AX415" s="197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80"/>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4">
        <f t="shared" si="269"/>
        <v>0</v>
      </c>
      <c r="AW416" s="1974">
        <f t="shared" si="270"/>
        <v>0</v>
      </c>
      <c r="AX416" s="197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80"/>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4">
        <f t="shared" si="269"/>
        <v>0</v>
      </c>
      <c r="AW417" s="1974">
        <f t="shared" si="270"/>
        <v>0</v>
      </c>
      <c r="AX417" s="197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80"/>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4">
        <f t="shared" si="269"/>
        <v>0</v>
      </c>
      <c r="AW418" s="1974">
        <f t="shared" si="270"/>
        <v>0</v>
      </c>
      <c r="AX418" s="197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80"/>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4">
        <f t="shared" si="269"/>
        <v>0</v>
      </c>
      <c r="AW419" s="1974">
        <f t="shared" si="270"/>
        <v>0</v>
      </c>
      <c r="AX419" s="197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80"/>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4">
        <f t="shared" si="269"/>
        <v>0</v>
      </c>
      <c r="AW420" s="1974">
        <f t="shared" si="270"/>
        <v>0</v>
      </c>
      <c r="AX420" s="197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80"/>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4">
        <f t="shared" si="269"/>
        <v>0</v>
      </c>
      <c r="AW421" s="1974">
        <f t="shared" si="270"/>
        <v>0</v>
      </c>
      <c r="AX421" s="197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80"/>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4">
        <f t="shared" si="269"/>
        <v>0</v>
      </c>
      <c r="AW422" s="1974">
        <f t="shared" si="270"/>
        <v>0</v>
      </c>
      <c r="AX422" s="197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80"/>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4">
        <f t="shared" si="269"/>
        <v>0</v>
      </c>
      <c r="AW423" s="1974">
        <f t="shared" si="270"/>
        <v>0</v>
      </c>
      <c r="AX423" s="197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4">
        <f t="shared" si="269"/>
        <v>0</v>
      </c>
      <c r="AW424" s="1974">
        <f t="shared" si="270"/>
        <v>0</v>
      </c>
      <c r="AX424" s="197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4">
        <f t="shared" si="269"/>
        <v>0</v>
      </c>
      <c r="AW425" s="1974">
        <f t="shared" si="270"/>
        <v>0</v>
      </c>
      <c r="AX425" s="197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4">
        <f t="shared" si="269"/>
        <v>0</v>
      </c>
      <c r="AW426" s="1974">
        <f t="shared" si="270"/>
        <v>0</v>
      </c>
      <c r="AX426" s="197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4">
        <f t="shared" si="269"/>
        <v>0</v>
      </c>
      <c r="AW427" s="1974">
        <f t="shared" si="270"/>
        <v>0</v>
      </c>
      <c r="AX427" s="197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4">
        <f t="shared" si="269"/>
        <v>0</v>
      </c>
      <c r="AW428" s="1974">
        <f t="shared" si="270"/>
        <v>0</v>
      </c>
      <c r="AX428" s="197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4">
        <f t="shared" si="269"/>
        <v>0</v>
      </c>
      <c r="AW429" s="1974">
        <f t="shared" si="270"/>
        <v>0</v>
      </c>
      <c r="AX429" s="197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4">
        <f t="shared" si="269"/>
        <v>0</v>
      </c>
      <c r="AW430" s="1974">
        <f t="shared" si="270"/>
        <v>0</v>
      </c>
      <c r="AX430" s="197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4">
        <f t="shared" si="269"/>
        <v>0</v>
      </c>
      <c r="AW431" s="1974">
        <f t="shared" si="270"/>
        <v>0</v>
      </c>
      <c r="AX431" s="197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4">
        <f t="shared" si="269"/>
        <v>0</v>
      </c>
      <c r="AW432" s="1974">
        <f t="shared" si="270"/>
        <v>0</v>
      </c>
      <c r="AX432" s="197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4">
        <f t="shared" si="269"/>
        <v>0</v>
      </c>
      <c r="AW433" s="1974">
        <f t="shared" si="270"/>
        <v>0</v>
      </c>
      <c r="AX433" s="197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4">
        <f t="shared" si="269"/>
        <v>0</v>
      </c>
      <c r="AW434" s="1974">
        <f t="shared" si="270"/>
        <v>0</v>
      </c>
      <c r="AX434" s="197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4">
        <f t="shared" si="269"/>
        <v>0</v>
      </c>
      <c r="AW435" s="1974">
        <f t="shared" si="270"/>
        <v>0</v>
      </c>
      <c r="AX435" s="197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4">
        <f t="shared" si="269"/>
        <v>0</v>
      </c>
      <c r="AW436" s="1974">
        <f t="shared" si="270"/>
        <v>0</v>
      </c>
      <c r="AX436" s="197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4">
        <f t="shared" si="269"/>
        <v>0</v>
      </c>
      <c r="AW437" s="1974">
        <f t="shared" si="270"/>
        <v>0</v>
      </c>
      <c r="AX437" s="197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4">
        <f t="shared" si="269"/>
        <v>0</v>
      </c>
      <c r="AW438" s="1974">
        <f t="shared" si="270"/>
        <v>0</v>
      </c>
      <c r="AX438" s="197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4">
        <f t="shared" si="269"/>
        <v>0</v>
      </c>
      <c r="AW439" s="1974">
        <f t="shared" si="270"/>
        <v>0</v>
      </c>
      <c r="AX439" s="197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4">
        <f t="shared" si="269"/>
        <v>0</v>
      </c>
      <c r="AW440" s="1974">
        <f t="shared" si="270"/>
        <v>0</v>
      </c>
      <c r="AX440" s="197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4">
        <f t="shared" si="269"/>
        <v>0</v>
      </c>
      <c r="AW441" s="1974">
        <f t="shared" si="270"/>
        <v>0</v>
      </c>
      <c r="AX441" s="197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4">
        <f t="shared" si="269"/>
        <v>0</v>
      </c>
      <c r="AW442" s="1974">
        <f t="shared" si="270"/>
        <v>0</v>
      </c>
      <c r="AX442" s="197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4">
        <f t="shared" si="269"/>
        <v>0</v>
      </c>
      <c r="AW443" s="1974">
        <f t="shared" si="270"/>
        <v>0</v>
      </c>
      <c r="AX443" s="197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4">
        <f t="shared" si="269"/>
        <v>0</v>
      </c>
      <c r="AW444" s="1974">
        <f t="shared" si="270"/>
        <v>0</v>
      </c>
      <c r="AX444" s="197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4">
        <f t="shared" si="269"/>
        <v>0</v>
      </c>
      <c r="AW445" s="1974">
        <f t="shared" si="270"/>
        <v>0</v>
      </c>
      <c r="AX445" s="197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4">
        <f t="shared" si="269"/>
        <v>0</v>
      </c>
      <c r="AW446" s="1974">
        <f t="shared" si="270"/>
        <v>0</v>
      </c>
      <c r="AX446" s="197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4">
        <f t="shared" si="269"/>
        <v>0</v>
      </c>
      <c r="AW447" s="1974">
        <f t="shared" si="270"/>
        <v>0</v>
      </c>
      <c r="AX447" s="197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4">
        <f t="shared" si="269"/>
        <v>0</v>
      </c>
      <c r="AW448" s="1974">
        <f t="shared" si="270"/>
        <v>0</v>
      </c>
      <c r="AX448" s="197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4">
        <f t="shared" si="269"/>
        <v>0</v>
      </c>
      <c r="AW449" s="1974">
        <f t="shared" si="270"/>
        <v>0</v>
      </c>
      <c r="AX449" s="197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4">
        <f t="shared" si="269"/>
        <v>0</v>
      </c>
      <c r="AW450" s="1974">
        <f t="shared" si="270"/>
        <v>0</v>
      </c>
      <c r="AX450" s="197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4">
        <f t="shared" si="269"/>
        <v>0</v>
      </c>
      <c r="AW451" s="1974">
        <f t="shared" si="270"/>
        <v>0</v>
      </c>
      <c r="AX451" s="197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4">
        <f t="shared" si="269"/>
        <v>0</v>
      </c>
      <c r="AW452" s="1974">
        <f t="shared" si="270"/>
        <v>0</v>
      </c>
      <c r="AX452" s="197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4">
        <f t="shared" si="269"/>
        <v>0</v>
      </c>
      <c r="AW453" s="1974">
        <f t="shared" si="270"/>
        <v>0</v>
      </c>
      <c r="AX453" s="197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4">
        <f t="shared" si="269"/>
        <v>0</v>
      </c>
      <c r="AW454" s="1974">
        <f t="shared" si="270"/>
        <v>0</v>
      </c>
      <c r="AX454" s="197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4">
        <f t="shared" si="269"/>
        <v>0</v>
      </c>
      <c r="AW455" s="1974">
        <f t="shared" si="270"/>
        <v>0</v>
      </c>
      <c r="AX455" s="197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4">
        <f t="shared" si="269"/>
        <v>0</v>
      </c>
      <c r="AW456" s="1974">
        <f t="shared" si="270"/>
        <v>0</v>
      </c>
      <c r="AX456" s="197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4">
        <f t="shared" si="269"/>
        <v>0</v>
      </c>
      <c r="AW457" s="1974">
        <f t="shared" si="270"/>
        <v>0</v>
      </c>
      <c r="AX457" s="197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4">
        <f t="shared" si="269"/>
        <v>0</v>
      </c>
      <c r="AW458" s="1974">
        <f t="shared" si="270"/>
        <v>0</v>
      </c>
      <c r="AX458" s="197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4">
        <f t="shared" si="269"/>
        <v>0</v>
      </c>
      <c r="AW459" s="1974">
        <f t="shared" si="270"/>
        <v>0</v>
      </c>
      <c r="AX459" s="197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4">
        <f t="shared" si="269"/>
        <v>0</v>
      </c>
      <c r="AW460" s="1974">
        <f t="shared" si="270"/>
        <v>0</v>
      </c>
      <c r="AX460" s="197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4">
        <f t="shared" si="269"/>
        <v>0</v>
      </c>
      <c r="AW461" s="1974">
        <f t="shared" si="270"/>
        <v>0</v>
      </c>
      <c r="AX461" s="197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4">
        <f t="shared" si="269"/>
        <v>0</v>
      </c>
      <c r="AW462" s="1974">
        <f t="shared" si="270"/>
        <v>0</v>
      </c>
      <c r="AX462" s="197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4">
        <f t="shared" si="269"/>
        <v>0</v>
      </c>
      <c r="AW463" s="1974">
        <f t="shared" si="270"/>
        <v>0</v>
      </c>
      <c r="AX463" s="197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4">
        <f t="shared" si="269"/>
        <v>0</v>
      </c>
      <c r="AW464" s="1974">
        <f t="shared" si="270"/>
        <v>0</v>
      </c>
      <c r="AX464" s="197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4">
        <f t="shared" si="269"/>
        <v>0</v>
      </c>
      <c r="AW465" s="1974">
        <f t="shared" si="270"/>
        <v>0</v>
      </c>
      <c r="AX465" s="197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4">
        <f t="shared" si="269"/>
        <v>0</v>
      </c>
      <c r="AW466" s="1974">
        <f t="shared" si="270"/>
        <v>0</v>
      </c>
      <c r="AX466" s="197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4">
        <f t="shared" si="269"/>
        <v>0</v>
      </c>
      <c r="AW467" s="1974">
        <f t="shared" si="270"/>
        <v>0</v>
      </c>
      <c r="AX467" s="197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4">
        <f t="shared" si="269"/>
        <v>0</v>
      </c>
      <c r="AW468" s="1974">
        <f t="shared" si="270"/>
        <v>0</v>
      </c>
      <c r="AX468" s="197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4">
        <f t="shared" si="269"/>
        <v>0</v>
      </c>
      <c r="AW469" s="1974">
        <f t="shared" si="270"/>
        <v>0</v>
      </c>
      <c r="AX469" s="197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4">
        <f t="shared" si="269"/>
        <v>0</v>
      </c>
      <c r="AW470" s="1974">
        <f t="shared" si="270"/>
        <v>0</v>
      </c>
      <c r="AX470" s="197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4">
        <f t="shared" si="269"/>
        <v>0</v>
      </c>
      <c r="AW471" s="1974">
        <f t="shared" si="270"/>
        <v>0</v>
      </c>
      <c r="AX471" s="197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4">
        <f t="shared" si="269"/>
        <v>0</v>
      </c>
      <c r="AW472" s="1974">
        <f t="shared" si="270"/>
        <v>0</v>
      </c>
      <c r="AX472" s="197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4">
        <f t="shared" si="269"/>
        <v>0</v>
      </c>
      <c r="AW473" s="1974">
        <f t="shared" si="270"/>
        <v>0</v>
      </c>
      <c r="AX473" s="197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4">
        <f t="shared" si="269"/>
        <v>0</v>
      </c>
      <c r="AW474" s="1974">
        <f t="shared" si="270"/>
        <v>0</v>
      </c>
      <c r="AX474" s="197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4">
        <f t="shared" si="269"/>
        <v>0</v>
      </c>
      <c r="AW475" s="1974">
        <f t="shared" si="270"/>
        <v>0</v>
      </c>
      <c r="AX475" s="197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4">
        <f t="shared" si="269"/>
        <v>0</v>
      </c>
      <c r="AW476" s="1974">
        <f t="shared" si="270"/>
        <v>0</v>
      </c>
      <c r="AX476" s="197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4">
        <f t="shared" si="269"/>
        <v>0</v>
      </c>
      <c r="AW477" s="1974">
        <f t="shared" si="270"/>
        <v>0</v>
      </c>
      <c r="AX477" s="197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4">
        <f t="shared" si="269"/>
        <v>0</v>
      </c>
      <c r="AW478" s="1974">
        <f t="shared" si="270"/>
        <v>0</v>
      </c>
      <c r="AX478" s="197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4">
        <f t="shared" si="269"/>
        <v>0</v>
      </c>
      <c r="AW479" s="1974">
        <f t="shared" si="270"/>
        <v>0</v>
      </c>
      <c r="AX479" s="197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4">
        <f t="shared" si="269"/>
        <v>0</v>
      </c>
      <c r="AW480" s="1974">
        <f t="shared" si="270"/>
        <v>0</v>
      </c>
      <c r="AX480" s="197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80"/>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80"/>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80"/>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80"/>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80"/>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80"/>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80"/>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80"/>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80"/>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80"/>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80"/>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80"/>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80"/>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80"/>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80"/>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80"/>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80"/>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80"/>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80"/>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80"/>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80"/>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80"/>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80"/>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80"/>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80"/>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80"/>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80"/>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80"/>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80"/>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80"/>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80"/>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80"/>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80"/>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80"/>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80"/>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G2" sqref="G2"/>
    </sheetView>
  </sheetViews>
  <sheetFormatPr defaultRowHeight="13.5"/>
  <cols>
    <col min="2" max="2" width="16.375" customWidth="1"/>
    <col min="3" max="3" width="15.125" customWidth="1"/>
    <col min="6" max="6" width="12.875" customWidth="1"/>
  </cols>
  <sheetData>
    <row r="1" spans="1:7">
      <c r="A1" s="3179" t="s">
        <v>2997</v>
      </c>
      <c r="B1" s="3179" t="s">
        <v>2998</v>
      </c>
      <c r="C1" s="3179" t="s">
        <v>2999</v>
      </c>
      <c r="D1" s="3298" t="s">
        <v>3019</v>
      </c>
      <c r="E1" s="3299"/>
    </row>
    <row r="2" spans="1:7">
      <c r="A2" s="3179" t="s">
        <v>3000</v>
      </c>
      <c r="B2" s="3180"/>
      <c r="C2" s="3180">
        <v>3951.98</v>
      </c>
      <c r="D2" s="3180"/>
      <c r="E2" s="3180"/>
      <c r="F2" s="3178" t="s">
        <v>3018</v>
      </c>
      <c r="G2">
        <f>C4+C5+C6+C7</f>
        <v>1735.62</v>
      </c>
    </row>
    <row r="3" spans="1:7">
      <c r="A3" s="3179" t="s">
        <v>3001</v>
      </c>
      <c r="B3" s="3180"/>
      <c r="C3" s="3180">
        <v>2037.24</v>
      </c>
      <c r="D3" s="3180"/>
      <c r="E3" s="3180"/>
      <c r="F3" s="3178" t="s">
        <v>3020</v>
      </c>
      <c r="G3">
        <f>C3</f>
        <v>2037.24</v>
      </c>
    </row>
    <row r="4" spans="1:7">
      <c r="A4" s="3179" t="s">
        <v>3002</v>
      </c>
      <c r="B4" s="3180"/>
      <c r="C4" s="3180">
        <v>102.18</v>
      </c>
      <c r="D4" s="3180"/>
      <c r="E4" s="3180"/>
      <c r="F4" s="3178" t="s">
        <v>3021</v>
      </c>
      <c r="G4">
        <f>B9+E12+E15+E16+E17+B18</f>
        <v>3656.42</v>
      </c>
    </row>
    <row r="5" spans="1:7">
      <c r="A5" s="3179" t="s">
        <v>3003</v>
      </c>
      <c r="B5" s="3180"/>
      <c r="C5" s="3180">
        <v>1087.51</v>
      </c>
      <c r="D5" s="3180"/>
      <c r="E5" s="3180"/>
      <c r="F5" s="3178" t="s">
        <v>3022</v>
      </c>
      <c r="G5">
        <f>E13</f>
        <v>808.44</v>
      </c>
    </row>
    <row r="6" spans="1:7">
      <c r="A6" s="3179" t="s">
        <v>3004</v>
      </c>
      <c r="B6" s="3180"/>
      <c r="C6" s="3180">
        <v>108.58</v>
      </c>
      <c r="D6" s="3180"/>
      <c r="E6" s="3180"/>
      <c r="F6" s="3178" t="s">
        <v>3023</v>
      </c>
      <c r="G6">
        <f>E14</f>
        <v>300.76</v>
      </c>
    </row>
    <row r="7" spans="1:7">
      <c r="A7" s="3179" t="s">
        <v>3005</v>
      </c>
      <c r="B7" s="3180"/>
      <c r="C7" s="3180">
        <v>437.35</v>
      </c>
      <c r="D7" s="3180"/>
      <c r="E7" s="3180"/>
    </row>
    <row r="8" spans="1:7">
      <c r="A8" s="3179" t="s">
        <v>3006</v>
      </c>
      <c r="B8" s="3180"/>
      <c r="C8" s="3180">
        <v>39021.96</v>
      </c>
      <c r="D8" s="3180"/>
      <c r="E8" s="3180"/>
    </row>
    <row r="9" spans="1:7">
      <c r="A9" s="3179" t="s">
        <v>3007</v>
      </c>
      <c r="B9" s="3180">
        <v>3150.46</v>
      </c>
      <c r="C9" s="3180"/>
      <c r="D9" s="3180"/>
      <c r="E9" s="3180"/>
    </row>
    <row r="10" spans="1:7">
      <c r="A10" s="3179" t="s">
        <v>3008</v>
      </c>
      <c r="B10" s="3180">
        <v>105477.65</v>
      </c>
      <c r="C10" s="3180"/>
      <c r="D10" s="3180"/>
      <c r="E10" s="3180"/>
    </row>
    <row r="11" spans="1:7">
      <c r="A11" s="3179" t="s">
        <v>3009</v>
      </c>
      <c r="B11" s="3180">
        <v>2906.04</v>
      </c>
      <c r="C11" s="3180"/>
      <c r="D11" s="3180"/>
      <c r="E11" s="3180"/>
    </row>
    <row r="12" spans="1:7">
      <c r="A12" s="3292" t="s">
        <v>3010</v>
      </c>
      <c r="B12" s="3295">
        <v>1262.92</v>
      </c>
      <c r="C12" s="3295"/>
      <c r="D12" s="3179" t="s">
        <v>3011</v>
      </c>
      <c r="E12" s="3180">
        <v>36.79</v>
      </c>
    </row>
    <row r="13" spans="1:7">
      <c r="A13" s="3293"/>
      <c r="B13" s="3296"/>
      <c r="C13" s="3296"/>
      <c r="D13" s="3179" t="s">
        <v>3012</v>
      </c>
      <c r="E13" s="3180">
        <v>808.44</v>
      </c>
    </row>
    <row r="14" spans="1:7">
      <c r="A14" s="3293"/>
      <c r="B14" s="3296"/>
      <c r="C14" s="3296"/>
      <c r="D14" s="3179" t="s">
        <v>3013</v>
      </c>
      <c r="E14" s="3180">
        <v>300.76</v>
      </c>
    </row>
    <row r="15" spans="1:7">
      <c r="A15" s="3293"/>
      <c r="B15" s="3296"/>
      <c r="C15" s="3296"/>
      <c r="D15" s="3179" t="s">
        <v>3014</v>
      </c>
      <c r="E15" s="3180">
        <v>14.98</v>
      </c>
    </row>
    <row r="16" spans="1:7">
      <c r="A16" s="3293"/>
      <c r="B16" s="3296"/>
      <c r="C16" s="3296"/>
      <c r="D16" s="3179" t="s">
        <v>3015</v>
      </c>
      <c r="E16" s="3180">
        <v>60.18</v>
      </c>
    </row>
    <row r="17" spans="1:5">
      <c r="A17" s="3294"/>
      <c r="B17" s="3297"/>
      <c r="C17" s="3297"/>
      <c r="D17" s="3179" t="s">
        <v>3016</v>
      </c>
      <c r="E17" s="3180">
        <v>41.77</v>
      </c>
    </row>
    <row r="18" spans="1:5">
      <c r="A18" s="3179" t="s">
        <v>3017</v>
      </c>
      <c r="B18" s="3180">
        <v>352.24</v>
      </c>
      <c r="C18" s="3180"/>
      <c r="D18" s="3179"/>
      <c r="E18" s="3180"/>
    </row>
    <row r="19" spans="1:5">
      <c r="A19" s="3180"/>
      <c r="B19" s="3180"/>
      <c r="C19" s="3180"/>
      <c r="D19" s="3180"/>
      <c r="E19" s="3180"/>
    </row>
    <row r="22" spans="1:5">
      <c r="B22" s="3178" t="s">
        <v>3063</v>
      </c>
      <c r="C22">
        <v>109998.85</v>
      </c>
    </row>
    <row r="23" spans="1:5">
      <c r="B23" s="3178" t="s">
        <v>3064</v>
      </c>
      <c r="C23">
        <v>46746.8</v>
      </c>
    </row>
    <row r="24" spans="1:5">
      <c r="B24" s="3178" t="s">
        <v>3065</v>
      </c>
      <c r="C24">
        <f>C8</f>
        <v>39021.96</v>
      </c>
    </row>
    <row r="25" spans="1:5">
      <c r="B25" s="3178" t="s">
        <v>3066</v>
      </c>
      <c r="C25">
        <f>C3+C4+C5+C6+C7</f>
        <v>3772.86</v>
      </c>
    </row>
    <row r="26" spans="1:5">
      <c r="B26" s="3178" t="s">
        <v>3067</v>
      </c>
      <c r="C26">
        <f>C2</f>
        <v>3951.98</v>
      </c>
    </row>
  </sheetData>
  <mergeCells count="4">
    <mergeCell ref="A12:A17"/>
    <mergeCell ref="B12:B17"/>
    <mergeCell ref="D1:E1"/>
    <mergeCell ref="C12:C17"/>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7" sqref="G27"/>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3" t="s">
        <v>201</v>
      </c>
      <c r="B1" s="1979"/>
      <c r="C1" s="1979"/>
      <c r="D1" s="1979"/>
      <c r="E1" s="1979"/>
      <c r="F1" s="1979"/>
      <c r="G1" s="1979"/>
      <c r="H1" s="1979"/>
      <c r="I1" s="1979"/>
      <c r="J1" s="1979"/>
      <c r="K1" s="1979"/>
      <c r="L1" s="1979"/>
    </row>
    <row r="2" spans="1:16" ht="15">
      <c r="A2" s="3309" t="s">
        <v>202</v>
      </c>
      <c r="B2" s="3309"/>
      <c r="C2" s="3309"/>
      <c r="D2" s="1970" t="s">
        <v>203</v>
      </c>
      <c r="E2" s="105" t="s">
        <v>204</v>
      </c>
      <c r="F2" s="1979"/>
      <c r="G2" s="1196"/>
      <c r="H2" s="1197"/>
      <c r="I2" s="1198" t="s">
        <v>854</v>
      </c>
      <c r="J2" s="1979"/>
      <c r="K2" s="1979"/>
      <c r="L2" s="1979"/>
    </row>
    <row r="3" spans="1:16" ht="15.75" thickBot="1">
      <c r="A3" s="3310" t="s">
        <v>205</v>
      </c>
      <c r="B3" s="3310"/>
      <c r="C3" s="3310"/>
      <c r="D3" s="106">
        <f>'数据-基础表'!AY6</f>
        <v>32181.54</v>
      </c>
      <c r="E3" s="106">
        <f>'数据-基础表'!AZ5</f>
        <v>186890.99</v>
      </c>
      <c r="F3" s="1979"/>
      <c r="G3" s="278" t="s">
        <v>855</v>
      </c>
      <c r="H3" s="273" t="s">
        <v>856</v>
      </c>
      <c r="I3" s="1971">
        <f>ROUND('数据-基础表'!B3/'数据-基础表'!A3,2)</f>
        <v>5.81</v>
      </c>
      <c r="J3" s="1979"/>
      <c r="K3" s="1979"/>
      <c r="L3" s="1979"/>
    </row>
    <row r="4" spans="1:16" ht="15">
      <c r="A4" s="3311"/>
      <c r="B4" s="3312"/>
      <c r="C4" s="3313"/>
      <c r="D4" s="107" t="s">
        <v>203</v>
      </c>
      <c r="E4" s="108" t="s">
        <v>204</v>
      </c>
      <c r="F4" s="1979"/>
      <c r="G4" s="1199"/>
      <c r="H4" s="273" t="s">
        <v>857</v>
      </c>
      <c r="I4" s="1971">
        <f>ROUND(SUMIF('数据-基础表'!I9:AS9,"地上",'数据-基础表'!I5:AS5)/'数据-基础表'!A3,2)</f>
        <v>4.8499999999999996</v>
      </c>
      <c r="J4" s="1979"/>
      <c r="K4" s="1979"/>
      <c r="L4" s="1979"/>
    </row>
    <row r="5" spans="1:16">
      <c r="A5" s="109" t="s">
        <v>206</v>
      </c>
      <c r="B5" s="3314" t="s">
        <v>229</v>
      </c>
      <c r="C5" s="3314"/>
      <c r="D5" s="110">
        <f>ROUND($D$3*E5/$E$3,2)</f>
        <v>0</v>
      </c>
      <c r="E5" s="111">
        <f>SUMIF('数据-基础表'!$11:$11,"住宅",'数据-基础表'!$5:$5)</f>
        <v>0</v>
      </c>
      <c r="F5" s="1979"/>
      <c r="G5" s="278" t="s">
        <v>858</v>
      </c>
      <c r="H5" s="273" t="s">
        <v>856</v>
      </c>
      <c r="I5" s="1971">
        <f>ROUND(E31/D31,2)</f>
        <v>5.81</v>
      </c>
      <c r="J5" s="1979"/>
      <c r="K5" s="1979"/>
      <c r="L5" s="1979"/>
    </row>
    <row r="6" spans="1:16" ht="15" thickBot="1">
      <c r="A6" s="112"/>
      <c r="B6" s="3314" t="s">
        <v>207</v>
      </c>
      <c r="C6" s="3314"/>
      <c r="D6" s="110">
        <f>ROUND($D$3*E6/$E$3,2)</f>
        <v>32181.54</v>
      </c>
      <c r="E6" s="111">
        <f>E3-E5</f>
        <v>186890.99</v>
      </c>
      <c r="F6" s="1979"/>
      <c r="G6" s="1199"/>
      <c r="H6" s="273" t="s">
        <v>857</v>
      </c>
      <c r="I6" s="1971">
        <f>ROUND(F31/D31,2)</f>
        <v>4.8499999999999996</v>
      </c>
      <c r="J6" s="1979"/>
      <c r="K6" s="1979"/>
      <c r="L6" s="1979"/>
    </row>
    <row r="7" spans="1:16" ht="15">
      <c r="A7" s="3306"/>
      <c r="B7" s="3307"/>
      <c r="C7" s="3308"/>
      <c r="D7" s="107" t="s">
        <v>203</v>
      </c>
      <c r="E7" s="113" t="s">
        <v>230</v>
      </c>
      <c r="F7" s="1979"/>
      <c r="G7" s="1154" t="s">
        <v>1643</v>
      </c>
      <c r="H7" s="1155"/>
      <c r="I7" s="1841"/>
      <c r="J7" s="1979"/>
      <c r="K7" s="1979"/>
      <c r="L7" s="1979"/>
    </row>
    <row r="8" spans="1:16">
      <c r="A8" s="109" t="s">
        <v>208</v>
      </c>
      <c r="B8" s="114" t="s">
        <v>209</v>
      </c>
      <c r="C8" s="110" t="s">
        <v>210</v>
      </c>
      <c r="D8" s="110">
        <f t="shared" ref="D8:D15" si="0">ROUND($D$3*E8/$E$3,2)</f>
        <v>26635.38</v>
      </c>
      <c r="E8" s="115">
        <f>SUMIF('数据-基础表'!BB10:BK10,"地上",'数据-基础表'!BB5:BK5)</f>
        <v>154682.24999999997</v>
      </c>
      <c r="F8" s="1979"/>
      <c r="G8" s="1981"/>
      <c r="H8" s="1981"/>
      <c r="I8" s="1979"/>
      <c r="J8" s="1979"/>
      <c r="K8" s="1979"/>
      <c r="L8" s="1979"/>
    </row>
    <row r="9" spans="1:16">
      <c r="A9" s="116"/>
      <c r="B9" s="117"/>
      <c r="C9" s="110" t="s">
        <v>211</v>
      </c>
      <c r="D9" s="110">
        <f t="shared" si="0"/>
        <v>0</v>
      </c>
      <c r="E9" s="118">
        <v>0</v>
      </c>
      <c r="F9" s="1979"/>
      <c r="G9" s="1981"/>
      <c r="H9" s="1981"/>
      <c r="I9" s="1979"/>
      <c r="J9" s="1979"/>
      <c r="K9" s="1979"/>
      <c r="L9" s="1979"/>
    </row>
    <row r="10" spans="1:16">
      <c r="A10" s="116"/>
      <c r="B10" s="117"/>
      <c r="C10" s="110" t="s">
        <v>212</v>
      </c>
      <c r="D10" s="110">
        <f t="shared" si="0"/>
        <v>0</v>
      </c>
      <c r="E10" s="115">
        <f>SUMPRODUCT(('数据-基础表'!BB10:BK10="地下")*('数据-基础表'!BB11:BK11="商业")*('数据-基础表'!BB5:BK5))</f>
        <v>0</v>
      </c>
      <c r="F10" s="1979"/>
      <c r="G10" s="1981"/>
      <c r="H10" s="1981"/>
      <c r="I10" s="1979"/>
      <c r="J10" s="1979"/>
      <c r="K10" s="1979"/>
      <c r="L10" s="1979"/>
    </row>
    <row r="11" spans="1:16">
      <c r="A11" s="116"/>
      <c r="B11" s="117"/>
      <c r="C11" s="2326" t="s">
        <v>2321</v>
      </c>
      <c r="D11" s="110">
        <f t="shared" si="0"/>
        <v>0</v>
      </c>
      <c r="E11" s="115">
        <f>SUMPRODUCT(('数据-基础表'!BB10:BK10="地下")*('数据-基础表'!BB11:BK11="办公")*('数据-基础表'!BB5:BK5))+'数据-基础表'!AJ5</f>
        <v>0</v>
      </c>
      <c r="F11" s="1979"/>
      <c r="G11" s="1981"/>
      <c r="H11" s="1981"/>
      <c r="I11" s="1979"/>
      <c r="J11" s="1979"/>
      <c r="K11" s="1979"/>
      <c r="L11" s="1979"/>
    </row>
    <row r="12" spans="1:16">
      <c r="A12" s="116"/>
      <c r="B12" s="117"/>
      <c r="C12" s="110" t="s">
        <v>213</v>
      </c>
      <c r="D12" s="110">
        <f t="shared" si="0"/>
        <v>1145.1099999999999</v>
      </c>
      <c r="E12" s="115">
        <f>SUMPRODUCT(('数据-基础表'!BB10:BK10="地下")*('数据-基础表'!BB11:BK11="仓储")*('数据-基础表'!BB5:BK5))</f>
        <v>6650.08</v>
      </c>
      <c r="F12" s="1979"/>
      <c r="G12" s="1981"/>
      <c r="H12" s="1981"/>
      <c r="I12" s="1979"/>
      <c r="J12" s="1979"/>
      <c r="K12" s="1979"/>
      <c r="L12" s="1979"/>
    </row>
    <row r="13" spans="1:16">
      <c r="A13" s="116"/>
      <c r="B13" s="117"/>
      <c r="C13" s="2326" t="s">
        <v>2328</v>
      </c>
      <c r="D13" s="110">
        <f t="shared" si="0"/>
        <v>4084.75</v>
      </c>
      <c r="E13" s="115">
        <f>SUMPRODUCT(('数据-基础表'!BB10:BK10="地下")*('数据-基础表'!BB11:BK11="车库")*('数据-基础表'!BB5:BK5))</f>
        <v>23721.78</v>
      </c>
      <c r="F13" s="1979"/>
      <c r="G13" s="1981"/>
      <c r="H13" s="1981"/>
      <c r="I13" s="1979"/>
      <c r="J13" s="1979"/>
      <c r="K13" s="1979"/>
      <c r="L13" s="1979"/>
    </row>
    <row r="14" spans="1:16">
      <c r="A14" s="116"/>
      <c r="B14" s="117"/>
      <c r="C14" s="110" t="s">
        <v>231</v>
      </c>
      <c r="D14" s="110">
        <f t="shared" si="0"/>
        <v>0</v>
      </c>
      <c r="E14" s="115">
        <f>SUMPRODUCT(('数据-基础表'!BB10:BK10="地下")*('数据-基础表'!BB11:BK11="车库—商业")*('数据-基础表'!BB5:BK5))</f>
        <v>0</v>
      </c>
      <c r="F14" s="1979"/>
      <c r="G14" s="1981"/>
      <c r="H14" s="1981"/>
      <c r="I14" s="1979"/>
      <c r="J14" s="1979"/>
      <c r="K14" s="1979"/>
      <c r="L14" s="1979"/>
    </row>
    <row r="15" spans="1:16" ht="15" thickBot="1">
      <c r="A15" s="116"/>
      <c r="B15" s="117"/>
      <c r="C15" s="110" t="s">
        <v>232</v>
      </c>
      <c r="D15" s="110">
        <f t="shared" si="0"/>
        <v>0</v>
      </c>
      <c r="E15" s="115">
        <f>SUMPRODUCT(('数据-基础表'!BB10:BK10="地下")*('数据-基础表'!BB11:BK11="车库—办公")*('数据-基础表'!BB5:BK5))</f>
        <v>0</v>
      </c>
      <c r="F15" s="1979"/>
      <c r="G15" s="1981"/>
      <c r="H15" s="1981"/>
      <c r="I15" s="1979"/>
      <c r="J15" s="1979"/>
      <c r="K15" s="1979"/>
      <c r="L15" s="1979"/>
    </row>
    <row r="16" spans="1:16" ht="15.75" thickBot="1">
      <c r="A16" s="112"/>
      <c r="B16" s="117"/>
      <c r="C16" s="114" t="s">
        <v>214</v>
      </c>
      <c r="D16" s="114">
        <f>SUM(D8:D15)</f>
        <v>31865.24</v>
      </c>
      <c r="E16" s="119">
        <f>SUM(E8:E15)</f>
        <v>185054.10999999996</v>
      </c>
      <c r="F16" s="1979"/>
      <c r="G16" s="1981"/>
      <c r="H16" s="966" t="s">
        <v>218</v>
      </c>
      <c r="I16" s="967"/>
      <c r="J16" s="1979"/>
      <c r="K16" s="3300" t="s">
        <v>2558</v>
      </c>
      <c r="L16" s="3301"/>
      <c r="M16" s="3301"/>
      <c r="N16" s="3301"/>
      <c r="O16" s="3301"/>
      <c r="P16" s="3302"/>
    </row>
    <row r="17" spans="1:19" ht="15">
      <c r="A17" s="120" t="s">
        <v>215</v>
      </c>
      <c r="B17" s="121" t="s">
        <v>216</v>
      </c>
      <c r="C17" s="2293" t="s">
        <v>2309</v>
      </c>
      <c r="D17" s="107" t="s">
        <v>203</v>
      </c>
      <c r="E17" s="123" t="s">
        <v>204</v>
      </c>
      <c r="F17" s="124"/>
      <c r="G17" s="1363"/>
      <c r="H17" s="968" t="s">
        <v>217</v>
      </c>
      <c r="I17" s="969" t="s">
        <v>2308</v>
      </c>
      <c r="J17" s="1979"/>
      <c r="K17" s="3303" t="s">
        <v>2559</v>
      </c>
      <c r="L17" s="3304"/>
      <c r="M17" s="3305"/>
      <c r="N17" s="3303" t="s">
        <v>2560</v>
      </c>
      <c r="O17" s="3304"/>
      <c r="P17" s="3305"/>
      <c r="R17" s="2294" t="s">
        <v>2307</v>
      </c>
      <c r="S17" s="142"/>
    </row>
    <row r="18" spans="1:19" ht="15">
      <c r="A18" s="116"/>
      <c r="B18" s="127"/>
      <c r="C18" s="128"/>
      <c r="D18" s="2637"/>
      <c r="E18" s="129" t="s">
        <v>219</v>
      </c>
      <c r="F18" s="130" t="s">
        <v>220</v>
      </c>
      <c r="G18" s="1364" t="s">
        <v>221</v>
      </c>
      <c r="H18" s="970" t="s">
        <v>222</v>
      </c>
      <c r="I18" s="971" t="s">
        <v>223</v>
      </c>
      <c r="J18" s="1979"/>
      <c r="K18" s="2600" t="s">
        <v>2561</v>
      </c>
      <c r="L18" s="2601" t="s">
        <v>2562</v>
      </c>
      <c r="M18" s="2602" t="s">
        <v>2563</v>
      </c>
      <c r="N18" s="2600" t="s">
        <v>2561</v>
      </c>
      <c r="O18" s="2601" t="s">
        <v>2562</v>
      </c>
      <c r="P18" s="2602" t="s">
        <v>2563</v>
      </c>
      <c r="R18" s="2295" t="s">
        <v>2305</v>
      </c>
      <c r="S18" s="2295" t="s">
        <v>2306</v>
      </c>
    </row>
    <row r="19" spans="1:19">
      <c r="A19" s="132"/>
      <c r="B19" s="114" t="s">
        <v>224</v>
      </c>
      <c r="C19" s="3016" t="s">
        <v>3110</v>
      </c>
      <c r="D19" s="110">
        <f t="shared" ref="D19:D26" si="1">ROUND($D$3*E19/$E$3,2)</f>
        <v>5273.66</v>
      </c>
      <c r="E19" s="133">
        <f t="shared" ref="E19:E26" si="2">SUM(F19:G19)</f>
        <v>30626.26</v>
      </c>
      <c r="F19" s="134">
        <f>'数据-基础表'!I18</f>
        <v>30626.26</v>
      </c>
      <c r="G19" s="1365"/>
      <c r="H19" s="972">
        <f>ROUND($D$3*I19/$E$3,2)</f>
        <v>52.35</v>
      </c>
      <c r="I19" s="115">
        <f>IF($I$17="自定义",P19,M19)</f>
        <v>304</v>
      </c>
      <c r="J19" s="1979"/>
      <c r="K19" s="2603">
        <f t="shared" ref="K19:K26" si="3">ROUND(E$28*E19/E$27,2)</f>
        <v>304</v>
      </c>
      <c r="L19" s="273">
        <f t="shared" ref="L19:L26" si="4">ROUND(IF(COUNTIF(C19,"*住宅*")&gt;0,E$29*E19/E$32,0),2)</f>
        <v>0</v>
      </c>
      <c r="M19" s="2604">
        <f>K19+L19</f>
        <v>304</v>
      </c>
      <c r="N19" s="2605"/>
      <c r="O19" s="2606"/>
      <c r="P19" s="2607">
        <f>N19+O19</f>
        <v>0</v>
      </c>
      <c r="R19" s="273">
        <f t="shared" ref="R19:S26" si="5">D19+H19</f>
        <v>5326.01</v>
      </c>
      <c r="S19" s="2296">
        <f t="shared" si="5"/>
        <v>30930.26</v>
      </c>
    </row>
    <row r="20" spans="1:19">
      <c r="A20" s="137"/>
      <c r="B20" s="114" t="s">
        <v>225</v>
      </c>
      <c r="C20" s="3016" t="s">
        <v>3112</v>
      </c>
      <c r="D20" s="110">
        <f t="shared" si="1"/>
        <v>13277.49</v>
      </c>
      <c r="E20" s="133">
        <f t="shared" si="2"/>
        <v>77107.640000000014</v>
      </c>
      <c r="F20" s="134">
        <f>'数据-基础表'!I16+'数据-基础表'!I17+'数据-基础表'!I19</f>
        <v>77107.640000000014</v>
      </c>
      <c r="G20" s="1365"/>
      <c r="H20" s="972">
        <f t="shared" ref="H20:H26" si="6">ROUND($D$3*I20/$E$3,2)</f>
        <v>131.79</v>
      </c>
      <c r="I20" s="115">
        <f t="shared" ref="I20:I26" si="7">IF($I$17="自定义",P20,M20)</f>
        <v>765.38</v>
      </c>
      <c r="J20" s="1979"/>
      <c r="K20" s="2603">
        <f t="shared" si="3"/>
        <v>765.38</v>
      </c>
      <c r="L20" s="273">
        <f t="shared" si="4"/>
        <v>0</v>
      </c>
      <c r="M20" s="2604">
        <f t="shared" ref="M20:M26" si="8">K20+L20</f>
        <v>765.38</v>
      </c>
      <c r="N20" s="2605"/>
      <c r="O20" s="2606"/>
      <c r="P20" s="2607">
        <f t="shared" ref="P20:P26" si="9">N20+O20</f>
        <v>0</v>
      </c>
      <c r="R20" s="273">
        <f t="shared" si="5"/>
        <v>13409.28</v>
      </c>
      <c r="S20" s="2296">
        <f t="shared" si="5"/>
        <v>77873.020000000019</v>
      </c>
    </row>
    <row r="21" spans="1:19">
      <c r="A21" s="137"/>
      <c r="B21" s="114" t="s">
        <v>225</v>
      </c>
      <c r="C21" s="3016" t="s">
        <v>3114</v>
      </c>
      <c r="D21" s="110">
        <f t="shared" si="1"/>
        <v>3071.25</v>
      </c>
      <c r="E21" s="133">
        <f t="shared" si="2"/>
        <v>17835.989999999998</v>
      </c>
      <c r="F21" s="134">
        <f>'数据-基础表'!I15</f>
        <v>17835.989999999998</v>
      </c>
      <c r="G21" s="1365"/>
      <c r="H21" s="972">
        <f t="shared" si="6"/>
        <v>30.49</v>
      </c>
      <c r="I21" s="115">
        <f t="shared" si="7"/>
        <v>177.04</v>
      </c>
      <c r="J21" s="1979"/>
      <c r="K21" s="2603">
        <f t="shared" si="3"/>
        <v>177.04</v>
      </c>
      <c r="L21" s="273">
        <f t="shared" si="4"/>
        <v>0</v>
      </c>
      <c r="M21" s="2604">
        <f t="shared" si="8"/>
        <v>177.04</v>
      </c>
      <c r="N21" s="2605"/>
      <c r="O21" s="2606"/>
      <c r="P21" s="2607">
        <f t="shared" si="9"/>
        <v>0</v>
      </c>
      <c r="R21" s="273">
        <f t="shared" si="5"/>
        <v>3101.74</v>
      </c>
      <c r="S21" s="2296">
        <f t="shared" si="5"/>
        <v>18013.03</v>
      </c>
    </row>
    <row r="22" spans="1:19">
      <c r="A22" s="137"/>
      <c r="B22" s="114" t="s">
        <v>225</v>
      </c>
      <c r="C22" s="3215" t="s">
        <v>3116</v>
      </c>
      <c r="D22" s="110">
        <f t="shared" si="1"/>
        <v>4089.98</v>
      </c>
      <c r="E22" s="133">
        <f t="shared" si="2"/>
        <v>23752.149999999998</v>
      </c>
      <c r="F22" s="138">
        <f>'数据-基础表'!I13+'数据-基础表'!I14</f>
        <v>23752.149999999998</v>
      </c>
      <c r="G22" s="1366"/>
      <c r="H22" s="972">
        <f t="shared" si="6"/>
        <v>40.6</v>
      </c>
      <c r="I22" s="115">
        <f t="shared" si="7"/>
        <v>235.77</v>
      </c>
      <c r="J22" s="1979"/>
      <c r="K22" s="2603">
        <f t="shared" si="3"/>
        <v>235.77</v>
      </c>
      <c r="L22" s="273">
        <f t="shared" si="4"/>
        <v>0</v>
      </c>
      <c r="M22" s="2604">
        <f t="shared" si="8"/>
        <v>235.77</v>
      </c>
      <c r="N22" s="2605"/>
      <c r="O22" s="2606"/>
      <c r="P22" s="2607">
        <f t="shared" si="9"/>
        <v>0</v>
      </c>
      <c r="R22" s="273">
        <f t="shared" si="5"/>
        <v>4130.58</v>
      </c>
      <c r="S22" s="2296">
        <f t="shared" si="5"/>
        <v>23987.919999999998</v>
      </c>
    </row>
    <row r="23" spans="1:19">
      <c r="A23" s="137"/>
      <c r="B23" s="114" t="s">
        <v>225</v>
      </c>
      <c r="C23" s="3215" t="s">
        <v>3117</v>
      </c>
      <c r="D23" s="110">
        <f>ROUND($D$3*E23/$E$3,2)</f>
        <v>923</v>
      </c>
      <c r="E23" s="133">
        <f>SUM(F23:G23)</f>
        <v>5360.21</v>
      </c>
      <c r="F23" s="138">
        <f>'数据-基础表'!M13+'数据-基础表'!M14+'数据-基础表'!M15+'数据-基础表'!M16+'数据-基础表'!M17+'数据-基础表'!M18+'数据-基础表'!M19+'数据-基础表'!M20+'数据-基础表'!M21+'数据-基础表'!M22+'数据-基础表'!M23+'数据-基础表'!M24+'数据-基础表'!M25</f>
        <v>5360.21</v>
      </c>
      <c r="G23" s="1366"/>
      <c r="H23" s="972">
        <f>ROUND($D$3*I23/$E$3,2)</f>
        <v>9.16</v>
      </c>
      <c r="I23" s="115">
        <f t="shared" si="7"/>
        <v>53.21</v>
      </c>
      <c r="J23" s="1979"/>
      <c r="K23" s="2603">
        <f t="shared" si="3"/>
        <v>53.21</v>
      </c>
      <c r="L23" s="273">
        <f t="shared" si="4"/>
        <v>0</v>
      </c>
      <c r="M23" s="2604">
        <f t="shared" si="8"/>
        <v>53.21</v>
      </c>
      <c r="N23" s="2605"/>
      <c r="O23" s="2606"/>
      <c r="P23" s="2607">
        <f t="shared" si="9"/>
        <v>0</v>
      </c>
      <c r="R23" s="273">
        <f t="shared" si="5"/>
        <v>932.16</v>
      </c>
      <c r="S23" s="2296">
        <f t="shared" si="5"/>
        <v>5413.42</v>
      </c>
    </row>
    <row r="24" spans="1:19">
      <c r="A24" s="137"/>
      <c r="B24" s="114" t="s">
        <v>225</v>
      </c>
      <c r="C24" s="3215" t="s">
        <v>3118</v>
      </c>
      <c r="D24" s="110">
        <f>ROUND($D$3*E24/$E$3,2)</f>
        <v>4084.75</v>
      </c>
      <c r="E24" s="133">
        <f>SUM(F24:G24)</f>
        <v>23721.78</v>
      </c>
      <c r="F24" s="138"/>
      <c r="G24" s="1366">
        <f>'数据-基础表'!K24</f>
        <v>23721.78</v>
      </c>
      <c r="H24" s="972">
        <f>ROUND($D$3*I24/$E$3,2)</f>
        <v>40.549999999999997</v>
      </c>
      <c r="I24" s="115">
        <f t="shared" si="7"/>
        <v>235.47</v>
      </c>
      <c r="J24" s="1979"/>
      <c r="K24" s="2603">
        <f t="shared" si="3"/>
        <v>235.47</v>
      </c>
      <c r="L24" s="273">
        <f t="shared" si="4"/>
        <v>0</v>
      </c>
      <c r="M24" s="2604">
        <f t="shared" si="8"/>
        <v>235.47</v>
      </c>
      <c r="N24" s="2605"/>
      <c r="O24" s="2606"/>
      <c r="P24" s="2607">
        <f t="shared" si="9"/>
        <v>0</v>
      </c>
      <c r="R24" s="273">
        <f t="shared" si="5"/>
        <v>4125.3</v>
      </c>
      <c r="S24" s="2296">
        <f t="shared" si="5"/>
        <v>23957.25</v>
      </c>
    </row>
    <row r="25" spans="1:19">
      <c r="A25" s="137"/>
      <c r="B25" s="114" t="s">
        <v>225</v>
      </c>
      <c r="C25" s="3215" t="s">
        <v>3139</v>
      </c>
      <c r="D25" s="110">
        <f t="shared" si="1"/>
        <v>1145.1099999999999</v>
      </c>
      <c r="E25" s="133">
        <f t="shared" si="2"/>
        <v>6650.08</v>
      </c>
      <c r="F25" s="138"/>
      <c r="G25" s="1366">
        <f>'数据-基础表'!AA13+'数据-基础表'!AA14+'数据-基础表'!AA15+'数据-基础表'!AA16+'数据-基础表'!AA17+'数据-基础表'!AA18+'数据-基础表'!AA19</f>
        <v>6650.08</v>
      </c>
      <c r="H25" s="109">
        <f t="shared" si="6"/>
        <v>11.37</v>
      </c>
      <c r="I25" s="115">
        <f t="shared" si="7"/>
        <v>66.010000000000005</v>
      </c>
      <c r="J25" s="1979"/>
      <c r="K25" s="2603">
        <f t="shared" si="3"/>
        <v>66.010000000000005</v>
      </c>
      <c r="L25" s="273">
        <f t="shared" si="4"/>
        <v>0</v>
      </c>
      <c r="M25" s="2604">
        <f t="shared" si="8"/>
        <v>66.010000000000005</v>
      </c>
      <c r="N25" s="2605"/>
      <c r="O25" s="2606"/>
      <c r="P25" s="2607">
        <f t="shared" si="9"/>
        <v>0</v>
      </c>
      <c r="R25" s="273">
        <f t="shared" si="5"/>
        <v>1156.4799999999998</v>
      </c>
      <c r="S25" s="2296">
        <f t="shared" si="5"/>
        <v>6716.09</v>
      </c>
    </row>
    <row r="26" spans="1:19">
      <c r="A26" s="137"/>
      <c r="B26" s="114" t="s">
        <v>225</v>
      </c>
      <c r="C26" s="140"/>
      <c r="D26" s="110">
        <f t="shared" si="1"/>
        <v>0</v>
      </c>
      <c r="E26" s="133">
        <f t="shared" si="2"/>
        <v>0</v>
      </c>
      <c r="F26" s="138"/>
      <c r="G26" s="1366"/>
      <c r="H26" s="109">
        <f t="shared" si="6"/>
        <v>0</v>
      </c>
      <c r="I26" s="115">
        <f t="shared" si="7"/>
        <v>0</v>
      </c>
      <c r="J26" s="1979"/>
      <c r="K26" s="2608">
        <f t="shared" si="3"/>
        <v>0</v>
      </c>
      <c r="L26" s="278">
        <f t="shared" si="4"/>
        <v>0</v>
      </c>
      <c r="M26" s="144">
        <f t="shared" si="8"/>
        <v>0</v>
      </c>
      <c r="N26" s="2609"/>
      <c r="O26" s="2610"/>
      <c r="P26" s="2611">
        <f t="shared" si="9"/>
        <v>0</v>
      </c>
      <c r="R26" s="273">
        <f t="shared" si="5"/>
        <v>0</v>
      </c>
      <c r="S26" s="2296">
        <f t="shared" si="5"/>
        <v>0</v>
      </c>
    </row>
    <row r="27" spans="1:19" ht="29.25" thickBot="1">
      <c r="A27" s="137"/>
      <c r="B27" s="110"/>
      <c r="C27" s="126" t="s">
        <v>214</v>
      </c>
      <c r="D27" s="133">
        <f>SUM(D19:D26)</f>
        <v>31865.24</v>
      </c>
      <c r="E27" s="141">
        <f>IF(SUM(E19:E26)='数据-基础表'!BA5,SUM(E19:E26),IF(F27="地上面积有误","面积有误","地下面积有误"))</f>
        <v>185054.11</v>
      </c>
      <c r="F27" s="133">
        <f>IF(SUM(F19:F26)=E8,SUM(F19:F26),"地上面积有误")</f>
        <v>154682.25</v>
      </c>
      <c r="G27" s="111">
        <f>SUM(G19:G26)</f>
        <v>30371.86</v>
      </c>
      <c r="H27" s="973">
        <f>SUM(H19:H26)</f>
        <v>316.31</v>
      </c>
      <c r="I27" s="974">
        <f>SUM(I19:I26)</f>
        <v>1836.88</v>
      </c>
      <c r="J27" s="1979"/>
      <c r="K27" s="2612">
        <f>SUM(K19:K26)</f>
        <v>1836.88</v>
      </c>
      <c r="L27" s="2613">
        <f>SUM(L19:L26)</f>
        <v>0</v>
      </c>
      <c r="M27" s="2614">
        <f>SUM(M19:M26)</f>
        <v>1836.88</v>
      </c>
      <c r="N27" s="2612">
        <f t="shared" ref="N27:O27" si="10">SUM(N19:N26)</f>
        <v>0</v>
      </c>
      <c r="O27" s="2613">
        <f t="shared" si="10"/>
        <v>0</v>
      </c>
      <c r="P27" s="2615">
        <f>SUM(P19:P26)</f>
        <v>0</v>
      </c>
      <c r="R27" s="2300" t="str">
        <f>IF(SUM(R19:R26)=$D$3,SUM(R19:R26),SUM(R19:R26)&amp;"误差"&amp;ROUND(SUM(R19:R26)-$D$3,2))</f>
        <v>32181.55误差0.01</v>
      </c>
      <c r="S27" s="273">
        <f>IF(SUM(S19:S26)=$E$3,SUM(S19:S26),SUM(S19:S26)&amp;"误差"&amp;ROUND(SUM(S19:S26)-E3,2))</f>
        <v>186890.99000000002</v>
      </c>
    </row>
    <row r="28" spans="1:19">
      <c r="A28" s="137"/>
      <c r="B28" s="114" t="s">
        <v>226</v>
      </c>
      <c r="C28" s="135" t="s">
        <v>227</v>
      </c>
      <c r="D28" s="110">
        <f>ROUND($D$3*E28/$E$3,2)</f>
        <v>316.3</v>
      </c>
      <c r="E28" s="133">
        <f>SUM(F28:G28)</f>
        <v>1836.8800000000006</v>
      </c>
      <c r="F28" s="142">
        <f>'数据-基础表'!BQ5+'数据-基础表'!BS5</f>
        <v>1457.1100000000001</v>
      </c>
      <c r="G28" s="143">
        <f>'数据-基础表'!BR5+'数据-基础表'!BT5</f>
        <v>379.77000000000044</v>
      </c>
      <c r="H28" s="1979"/>
      <c r="I28" s="1979"/>
      <c r="J28" s="1979"/>
      <c r="K28" s="1979"/>
      <c r="L28" s="1979"/>
    </row>
    <row r="29" spans="1:19">
      <c r="A29" s="137"/>
      <c r="B29" s="114" t="s">
        <v>226</v>
      </c>
      <c r="C29" s="2308" t="s">
        <v>2316</v>
      </c>
      <c r="D29" s="110">
        <f>ROUND($D$3*E29/$E$3,2)</f>
        <v>0</v>
      </c>
      <c r="E29" s="133">
        <f>SUM(F29:G29)</f>
        <v>0</v>
      </c>
      <c r="F29" s="142">
        <f>'数据-基础表'!BM5+'数据-基础表'!BO5</f>
        <v>0</v>
      </c>
      <c r="G29" s="144">
        <f>'数据-基础表'!BN5+'数据-基础表'!BP5</f>
        <v>0</v>
      </c>
      <c r="H29" s="1979"/>
      <c r="I29" s="1979"/>
      <c r="J29" s="1979"/>
      <c r="K29" s="1979"/>
      <c r="L29" s="1979"/>
    </row>
    <row r="30" spans="1:19">
      <c r="A30" s="137"/>
      <c r="B30" s="110"/>
      <c r="C30" s="145" t="s">
        <v>214</v>
      </c>
      <c r="D30" s="133">
        <f>SUM(D28:D29)</f>
        <v>316.3</v>
      </c>
      <c r="E30" s="133">
        <f>SUM(E28:E29)</f>
        <v>1836.8800000000006</v>
      </c>
      <c r="F30" s="133">
        <f>SUM(F28:F29)</f>
        <v>1457.1100000000001</v>
      </c>
      <c r="G30" s="111">
        <f>SUM(G28:G29)</f>
        <v>379.77000000000044</v>
      </c>
      <c r="H30" s="1979"/>
      <c r="I30" s="1979"/>
      <c r="J30" s="1979"/>
      <c r="K30" s="1979"/>
      <c r="L30" s="1979"/>
    </row>
    <row r="31" spans="1:19" ht="32.25" customHeight="1" thickBot="1">
      <c r="A31" s="1367"/>
      <c r="B31" s="1368" t="s">
        <v>228</v>
      </c>
      <c r="C31" s="2325" t="s">
        <v>2318</v>
      </c>
      <c r="D31" s="1369">
        <f>D27+D30</f>
        <v>32181.54</v>
      </c>
      <c r="E31" s="1369">
        <f>E27+E30</f>
        <v>186890.99</v>
      </c>
      <c r="F31" s="1370">
        <f>F27+F30</f>
        <v>156139.35999999999</v>
      </c>
      <c r="G31" s="1371">
        <f>G27+G30</f>
        <v>30751.63</v>
      </c>
      <c r="H31" s="1979"/>
      <c r="I31" s="1979"/>
      <c r="J31" s="1979"/>
      <c r="K31" s="1979"/>
      <c r="L31" s="1979"/>
    </row>
    <row r="32" spans="1:19">
      <c r="A32" s="1979"/>
      <c r="B32" s="2358" t="s">
        <v>2317</v>
      </c>
      <c r="C32" s="2642"/>
      <c r="D32" s="1199"/>
      <c r="E32" s="1199">
        <f>SUMIF(C19:C26,"*住宅*",E19:E26)</f>
        <v>41588.14</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7" activePane="bottomRight" state="frozen"/>
      <selection pane="topRight" activeCell="D1" sqref="D1"/>
      <selection pane="bottomLeft" activeCell="A4" sqref="A4"/>
      <selection pane="bottomRight" activeCell="J35" sqref="J3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6" t="s">
        <v>233</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7" t="s">
        <v>234</v>
      </c>
      <c r="B2" s="2333">
        <f>项目基本情况!D3</f>
        <v>43447</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48" t="s">
        <v>861</v>
      </c>
      <c r="B4" s="150"/>
      <c r="C4" s="151"/>
      <c r="D4" s="1206"/>
      <c r="E4" s="1207" t="s">
        <v>862</v>
      </c>
      <c r="F4" s="151"/>
      <c r="G4" s="151"/>
      <c r="H4" s="151"/>
      <c r="I4" s="151"/>
      <c r="J4" s="152"/>
      <c r="K4" s="1208"/>
      <c r="L4" s="1209"/>
      <c r="M4" s="151"/>
      <c r="N4" s="1207" t="s">
        <v>863</v>
      </c>
      <c r="O4" s="151"/>
      <c r="P4" s="151"/>
      <c r="Q4" s="151"/>
      <c r="R4" s="151"/>
      <c r="S4" s="152"/>
      <c r="T4" s="975" t="str">
        <f>'数据-汇总表'!I17</f>
        <v>按面积比例</v>
      </c>
      <c r="U4" s="150" t="s">
        <v>864</v>
      </c>
      <c r="V4" s="151"/>
      <c r="W4" s="151"/>
      <c r="X4" s="151"/>
      <c r="Y4" s="152"/>
      <c r="Z4" s="122" t="s">
        <v>865</v>
      </c>
      <c r="AA4" s="122"/>
      <c r="AB4" s="122"/>
      <c r="AC4" s="122"/>
      <c r="AD4" s="122"/>
      <c r="AE4" s="120" t="s">
        <v>866</v>
      </c>
      <c r="AF4" s="122"/>
      <c r="AG4" s="153"/>
      <c r="AH4" s="150"/>
      <c r="AI4" s="151"/>
      <c r="AJ4" s="151"/>
      <c r="AK4" s="151"/>
      <c r="AL4" s="151"/>
      <c r="AM4" s="152"/>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2320</v>
      </c>
      <c r="B5" s="154" t="s">
        <v>235</v>
      </c>
      <c r="C5" s="155" t="s">
        <v>236</v>
      </c>
      <c r="D5" s="156" t="s">
        <v>237</v>
      </c>
      <c r="E5" s="157" t="s">
        <v>238</v>
      </c>
      <c r="F5" s="158" t="s">
        <v>239</v>
      </c>
      <c r="G5" s="157" t="s">
        <v>240</v>
      </c>
      <c r="H5" s="157" t="s">
        <v>859</v>
      </c>
      <c r="I5" s="157" t="s">
        <v>860</v>
      </c>
      <c r="J5" s="159" t="s">
        <v>241</v>
      </c>
      <c r="K5" s="160" t="s">
        <v>242</v>
      </c>
      <c r="L5" s="161" t="s">
        <v>243</v>
      </c>
      <c r="M5" s="162" t="s">
        <v>244</v>
      </c>
      <c r="N5" s="1217" t="s">
        <v>2820</v>
      </c>
      <c r="O5" s="161" t="s">
        <v>245</v>
      </c>
      <c r="P5" s="163" t="s">
        <v>246</v>
      </c>
      <c r="Q5" s="164" t="s">
        <v>247</v>
      </c>
      <c r="R5" s="165" t="s">
        <v>248</v>
      </c>
      <c r="S5" s="2616" t="s">
        <v>2564</v>
      </c>
      <c r="T5" s="166" t="s">
        <v>249</v>
      </c>
      <c r="U5" s="167" t="s">
        <v>250</v>
      </c>
      <c r="V5" s="157" t="s">
        <v>251</v>
      </c>
      <c r="W5" s="157" t="s">
        <v>252</v>
      </c>
      <c r="X5" s="1813"/>
      <c r="Y5" s="168" t="s">
        <v>253</v>
      </c>
      <c r="Z5" s="169" t="s">
        <v>254</v>
      </c>
      <c r="AA5" s="157" t="s">
        <v>251</v>
      </c>
      <c r="AB5" s="157" t="s">
        <v>252</v>
      </c>
      <c r="AC5" s="1814"/>
      <c r="AD5" s="170" t="s">
        <v>253</v>
      </c>
      <c r="AE5" s="1" t="s">
        <v>867</v>
      </c>
      <c r="AF5" s="157" t="s">
        <v>255</v>
      </c>
      <c r="AG5" s="168" t="s">
        <v>256</v>
      </c>
      <c r="AH5" s="1814" t="s">
        <v>2319</v>
      </c>
      <c r="AI5" s="169" t="s">
        <v>2288</v>
      </c>
      <c r="AJ5" s="169" t="s">
        <v>257</v>
      </c>
      <c r="AK5" s="157" t="s">
        <v>258</v>
      </c>
      <c r="AL5" s="157" t="s">
        <v>259</v>
      </c>
      <c r="AM5" s="170" t="s">
        <v>260</v>
      </c>
      <c r="AN5" s="2386" t="s">
        <v>2367</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精装LOFT</v>
      </c>
      <c r="B6" s="2332" t="str">
        <f>IF(A6=0,"","经营性")</f>
        <v>经营性</v>
      </c>
      <c r="C6" s="171" t="s">
        <v>2996</v>
      </c>
      <c r="D6" s="2303">
        <f>SUMIF(项目基本情况!D$15:I$15,C6,项目基本情况!D$18:I$18)</f>
        <v>40</v>
      </c>
      <c r="E6" s="2304">
        <f>IF(B6="","",SUMIF(项目基本情况!D$15:I$15,C6,项目基本情况!D$17:I$17))</f>
        <v>56233</v>
      </c>
      <c r="F6" s="172">
        <f>SUMIF(项目基本情况!D$15:I$15,C6,项目基本情况!D$19:I$19)</f>
        <v>35.03</v>
      </c>
      <c r="G6" s="173">
        <f>IF(ISERROR(ROUND(POWER(1+H6,D6-F6)*(POWER(1+H6,F6)-1)/(POWER(1+H6,D6)-1),3)),0,ROUND(POWER(1+H6,D6-F6)*(POWER(1+H6,F6)-1)/(POWER(1+H6,D6)-1),3))</f>
        <v>0.95899999999999996</v>
      </c>
      <c r="H6" s="3017">
        <v>5.5E-2</v>
      </c>
      <c r="I6" s="3017">
        <v>0.06</v>
      </c>
      <c r="J6" s="174">
        <v>8.5000000000000006E-2</v>
      </c>
      <c r="K6" s="177">
        <f>SUMIF('数据-汇总表'!C$19:C$33,'数据-取费表'!A6,'数据-汇总表'!E$19:E$33)</f>
        <v>30626.26</v>
      </c>
      <c r="L6" s="3018">
        <v>2800</v>
      </c>
      <c r="M6" s="175">
        <f t="shared" ref="M6:M14" si="0">ROUND(K6*L6/10000,0)</f>
        <v>8575</v>
      </c>
      <c r="N6" s="3019">
        <v>0</v>
      </c>
      <c r="O6" s="175">
        <f>IF($N$5="成新度","——",ROUND(M6*N6,0))</f>
        <v>0</v>
      </c>
      <c r="P6" s="176">
        <f>IF($N$5="成新度","——",M6-O6)</f>
        <v>8575</v>
      </c>
      <c r="Q6" s="3020">
        <v>0.25</v>
      </c>
      <c r="R6" s="177">
        <f>SUMIF('数据-汇总表'!C$19:C$33,A6,'数据-汇总表'!R$19:R$33)</f>
        <v>5326.01</v>
      </c>
      <c r="S6" s="131">
        <f>IF('数据-汇总表'!$I$17="按面积比例",SUMIF('数据-汇总表'!C$19:C$33,A6,'数据-汇总表'!K$19:K$33),SUMIF('数据-汇总表'!C$19:C$33,A6,'数据-汇总表'!N$19:N$33))</f>
        <v>304</v>
      </c>
      <c r="T6" s="2229">
        <f>IF($T$4="按面积比例",IF(ISERROR(ROUND($M$14*S6/S$16,0)),"0",ROUND($M$14*S6/S$16,0)),"需自行计算录入")</f>
        <v>61</v>
      </c>
      <c r="U6" s="178"/>
      <c r="V6" s="179"/>
      <c r="W6" s="179"/>
      <c r="X6" s="2316"/>
      <c r="Y6" s="180"/>
      <c r="Z6" s="181"/>
      <c r="AA6" s="174"/>
      <c r="AB6" s="174"/>
      <c r="AC6" s="2319"/>
      <c r="AD6" s="182"/>
      <c r="AE6" s="970">
        <f ca="1">IF(AN6="",0,SUMIF(INDIRECT("'"&amp;AN6&amp;"'"&amp;"!E:E"),$AE$5,INDIRECT("'"&amp;AN6&amp;"'"&amp;"!F:F")))</f>
        <v>0</v>
      </c>
      <c r="AF6" s="139"/>
      <c r="AG6" s="1211">
        <f>IF(AF6="",0,AE6-AF6)</f>
        <v>0</v>
      </c>
      <c r="AH6" s="139"/>
      <c r="AI6" s="185"/>
      <c r="AJ6" s="186"/>
      <c r="AK6" s="187"/>
      <c r="AL6" s="188"/>
      <c r="AM6" s="3031"/>
      <c r="AN6" s="2387"/>
      <c r="AO6" s="1995"/>
      <c r="AP6" s="1202">
        <f>ROUND(1-1/(1+H6)^F6,3)</f>
        <v>0.84699999999999998</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毛坯LOFT</v>
      </c>
      <c r="B7" s="2332" t="str">
        <f t="shared" ref="B7:B13" si="1">IF(A7=0,"","经营性")</f>
        <v>经营性</v>
      </c>
      <c r="C7" s="171" t="s">
        <v>2996</v>
      </c>
      <c r="D7" s="2303">
        <f>SUMIF(项目基本情况!D$15:I$15,C7,项目基本情况!D$18:I$18)</f>
        <v>40</v>
      </c>
      <c r="E7" s="2304">
        <f>IF(B7="","",SUMIF(项目基本情况!D$15:I$15,C7,项目基本情况!D$17:I$17))</f>
        <v>56233</v>
      </c>
      <c r="F7" s="172">
        <f>SUMIF(项目基本情况!D$15:I$15,C7,项目基本情况!D$19:I$19)</f>
        <v>35.03</v>
      </c>
      <c r="G7" s="173">
        <f t="shared" ref="G7:G11" si="2">IF(ISERROR(ROUND(POWER(1+H7,D7-F7)*(POWER(1+H7,F7)-1)/(POWER(1+H7,D7)-1),3)),0,ROUND(POWER(1+H7,D7-F7)*(POWER(1+H7,F7)-1)/(POWER(1+H7,D7)-1),3))</f>
        <v>0.95899999999999996</v>
      </c>
      <c r="H7" s="3017">
        <v>5.5E-2</v>
      </c>
      <c r="I7" s="3017">
        <v>0.06</v>
      </c>
      <c r="J7" s="174">
        <v>8.5000000000000006E-2</v>
      </c>
      <c r="K7" s="177">
        <f>SUMIF('数据-汇总表'!C$19:C$33,'数据-取费表'!A7,'数据-汇总表'!E$19:E$33)</f>
        <v>77107.640000000014</v>
      </c>
      <c r="L7" s="3018">
        <v>2300</v>
      </c>
      <c r="M7" s="175">
        <f t="shared" si="0"/>
        <v>17735</v>
      </c>
      <c r="N7" s="3019">
        <v>0</v>
      </c>
      <c r="O7" s="175">
        <f t="shared" ref="O7:O14" si="3">IF($N$5="成新度","——",ROUND(M7*N7,0))</f>
        <v>0</v>
      </c>
      <c r="P7" s="176">
        <f t="shared" ref="P7:P14" si="4">IF($N$5="成新度","——",M7-O7)</f>
        <v>17735</v>
      </c>
      <c r="Q7" s="3020">
        <v>0.25</v>
      </c>
      <c r="R7" s="177">
        <f>SUMIF('数据-汇总表'!C$19:C$33,A7,'数据-汇总表'!R$19:R$33)</f>
        <v>13409.28</v>
      </c>
      <c r="S7" s="131">
        <f>IF('数据-汇总表'!$I$17="按面积比例",SUMIF('数据-汇总表'!C$19:C$33,A7,'数据-汇总表'!K$19:K$33),SUMIF('数据-汇总表'!C$19:C$33,A7,'数据-汇总表'!N$19:N$33))</f>
        <v>765.38</v>
      </c>
      <c r="T7" s="2229">
        <f t="shared" ref="T7:T13" si="5">IF($T$4="按面积比例",IF(ISERROR(ROUND($M$14*S7/S$16,0)),"0",ROUND($M$14*S7/S$16,0)),"需自行计算录入")</f>
        <v>153</v>
      </c>
      <c r="U7" s="178"/>
      <c r="V7" s="179"/>
      <c r="W7" s="179"/>
      <c r="X7" s="2316"/>
      <c r="Y7" s="180"/>
      <c r="Z7" s="181"/>
      <c r="AA7" s="174"/>
      <c r="AB7" s="174"/>
      <c r="AC7" s="2319"/>
      <c r="AD7" s="182"/>
      <c r="AE7" s="970">
        <f t="shared" ref="AE7:AE13" ca="1" si="6">IF(AN7="",0,SUMIF(INDIRECT("'"&amp;AN7&amp;"'"&amp;"!E:E"),$AE$5,INDIRECT("'"&amp;AN7&amp;"'"&amp;"!F:F")))</f>
        <v>0</v>
      </c>
      <c r="AF7" s="139"/>
      <c r="AG7" s="1211">
        <f t="shared" ref="AG7:AG13" si="7">IF(AF7="",0,AE7-AF7)</f>
        <v>0</v>
      </c>
      <c r="AH7" s="139"/>
      <c r="AI7" s="185"/>
      <c r="AJ7" s="186"/>
      <c r="AK7" s="187"/>
      <c r="AL7" s="188"/>
      <c r="AM7" s="3031"/>
      <c r="AN7" s="2387"/>
      <c r="AO7" s="1995"/>
      <c r="AP7" s="1202">
        <f t="shared" ref="AP7:AP13" si="8">ROUND(1-1/(1+H7)^F7,3)</f>
        <v>0.84699999999999998</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精装类住宅</v>
      </c>
      <c r="B8" s="2332" t="str">
        <f t="shared" si="1"/>
        <v>经营性</v>
      </c>
      <c r="C8" s="171" t="s">
        <v>2996</v>
      </c>
      <c r="D8" s="2303">
        <f>SUMIF(项目基本情况!D$15:I$15,C8,项目基本情况!D$18:I$18)</f>
        <v>40</v>
      </c>
      <c r="E8" s="2304">
        <f>IF(B8="","",SUMIF(项目基本情况!D$15:I$15,C8,项目基本情况!D$17:I$17))</f>
        <v>56233</v>
      </c>
      <c r="F8" s="172">
        <f>SUMIF(项目基本情况!D$15:I$15,C8,项目基本情况!D$19:I$19)</f>
        <v>35.03</v>
      </c>
      <c r="G8" s="173">
        <f t="shared" si="2"/>
        <v>0.95899999999999996</v>
      </c>
      <c r="H8" s="3017">
        <v>5.5E-2</v>
      </c>
      <c r="I8" s="3017">
        <v>0.06</v>
      </c>
      <c r="J8" s="174">
        <v>8.5000000000000006E-2</v>
      </c>
      <c r="K8" s="177">
        <f>SUMIF('数据-汇总表'!C$19:C$33,'数据-取费表'!A8,'数据-汇总表'!E$19:E$33)</f>
        <v>17835.989999999998</v>
      </c>
      <c r="L8" s="3018">
        <v>2800</v>
      </c>
      <c r="M8" s="175">
        <f>ROUND(K8*L8/10000,0)</f>
        <v>4994</v>
      </c>
      <c r="N8" s="3019">
        <v>0</v>
      </c>
      <c r="O8" s="175">
        <f t="shared" si="3"/>
        <v>0</v>
      </c>
      <c r="P8" s="176">
        <f t="shared" si="4"/>
        <v>4994</v>
      </c>
      <c r="Q8" s="3020">
        <v>0.2</v>
      </c>
      <c r="R8" s="177">
        <f>SUMIF('数据-汇总表'!C$19:C$33,A8,'数据-汇总表'!R$19:R$33)</f>
        <v>3101.74</v>
      </c>
      <c r="S8" s="131">
        <f>IF('数据-汇总表'!$I$17="按面积比例",SUMIF('数据-汇总表'!C$19:C$33,A8,'数据-汇总表'!K$19:K$33),SUMIF('数据-汇总表'!C$19:C$33,A8,'数据-汇总表'!N$19:N$33))</f>
        <v>177.04</v>
      </c>
      <c r="T8" s="2229">
        <f t="shared" si="5"/>
        <v>35</v>
      </c>
      <c r="U8" s="178"/>
      <c r="V8" s="179"/>
      <c r="W8" s="179"/>
      <c r="X8" s="2316"/>
      <c r="Y8" s="180"/>
      <c r="Z8" s="181"/>
      <c r="AA8" s="174"/>
      <c r="AB8" s="174"/>
      <c r="AC8" s="2319"/>
      <c r="AD8" s="182"/>
      <c r="AE8" s="970">
        <f t="shared" ca="1" si="6"/>
        <v>0</v>
      </c>
      <c r="AF8" s="139"/>
      <c r="AG8" s="1211">
        <f t="shared" si="7"/>
        <v>0</v>
      </c>
      <c r="AH8" s="139"/>
      <c r="AI8" s="185"/>
      <c r="AJ8" s="186"/>
      <c r="AK8" s="187"/>
      <c r="AL8" s="188"/>
      <c r="AM8" s="3031"/>
      <c r="AN8" s="2387"/>
      <c r="AO8" s="1995"/>
      <c r="AP8" s="1202">
        <f t="shared" si="8"/>
        <v>0.84699999999999998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毛坯类住宅</v>
      </c>
      <c r="B9" s="2332" t="str">
        <f t="shared" si="1"/>
        <v>经营性</v>
      </c>
      <c r="C9" s="171" t="s">
        <v>2996</v>
      </c>
      <c r="D9" s="2303">
        <f>SUMIF(项目基本情况!D$15:I$15,C9,项目基本情况!D$18:I$18)</f>
        <v>40</v>
      </c>
      <c r="E9" s="2304">
        <f>IF(B9="","",SUMIF(项目基本情况!D$15:I$15,C9,项目基本情况!D$17:I$17))</f>
        <v>56233</v>
      </c>
      <c r="F9" s="172">
        <f>SUMIF(项目基本情况!D$15:I$15,C9,项目基本情况!D$19:I$19)</f>
        <v>35.03</v>
      </c>
      <c r="G9" s="173">
        <f t="shared" si="2"/>
        <v>0.95899999999999996</v>
      </c>
      <c r="H9" s="174">
        <v>5.5E-2</v>
      </c>
      <c r="I9" s="174">
        <v>0.06</v>
      </c>
      <c r="J9" s="174">
        <v>8.5000000000000006E-2</v>
      </c>
      <c r="K9" s="177">
        <f>SUMIF('数据-汇总表'!C$19:C$33,'数据-取费表'!A9,'数据-汇总表'!E$19:E$33)</f>
        <v>23752.149999999998</v>
      </c>
      <c r="L9" s="191">
        <v>2300</v>
      </c>
      <c r="M9" s="175">
        <f t="shared" si="0"/>
        <v>5463</v>
      </c>
      <c r="N9" s="192">
        <v>0</v>
      </c>
      <c r="O9" s="175">
        <f t="shared" si="3"/>
        <v>0</v>
      </c>
      <c r="P9" s="176">
        <f t="shared" si="4"/>
        <v>5463</v>
      </c>
      <c r="Q9" s="190">
        <v>0.2</v>
      </c>
      <c r="R9" s="177">
        <f>SUMIF('数据-汇总表'!C$19:C$33,A9,'数据-汇总表'!R$19:R$33)</f>
        <v>4130.58</v>
      </c>
      <c r="S9" s="131">
        <f>IF('数据-汇总表'!$I$17="按面积比例",SUMIF('数据-汇总表'!C$19:C$33,A9,'数据-汇总表'!K$19:K$33),SUMIF('数据-汇总表'!C$19:C$33,A9,'数据-汇总表'!N$19:N$33))</f>
        <v>235.77</v>
      </c>
      <c r="T9" s="2229">
        <f t="shared" si="5"/>
        <v>47</v>
      </c>
      <c r="U9" s="178"/>
      <c r="V9" s="179"/>
      <c r="W9" s="179"/>
      <c r="X9" s="2316"/>
      <c r="Y9" s="180"/>
      <c r="Z9" s="181"/>
      <c r="AA9" s="174"/>
      <c r="AB9" s="174"/>
      <c r="AC9" s="2319"/>
      <c r="AD9" s="182"/>
      <c r="AE9" s="970">
        <f t="shared" ca="1" si="6"/>
        <v>0</v>
      </c>
      <c r="AF9" s="139"/>
      <c r="AG9" s="1211">
        <f t="shared" si="7"/>
        <v>0</v>
      </c>
      <c r="AH9" s="139"/>
      <c r="AI9" s="185"/>
      <c r="AJ9" s="186"/>
      <c r="AK9" s="187"/>
      <c r="AL9" s="188"/>
      <c r="AM9" s="2385"/>
      <c r="AN9" s="2387"/>
      <c r="AO9" s="1995"/>
      <c r="AP9" s="1202">
        <f t="shared" si="8"/>
        <v>0.84699999999999998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商业</v>
      </c>
      <c r="B10" s="2332" t="str">
        <f t="shared" si="1"/>
        <v>经营性</v>
      </c>
      <c r="C10" s="171" t="s">
        <v>2996</v>
      </c>
      <c r="D10" s="2303">
        <f>SUMIF(项目基本情况!D$15:I$15,C10,项目基本情况!D$18:I$18)</f>
        <v>40</v>
      </c>
      <c r="E10" s="2304">
        <f>IF(B10="","",SUMIF(项目基本情况!D$15:I$15,C10,项目基本情况!D$17:I$17))</f>
        <v>56233</v>
      </c>
      <c r="F10" s="172">
        <f>SUMIF(项目基本情况!D$15:I$15,C10,项目基本情况!D$19:I$19)</f>
        <v>35.03</v>
      </c>
      <c r="G10" s="173">
        <f t="shared" si="2"/>
        <v>0.95899999999999996</v>
      </c>
      <c r="H10" s="174">
        <v>5.5E-2</v>
      </c>
      <c r="I10" s="174">
        <v>0.06</v>
      </c>
      <c r="J10" s="174">
        <v>8.5000000000000006E-2</v>
      </c>
      <c r="K10" s="177">
        <f>SUMIF('数据-汇总表'!C$19:C$33,'数据-取费表'!A10,'数据-汇总表'!E$19:E$33)</f>
        <v>5360.21</v>
      </c>
      <c r="L10" s="191">
        <v>3000</v>
      </c>
      <c r="M10" s="175">
        <f t="shared" si="0"/>
        <v>1608</v>
      </c>
      <c r="N10" s="192">
        <v>0</v>
      </c>
      <c r="O10" s="175">
        <f t="shared" si="3"/>
        <v>0</v>
      </c>
      <c r="P10" s="176">
        <f t="shared" si="4"/>
        <v>1608</v>
      </c>
      <c r="Q10" s="190">
        <v>0.3</v>
      </c>
      <c r="R10" s="177">
        <f>SUMIF('数据-汇总表'!C$19:C$33,A10,'数据-汇总表'!R$19:R$33)</f>
        <v>932.16</v>
      </c>
      <c r="S10" s="131">
        <f>IF('数据-汇总表'!$I$17="按面积比例",SUMIF('数据-汇总表'!C$19:C$33,A10,'数据-汇总表'!K$19:K$33),SUMIF('数据-汇总表'!C$19:C$33,A10,'数据-汇总表'!N$19:N$33))</f>
        <v>53.21</v>
      </c>
      <c r="T10" s="2229">
        <f t="shared" si="5"/>
        <v>11</v>
      </c>
      <c r="U10" s="178">
        <v>2.5</v>
      </c>
      <c r="V10" s="179">
        <v>0.03</v>
      </c>
      <c r="W10" s="179">
        <v>0.1</v>
      </c>
      <c r="X10" s="2316"/>
      <c r="Y10" s="180">
        <v>1</v>
      </c>
      <c r="Z10" s="181"/>
      <c r="AA10" s="174"/>
      <c r="AB10" s="174"/>
      <c r="AC10" s="2319"/>
      <c r="AD10" s="182"/>
      <c r="AE10" s="970">
        <f t="shared" ca="1" si="6"/>
        <v>33.03</v>
      </c>
      <c r="AF10" s="139"/>
      <c r="AG10" s="1211">
        <f t="shared" si="7"/>
        <v>0</v>
      </c>
      <c r="AH10" s="139"/>
      <c r="AI10" s="185">
        <v>365</v>
      </c>
      <c r="AJ10" s="186"/>
      <c r="AK10" s="187">
        <v>1.4999999999999999E-2</v>
      </c>
      <c r="AL10" s="188">
        <v>1.5E-3</v>
      </c>
      <c r="AM10" s="2385">
        <v>1.4999999999999999E-2</v>
      </c>
      <c r="AN10" s="2387" t="s">
        <v>3244</v>
      </c>
      <c r="AO10" s="1995"/>
      <c r="AP10" s="1202">
        <f t="shared" si="8"/>
        <v>0.84699999999999998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t="str">
        <f>'数据-汇总表'!C24</f>
        <v>地下车库</v>
      </c>
      <c r="B11" s="2332" t="str">
        <f t="shared" si="1"/>
        <v>经营性</v>
      </c>
      <c r="C11" s="171" t="s">
        <v>3071</v>
      </c>
      <c r="D11" s="2303">
        <f>SUMIF(项目基本情况!D$15:I$15,C11,项目基本情况!D$18:I$18)</f>
        <v>50</v>
      </c>
      <c r="E11" s="2304">
        <f>IF(B11="","",SUMIF(项目基本情况!D$15:I$15,C11,项目基本情况!D$17:I$17))</f>
        <v>59885</v>
      </c>
      <c r="F11" s="172">
        <f>SUMIF(项目基本情况!D$15:I$15,C11,项目基本情况!D$19:I$19)</f>
        <v>45.03</v>
      </c>
      <c r="G11" s="173">
        <f t="shared" si="2"/>
        <v>0.96499999999999997</v>
      </c>
      <c r="H11" s="174">
        <v>0.04</v>
      </c>
      <c r="I11" s="174">
        <v>4.4999999999999998E-2</v>
      </c>
      <c r="J11" s="174">
        <v>8.5000000000000006E-2</v>
      </c>
      <c r="K11" s="177">
        <f>SUMIF('数据-汇总表'!C$19:C$33,'数据-取费表'!A11,'数据-汇总表'!E$19:E$33)</f>
        <v>23721.78</v>
      </c>
      <c r="L11" s="191">
        <v>2000</v>
      </c>
      <c r="M11" s="175">
        <f t="shared" si="0"/>
        <v>4744</v>
      </c>
      <c r="N11" s="192">
        <v>0</v>
      </c>
      <c r="O11" s="175">
        <f t="shared" si="3"/>
        <v>0</v>
      </c>
      <c r="P11" s="176">
        <f t="shared" si="4"/>
        <v>4744</v>
      </c>
      <c r="Q11" s="190">
        <v>0.1</v>
      </c>
      <c r="R11" s="177">
        <f>SUMIF('数据-汇总表'!C$19:C$33,A11,'数据-汇总表'!R$19:R$33)</f>
        <v>4125.3</v>
      </c>
      <c r="S11" s="131">
        <f>IF('数据-汇总表'!$I$17="按面积比例",SUMIF('数据-汇总表'!C$19:C$33,A11,'数据-汇总表'!K$19:K$33),SUMIF('数据-汇总表'!C$19:C$33,A11,'数据-汇总表'!N$19:N$33))</f>
        <v>235.47</v>
      </c>
      <c r="T11" s="2229">
        <f t="shared" si="5"/>
        <v>47</v>
      </c>
      <c r="U11" s="183">
        <v>0.75</v>
      </c>
      <c r="V11" s="174">
        <v>1.4999999999999999E-2</v>
      </c>
      <c r="W11" s="174">
        <v>0.1</v>
      </c>
      <c r="X11" s="2319"/>
      <c r="Y11" s="180">
        <v>1</v>
      </c>
      <c r="Z11" s="193"/>
      <c r="AA11" s="174"/>
      <c r="AB11" s="174"/>
      <c r="AC11" s="2319"/>
      <c r="AD11" s="182"/>
      <c r="AE11" s="970">
        <f t="shared" ca="1" si="6"/>
        <v>43.03</v>
      </c>
      <c r="AF11" s="139"/>
      <c r="AG11" s="1211">
        <f t="shared" si="7"/>
        <v>0</v>
      </c>
      <c r="AH11" s="139"/>
      <c r="AI11" s="185">
        <v>365</v>
      </c>
      <c r="AJ11" s="186"/>
      <c r="AK11" s="194">
        <v>1.4999999999999999E-2</v>
      </c>
      <c r="AL11" s="195">
        <v>1.5E-3</v>
      </c>
      <c r="AM11" s="1812">
        <v>1.4999999999999999E-2</v>
      </c>
      <c r="AN11" s="2387" t="s">
        <v>3040</v>
      </c>
      <c r="AO11" s="1995"/>
      <c r="AP11" s="1202">
        <f t="shared" si="8"/>
        <v>0.82899999999999996</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t="str">
        <f>'数据-汇总表'!C25</f>
        <v>地下仓储</v>
      </c>
      <c r="B12" s="2332" t="str">
        <f t="shared" si="1"/>
        <v>经营性</v>
      </c>
      <c r="C12" s="171" t="s">
        <v>3133</v>
      </c>
      <c r="D12" s="2303">
        <f>SUMIF(项目基本情况!D$15:I$15,C12,项目基本情况!D$18:I$18)</f>
        <v>50</v>
      </c>
      <c r="E12" s="2304">
        <f>IF(B12="","",SUMIF(项目基本情况!D$15:I$15,C12,项目基本情况!D$17:I$17))</f>
        <v>59885</v>
      </c>
      <c r="F12" s="172">
        <f>SUMIF(项目基本情况!D$15:I$15,C12,项目基本情况!D$19:I$19)</f>
        <v>45.03</v>
      </c>
      <c r="G12" s="173">
        <f>IF(ISERROR(ROUND(POWER(1+H12,D12-F12)*(POWER(1+H12,F12)-1)/(POWER(1+H12,D12)-1),3)),0,ROUND(POWER(1+H12,D12-F12)*(POWER(1+H12,F12)-1)/(POWER(1+H12,D12)-1),3))</f>
        <v>0.96499999999999997</v>
      </c>
      <c r="H12" s="174">
        <v>0.04</v>
      </c>
      <c r="I12" s="174">
        <v>4.4999999999999998E-2</v>
      </c>
      <c r="J12" s="174">
        <v>8.5000000000000006E-2</v>
      </c>
      <c r="K12" s="177">
        <f>SUMIF('数据-汇总表'!C$19:C$33,'数据-取费表'!A12,'数据-汇总表'!E$19:E$33)</f>
        <v>6650.08</v>
      </c>
      <c r="L12" s="191">
        <v>2000</v>
      </c>
      <c r="M12" s="175">
        <f>ROUND(K12*L12/10000,0)</f>
        <v>1330</v>
      </c>
      <c r="N12" s="192">
        <v>0</v>
      </c>
      <c r="O12" s="175">
        <f t="shared" si="3"/>
        <v>0</v>
      </c>
      <c r="P12" s="176">
        <f t="shared" si="4"/>
        <v>1330</v>
      </c>
      <c r="Q12" s="190">
        <v>0.1</v>
      </c>
      <c r="R12" s="177">
        <f>SUMIF('数据-汇总表'!C$19:C$33,A12,'数据-汇总表'!R$19:R$33)</f>
        <v>1156.4799999999998</v>
      </c>
      <c r="S12" s="131">
        <f>IF('数据-汇总表'!$I$17="按面积比例",SUMIF('数据-汇总表'!C$19:C$33,A12,'数据-汇总表'!K$19:K$33),SUMIF('数据-汇总表'!C$19:C$33,A12,'数据-汇总表'!N$19:N$33))</f>
        <v>66.010000000000005</v>
      </c>
      <c r="T12" s="2229">
        <f t="shared" si="5"/>
        <v>13</v>
      </c>
      <c r="U12" s="183">
        <v>0.7</v>
      </c>
      <c r="V12" s="174">
        <v>1.4999999999999999E-2</v>
      </c>
      <c r="W12" s="174">
        <v>0.1</v>
      </c>
      <c r="X12" s="2319"/>
      <c r="Y12" s="180">
        <v>1</v>
      </c>
      <c r="Z12" s="193"/>
      <c r="AA12" s="174"/>
      <c r="AB12" s="174"/>
      <c r="AC12" s="2319"/>
      <c r="AD12" s="182"/>
      <c r="AE12" s="970">
        <f t="shared" ca="1" si="6"/>
        <v>43.03</v>
      </c>
      <c r="AF12" s="139"/>
      <c r="AG12" s="1211">
        <f t="shared" si="7"/>
        <v>0</v>
      </c>
      <c r="AH12" s="139"/>
      <c r="AI12" s="185">
        <v>365</v>
      </c>
      <c r="AJ12" s="186"/>
      <c r="AK12" s="194">
        <v>1.4999999999999999E-2</v>
      </c>
      <c r="AL12" s="195">
        <v>1.5E-3</v>
      </c>
      <c r="AM12" s="1812">
        <v>1.4999999999999999E-2</v>
      </c>
      <c r="AN12" s="2387" t="s">
        <v>3229</v>
      </c>
      <c r="AO12" s="1995"/>
      <c r="AP12" s="1202">
        <f t="shared" si="8"/>
        <v>0.82899999999999996</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1"/>
      <c r="D13" s="2303">
        <f>SUMIF(项目基本情况!D$15:I$15,C13,项目基本情况!D$18:I$18)</f>
        <v>0</v>
      </c>
      <c r="E13" s="230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9">
        <f t="shared" si="5"/>
        <v>0</v>
      </c>
      <c r="U13" s="178"/>
      <c r="V13" s="179"/>
      <c r="W13" s="179"/>
      <c r="X13" s="2316"/>
      <c r="Y13" s="180"/>
      <c r="Z13" s="181"/>
      <c r="AA13" s="174"/>
      <c r="AB13" s="174"/>
      <c r="AC13" s="2319"/>
      <c r="AD13" s="182"/>
      <c r="AE13" s="970">
        <f t="shared" ca="1" si="6"/>
        <v>0</v>
      </c>
      <c r="AF13" s="139"/>
      <c r="AG13" s="1211">
        <f t="shared" si="7"/>
        <v>0</v>
      </c>
      <c r="AH13" s="139"/>
      <c r="AI13" s="185"/>
      <c r="AJ13" s="186"/>
      <c r="AK13" s="187"/>
      <c r="AL13" s="188"/>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2310</v>
      </c>
      <c r="B14" s="2301" t="s">
        <v>1677</v>
      </c>
      <c r="C14" s="2302" t="s">
        <v>2310</v>
      </c>
      <c r="D14" s="2303"/>
      <c r="E14" s="2304"/>
      <c r="F14" s="172"/>
      <c r="G14" s="173"/>
      <c r="H14" s="2305"/>
      <c r="I14" s="2305"/>
      <c r="J14" s="2305"/>
      <c r="K14" s="177">
        <f>SUMIF('数据-汇总表'!C$19:C$33,'数据-取费表'!A14,'数据-汇总表'!E$19:E$33)</f>
        <v>1836.8800000000006</v>
      </c>
      <c r="L14" s="191">
        <v>2000</v>
      </c>
      <c r="M14" s="175">
        <f t="shared" si="0"/>
        <v>367</v>
      </c>
      <c r="N14" s="192">
        <v>0</v>
      </c>
      <c r="O14" s="175">
        <f t="shared" si="3"/>
        <v>0</v>
      </c>
      <c r="P14" s="176">
        <f t="shared" si="4"/>
        <v>367</v>
      </c>
      <c r="Q14" s="2313"/>
      <c r="R14" s="177"/>
      <c r="S14" s="131"/>
      <c r="T14" s="2312"/>
      <c r="U14" s="972"/>
      <c r="V14" s="2315"/>
      <c r="W14" s="2315"/>
      <c r="X14" s="2316"/>
      <c r="Y14" s="2317"/>
      <c r="Z14" s="135"/>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2312</v>
      </c>
      <c r="B15" s="2301" t="s">
        <v>1677</v>
      </c>
      <c r="C15" s="2302" t="s">
        <v>2311</v>
      </c>
      <c r="D15" s="2303"/>
      <c r="E15" s="2304"/>
      <c r="F15" s="172"/>
      <c r="G15" s="173"/>
      <c r="H15" s="2305"/>
      <c r="I15" s="2305"/>
      <c r="J15" s="2305"/>
      <c r="K15" s="177">
        <f>SUMIF('数据-汇总表'!C$19:C$33,'数据-取费表'!A15,'数据-汇总表'!E$19:E$33)</f>
        <v>0</v>
      </c>
      <c r="L15" s="2311"/>
      <c r="M15" s="175"/>
      <c r="N15" s="2314"/>
      <c r="O15" s="175"/>
      <c r="P15" s="176"/>
      <c r="Q15" s="2313"/>
      <c r="R15" s="177"/>
      <c r="S15" s="131"/>
      <c r="T15" s="2312"/>
      <c r="U15" s="972"/>
      <c r="V15" s="2315"/>
      <c r="W15" s="2315"/>
      <c r="X15" s="2316"/>
      <c r="Y15" s="2317"/>
      <c r="Z15" s="135"/>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6" t="s">
        <v>261</v>
      </c>
      <c r="B16" s="197"/>
      <c r="C16" s="198"/>
      <c r="D16" s="199"/>
      <c r="E16" s="197"/>
      <c r="F16" s="197"/>
      <c r="G16" s="200">
        <f>ROUND(SUMPRODUCT(G6:G13,K6:K13)/SUMPRODUCT((G6:G13&gt;0)*(K6:K13)),3)</f>
        <v>0.96</v>
      </c>
      <c r="H16" s="201">
        <f>ROUND(SUMPRODUCT(H6:H13,K6:K13)/SUMPRODUCT((H6:H13&gt;0)*(K6:K13)),3)</f>
        <v>5.2999999999999999E-2</v>
      </c>
      <c r="I16" s="202"/>
      <c r="J16" s="202"/>
      <c r="K16" s="203">
        <f>SUM(K6:K15)</f>
        <v>186890.99</v>
      </c>
      <c r="L16" s="204">
        <f>ROUND(M16*10000/SUM(K6:K14),0)</f>
        <v>2398</v>
      </c>
      <c r="M16" s="204">
        <f>SUM(M6:M14)</f>
        <v>44816</v>
      </c>
      <c r="N16" s="205">
        <f>ROUND(SUMPRODUCT(M6:M14,N6:N14)/M16,3)</f>
        <v>0</v>
      </c>
      <c r="O16" s="204">
        <f>SUM(O6:O14)</f>
        <v>0</v>
      </c>
      <c r="P16" s="204">
        <f>SUM(P6:P14)</f>
        <v>44816</v>
      </c>
      <c r="Q16" s="206">
        <f>ROUND(SUMPRODUCT(Q6:Q13,K6:K13)/SUMPRODUCT((Q6:Q13&gt;0)*(K6:K13)),2)</f>
        <v>0.22</v>
      </c>
      <c r="R16" s="2306">
        <f>SUM(R6:R13)</f>
        <v>32181.55</v>
      </c>
      <c r="S16" s="207">
        <f>SUM(S6:S13)</f>
        <v>1836.88</v>
      </c>
      <c r="T16" s="208">
        <f>IF(SUMIF(T6:T13,"&lt;9E307")=M14,SUMIF(T6:T13,"&lt;9E307"),"有误，请检查")</f>
        <v>367</v>
      </c>
      <c r="U16" s="209"/>
      <c r="V16" s="210"/>
      <c r="W16" s="210"/>
      <c r="X16" s="213"/>
      <c r="Y16" s="211"/>
      <c r="Z16" s="212"/>
      <c r="AA16" s="210"/>
      <c r="AB16" s="210"/>
      <c r="AC16" s="213"/>
      <c r="AD16" s="213"/>
      <c r="AE16" s="209"/>
      <c r="AF16" s="210"/>
      <c r="AG16" s="211"/>
      <c r="AH16" s="210"/>
      <c r="AI16" s="212"/>
      <c r="AJ16" s="212"/>
      <c r="AK16" s="210"/>
      <c r="AL16" s="210"/>
      <c r="AM16" s="211"/>
      <c r="AN16" s="1995"/>
      <c r="AO16" s="1995"/>
      <c r="AP16" s="1202">
        <f>ROUND(SUMPRODUCT(AP6:AP13,K6:K13)/SUMPRODUCT((AP6:AP13&gt;0)*(K6:K13)),3)</f>
        <v>0.84399999999999997</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8" t="s">
        <v>262</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5" t="s">
        <v>263</v>
      </c>
      <c r="B19" s="216">
        <v>0</v>
      </c>
      <c r="C19" s="2359" t="s">
        <v>2330</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7" t="s">
        <v>264</v>
      </c>
      <c r="B20" s="218">
        <v>2</v>
      </c>
      <c r="C20" s="2359" t="s">
        <v>2329</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19" t="s">
        <v>265</v>
      </c>
      <c r="B21" s="218">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7" t="s">
        <v>266</v>
      </c>
      <c r="B22" s="220">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19" t="s">
        <v>267</v>
      </c>
      <c r="B23" s="220">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1" t="s">
        <v>268</v>
      </c>
      <c r="B24" s="222">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7" t="s">
        <v>269</v>
      </c>
      <c r="B26" s="223" t="s">
        <v>270</v>
      </c>
      <c r="C26" s="1990" t="s">
        <v>271</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4" t="s">
        <v>2332</v>
      </c>
      <c r="B27" s="225">
        <v>0</v>
      </c>
      <c r="C27" s="2362" t="s">
        <v>2336</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3177" t="s">
        <v>2994</v>
      </c>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6" t="s">
        <v>2333</v>
      </c>
      <c r="B28" s="227">
        <v>108</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29" t="s">
        <v>2331</v>
      </c>
      <c r="B29" s="230">
        <v>0</v>
      </c>
      <c r="C29" s="1549" t="s">
        <v>2334</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3" t="s">
        <v>272</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6" t="s">
        <v>273</v>
      </c>
      <c r="B31" s="228">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5" t="s">
        <v>274</v>
      </c>
      <c r="B32" s="1375">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4" t="s">
        <v>277</v>
      </c>
      <c r="B33" s="1376">
        <v>0.04</v>
      </c>
      <c r="C33" s="2360" t="s">
        <v>2882</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6" t="s">
        <v>278</v>
      </c>
      <c r="B34" s="231">
        <v>0</v>
      </c>
      <c r="C34" s="2360" t="s">
        <v>2883</v>
      </c>
      <c r="D34" s="1988" t="s">
        <v>868</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6" t="s">
        <v>275</v>
      </c>
      <c r="B35" s="227">
        <v>200</v>
      </c>
      <c r="C35" s="2360" t="s">
        <v>2884</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29" t="s">
        <v>276</v>
      </c>
      <c r="B36" s="232">
        <v>1.4999999999999999E-2</v>
      </c>
      <c r="C36" s="2360" t="s">
        <v>2885</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3" t="s">
        <v>279</v>
      </c>
      <c r="B37" s="234">
        <v>0.02</v>
      </c>
      <c r="C37" s="2360" t="s">
        <v>2886</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6" t="s">
        <v>280</v>
      </c>
      <c r="B38" s="231">
        <v>0.02</v>
      </c>
      <c r="C38" s="2360" t="s">
        <v>2886</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2448</v>
      </c>
      <c r="B39" s="798">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2449</v>
      </c>
      <c r="B40" s="2476">
        <f ca="1">存贷款利率!E2</f>
        <v>4.7500000000000001E-2</v>
      </c>
      <c r="C40" s="2360" t="s">
        <v>2335</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4" t="s">
        <v>281</v>
      </c>
      <c r="B41" s="236">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282</v>
      </c>
      <c r="B42" s="238">
        <v>0.05</v>
      </c>
      <c r="C42" s="3089">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283</v>
      </c>
      <c r="B43" s="239">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7" t="s">
        <v>284</v>
      </c>
      <c r="B44" s="240">
        <v>7.0000000000000007E-2</v>
      </c>
      <c r="C44" s="2360" t="s">
        <v>2887</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7" t="s">
        <v>285</v>
      </c>
      <c r="B45" s="238">
        <v>0.03</v>
      </c>
      <c r="C45" s="2362" t="s">
        <v>2888</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7" t="s">
        <v>286</v>
      </c>
      <c r="B46" s="238">
        <v>0.02</v>
      </c>
      <c r="C46" s="2362" t="s">
        <v>2889</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1" t="s">
        <v>287</v>
      </c>
      <c r="B47" s="242">
        <v>0</v>
      </c>
      <c r="C47" s="3066" t="s">
        <v>2890</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3" t="s">
        <v>288</v>
      </c>
      <c r="B48" s="244">
        <v>0.04</v>
      </c>
      <c r="C48" s="3067" t="s">
        <v>2891</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5" t="s">
        <v>289</v>
      </c>
      <c r="B49" s="238">
        <v>5.0000000000000001E-4</v>
      </c>
      <c r="C49" s="3067" t="s">
        <v>2892</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290</v>
      </c>
      <c r="B50" s="246">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29" t="s">
        <v>291</v>
      </c>
      <c r="B51" s="247">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292</v>
      </c>
      <c r="B52" s="248">
        <f>SUMIF(A54:A63,B53,B54:B63)</f>
        <v>20</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6" t="s">
        <v>293</v>
      </c>
      <c r="B53" s="249" t="s">
        <v>1153</v>
      </c>
      <c r="C53" s="3068" t="s">
        <v>2893</v>
      </c>
      <c r="D53" s="3069" t="s">
        <v>2894</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1" t="s">
        <v>2895</v>
      </c>
      <c r="B54" s="184"/>
      <c r="C54" s="1989">
        <v>30</v>
      </c>
      <c r="D54" s="3070"/>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1" t="s">
        <v>2896</v>
      </c>
      <c r="B55" s="184">
        <v>20</v>
      </c>
      <c r="C55" s="1989">
        <v>24</v>
      </c>
      <c r="D55" s="3070"/>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1" t="s">
        <v>2897</v>
      </c>
      <c r="B56" s="184"/>
      <c r="C56" s="1989">
        <v>18</v>
      </c>
      <c r="D56" s="3070"/>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1" t="s">
        <v>2898</v>
      </c>
      <c r="B57" s="184"/>
      <c r="C57" s="1989">
        <v>12</v>
      </c>
      <c r="D57" s="3070"/>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1" t="s">
        <v>2899</v>
      </c>
      <c r="B58" s="184"/>
      <c r="C58" s="1989">
        <v>3</v>
      </c>
      <c r="D58" s="3070"/>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1" t="s">
        <v>2900</v>
      </c>
      <c r="B59" s="184"/>
      <c r="C59" s="1989">
        <v>1.5</v>
      </c>
      <c r="D59" s="3070"/>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1" t="s">
        <v>2901</v>
      </c>
      <c r="B60" s="184"/>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1" t="s">
        <v>2902</v>
      </c>
      <c r="B61" s="184"/>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1" t="s">
        <v>2903</v>
      </c>
      <c r="B62" s="184"/>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2" t="s">
        <v>2904</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1" sqref="I10:I11"/>
    </sheetView>
  </sheetViews>
  <sheetFormatPr defaultRowHeight="13.5"/>
  <cols>
    <col min="1" max="1" width="9.5" style="2003" customWidth="1"/>
    <col min="2" max="2" width="24.5" style="2018" customWidth="1"/>
    <col min="3" max="3" width="26.2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5" t="s">
        <v>1661</v>
      </c>
      <c r="B1" s="3316"/>
      <c r="C1" s="3316"/>
      <c r="D1" s="3316"/>
      <c r="E1" s="3316"/>
      <c r="F1" s="3316"/>
      <c r="G1" s="3316"/>
      <c r="H1" s="1997"/>
      <c r="I1" s="1998"/>
      <c r="J1" s="1999"/>
      <c r="K1" s="1997"/>
      <c r="L1" s="1998"/>
      <c r="M1" s="1999"/>
      <c r="N1" s="1997"/>
      <c r="O1" s="1998"/>
      <c r="P1" s="1999"/>
      <c r="Q1" s="2000"/>
      <c r="R1" s="2001"/>
    </row>
    <row r="2" spans="1:18" ht="14.25" thickBot="1">
      <c r="A2" s="1219"/>
      <c r="B2" s="1220"/>
      <c r="C2" s="1221" t="s">
        <v>1662</v>
      </c>
      <c r="D2" s="1222"/>
      <c r="E2" s="1223"/>
      <c r="F2" s="1224"/>
      <c r="G2" s="1221" t="s">
        <v>1663</v>
      </c>
      <c r="H2" s="2003"/>
      <c r="I2" s="2003"/>
      <c r="J2" s="2003"/>
      <c r="K2" s="2003"/>
      <c r="L2" s="2003"/>
      <c r="M2" s="2003"/>
      <c r="N2" s="2003"/>
      <c r="O2" s="2003"/>
      <c r="P2" s="2003"/>
      <c r="Q2" s="2003"/>
      <c r="R2" s="2003"/>
    </row>
    <row r="3" spans="1:18" ht="54">
      <c r="A3" s="1225" t="s">
        <v>1664</v>
      </c>
      <c r="B3" s="1226" t="s">
        <v>1651</v>
      </c>
      <c r="C3" s="3184" t="s">
        <v>3242</v>
      </c>
      <c r="D3" s="2004"/>
      <c r="E3" s="1227" t="s">
        <v>1664</v>
      </c>
      <c r="F3" s="1228" t="s">
        <v>1652</v>
      </c>
      <c r="G3" s="3074" t="s">
        <v>2909</v>
      </c>
      <c r="H3" s="2003"/>
      <c r="I3" s="2003"/>
      <c r="J3" s="2003"/>
      <c r="K3" s="2003"/>
      <c r="L3" s="2003"/>
      <c r="M3" s="2003"/>
      <c r="N3" s="2003"/>
      <c r="O3" s="2003"/>
      <c r="P3" s="2003"/>
      <c r="Q3" s="2003"/>
      <c r="R3" s="2003"/>
    </row>
    <row r="4" spans="1:18" ht="40.5">
      <c r="A4" s="1227"/>
      <c r="B4" s="1229" t="s">
        <v>1665</v>
      </c>
      <c r="C4" s="3185" t="s">
        <v>3213</v>
      </c>
      <c r="D4" s="2004"/>
      <c r="E4" s="1230"/>
      <c r="F4" s="1231" t="s">
        <v>1666</v>
      </c>
      <c r="G4" s="3073" t="s">
        <v>2906</v>
      </c>
      <c r="H4" s="2003"/>
      <c r="I4" s="2003"/>
      <c r="J4" s="2003"/>
      <c r="K4" s="2003"/>
      <c r="L4" s="2003"/>
      <c r="M4" s="2003"/>
      <c r="N4" s="2003"/>
      <c r="O4" s="2003"/>
      <c r="P4" s="2003"/>
      <c r="Q4" s="2003"/>
      <c r="R4" s="2003"/>
    </row>
    <row r="5" spans="1:18" ht="27">
      <c r="A5" s="1227"/>
      <c r="B5" s="1229" t="s">
        <v>1667</v>
      </c>
      <c r="C5" s="3185" t="s">
        <v>3119</v>
      </c>
      <c r="D5" s="2004"/>
      <c r="E5" s="1230"/>
      <c r="F5" s="1229" t="s">
        <v>2538</v>
      </c>
      <c r="G5" s="3073" t="s">
        <v>2907</v>
      </c>
      <c r="H5" s="2003"/>
      <c r="I5" s="2003"/>
      <c r="J5" s="2003"/>
      <c r="K5" s="2003"/>
      <c r="L5" s="2003"/>
      <c r="M5" s="2003"/>
      <c r="N5" s="2003"/>
      <c r="O5" s="2003"/>
      <c r="P5" s="2003"/>
      <c r="Q5" s="2003"/>
      <c r="R5" s="2003"/>
    </row>
    <row r="6" spans="1:18" ht="67.5">
      <c r="A6" s="1227"/>
      <c r="B6" s="1229" t="s">
        <v>1653</v>
      </c>
      <c r="C6" s="3186" t="s">
        <v>3214</v>
      </c>
      <c r="D6" s="2004"/>
      <c r="E6" s="1230"/>
      <c r="F6" s="1229" t="s">
        <v>2539</v>
      </c>
      <c r="G6" s="3073" t="s">
        <v>2905</v>
      </c>
      <c r="H6" s="2003"/>
      <c r="I6" s="2003"/>
      <c r="J6" s="2003"/>
      <c r="K6" s="2003"/>
      <c r="L6" s="2003"/>
      <c r="M6" s="2003"/>
      <c r="N6" s="2003"/>
      <c r="O6" s="2003"/>
      <c r="P6" s="2003"/>
      <c r="Q6" s="2003"/>
      <c r="R6" s="2003"/>
    </row>
    <row r="7" spans="1:18" ht="41.25" thickBot="1">
      <c r="A7" s="1227"/>
      <c r="B7" s="1229" t="s">
        <v>2538</v>
      </c>
      <c r="C7" s="3186" t="s">
        <v>3215</v>
      </c>
      <c r="D7" s="2005"/>
      <c r="E7" s="1232"/>
      <c r="F7" s="1233" t="s">
        <v>1668</v>
      </c>
      <c r="G7" s="3075" t="s">
        <v>2908</v>
      </c>
      <c r="H7" s="2003"/>
      <c r="I7" s="2003"/>
      <c r="J7" s="2003"/>
      <c r="K7" s="2003"/>
      <c r="L7" s="2003"/>
      <c r="M7" s="2003"/>
      <c r="N7" s="2003"/>
      <c r="O7" s="2003"/>
      <c r="P7" s="2003"/>
      <c r="Q7" s="2003"/>
      <c r="R7" s="2003"/>
    </row>
    <row r="8" spans="1:18" ht="27">
      <c r="A8" s="1227"/>
      <c r="B8" s="1229" t="s">
        <v>2539</v>
      </c>
      <c r="C8" s="3186" t="s">
        <v>3217</v>
      </c>
      <c r="D8" s="2005"/>
      <c r="E8" s="2005"/>
      <c r="F8" s="1550"/>
      <c r="G8" s="1550"/>
      <c r="H8" s="2003"/>
      <c r="I8" s="2003"/>
      <c r="J8" s="2003"/>
      <c r="K8" s="2003"/>
      <c r="L8" s="2003"/>
      <c r="M8" s="2003"/>
      <c r="N8" s="2003"/>
      <c r="O8" s="2003"/>
      <c r="P8" s="2003"/>
      <c r="Q8" s="2003"/>
      <c r="R8" s="2003"/>
    </row>
    <row r="9" spans="1:18" ht="54">
      <c r="A9" s="1227"/>
      <c r="B9" s="1229" t="s">
        <v>1654</v>
      </c>
      <c r="C9" s="3185" t="s">
        <v>3218</v>
      </c>
      <c r="D9" s="2004"/>
      <c r="E9" s="2005"/>
      <c r="F9" s="1550"/>
      <c r="G9" s="1550"/>
      <c r="H9" s="2003"/>
      <c r="I9" s="2003"/>
      <c r="J9" s="2003"/>
      <c r="K9" s="2003"/>
      <c r="L9" s="2003"/>
      <c r="M9" s="2003"/>
      <c r="N9" s="2003"/>
      <c r="O9" s="2003"/>
      <c r="P9" s="2003"/>
      <c r="Q9" s="2003"/>
      <c r="R9" s="2003"/>
    </row>
    <row r="10" spans="1:18" s="2011" customFormat="1" ht="14.25" thickBot="1">
      <c r="A10" s="1234"/>
      <c r="B10" s="1235" t="s">
        <v>1669</v>
      </c>
      <c r="C10" s="3187" t="s">
        <v>3120</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1670</v>
      </c>
      <c r="B13" s="2573"/>
      <c r="C13" s="2573"/>
      <c r="D13" s="1222"/>
      <c r="E13" s="2573"/>
      <c r="F13" s="2573"/>
      <c r="G13" s="2573"/>
    </row>
    <row r="14" spans="1:18" ht="14.25" thickBot="1">
      <c r="A14" s="1236"/>
      <c r="B14" s="1237"/>
      <c r="C14" s="1238" t="s">
        <v>1662</v>
      </c>
      <c r="D14" s="2004"/>
      <c r="E14" s="1239"/>
      <c r="F14" s="1239"/>
      <c r="G14" s="1221" t="s">
        <v>1663</v>
      </c>
    </row>
    <row r="15" spans="1:18" ht="54">
      <c r="A15" s="2583" t="s">
        <v>1655</v>
      </c>
      <c r="B15" s="1240" t="s">
        <v>1651</v>
      </c>
      <c r="C15" s="1241" t="str">
        <f>C3</f>
        <v>周边有瑞府、秋景怡园等住宅社区，分布密度一般，入住率一般，居住社区成熟度一般。</v>
      </c>
      <c r="D15" s="2004"/>
      <c r="E15" s="2580" t="s">
        <v>1656</v>
      </c>
      <c r="F15" s="1240" t="s">
        <v>1671</v>
      </c>
      <c r="G15" s="1242" t="str">
        <f>G3</f>
        <v>估价对象位于XX开发区，园区建设成熟度XX，产业集聚程度XX</v>
      </c>
    </row>
    <row r="16" spans="1:18" ht="40.5">
      <c r="A16" s="2584"/>
      <c r="B16" s="1243" t="s">
        <v>1665</v>
      </c>
      <c r="C16" s="1244" t="str">
        <f>C4</f>
        <v>周边商业氛围成熟度一般，多为社区配套底商，人流量一般，商业繁华度一般。</v>
      </c>
      <c r="D16" s="2004"/>
      <c r="E16" s="2581"/>
      <c r="F16" s="1245" t="s">
        <v>1666</v>
      </c>
      <c r="G16" s="1003" t="str">
        <f>G4</f>
        <v>估价对象周边道路状况、公共交通通达情况、停车便捷程度，综合评价交通便捷度较好</v>
      </c>
    </row>
    <row r="17" spans="1:7" ht="14.25">
      <c r="A17" s="2584"/>
      <c r="B17" s="1243" t="s">
        <v>1667</v>
      </c>
      <c r="C17" s="1244" t="str">
        <f>C5</f>
        <v>——</v>
      </c>
      <c r="D17" s="2005"/>
      <c r="E17" s="2581"/>
      <c r="F17" s="1245" t="s">
        <v>1672</v>
      </c>
      <c r="G17" s="2789"/>
    </row>
    <row r="18" spans="1:7" ht="67.5">
      <c r="A18" s="2584"/>
      <c r="B18" s="1245" t="s">
        <v>1653</v>
      </c>
      <c r="C18" s="1003" t="str">
        <f>C6</f>
        <v>周边有4路、45路、98路等多条公交线路，邻近东二环北路，路网密集度一般、停车较便捷，综合评价交通便捷度较好。</v>
      </c>
      <c r="D18" s="2005"/>
      <c r="E18" s="2581"/>
      <c r="F18" s="1245" t="s">
        <v>1668</v>
      </c>
      <c r="G18" s="1003" t="str">
        <f>G7</f>
        <v>该园区内是否有污染型企业，绿化情况，卫生条件，整体环境状况判断</v>
      </c>
    </row>
    <row r="19" spans="1:7" ht="27">
      <c r="A19" s="2584"/>
      <c r="B19" s="1245" t="s">
        <v>1657</v>
      </c>
      <c r="C19" s="2789"/>
      <c r="D19" s="2004"/>
      <c r="E19" s="2581"/>
      <c r="F19" s="1229" t="s">
        <v>2538</v>
      </c>
      <c r="G19" s="1003" t="str">
        <f>G5</f>
        <v>估价对象所在区域公共配套设施齐备情况</v>
      </c>
    </row>
    <row r="20" spans="1:7" ht="54">
      <c r="A20" s="2584"/>
      <c r="B20" s="1245" t="s">
        <v>1658</v>
      </c>
      <c r="C20" s="1244" t="str">
        <f>C9</f>
        <v>所在区域有三角河公园，自然环境一般；无博物馆等人文设施，人文环境差；综合评价环境状况较差。</v>
      </c>
      <c r="D20" s="2005"/>
      <c r="E20" s="2581"/>
      <c r="F20" s="1229" t="s">
        <v>2539</v>
      </c>
      <c r="G20" s="1003" t="str">
        <f>G6</f>
        <v>估价对象所在区域基础设施水平</v>
      </c>
    </row>
    <row r="21" spans="1:7" ht="27">
      <c r="A21" s="2584"/>
      <c r="B21" s="1229" t="s">
        <v>2538</v>
      </c>
      <c r="C21" s="1003" t="str">
        <f>C7</f>
        <v>所在区域公共配套设施齐备情况较好。</v>
      </c>
      <c r="D21" s="2004"/>
      <c r="E21" s="2581"/>
      <c r="F21" s="1245" t="s">
        <v>1659</v>
      </c>
      <c r="G21" s="3076"/>
    </row>
    <row r="22" spans="1:7" ht="27">
      <c r="A22" s="2584"/>
      <c r="B22" s="1229" t="s">
        <v>2539</v>
      </c>
      <c r="C22" s="1003" t="str">
        <f>C8</f>
        <v>所在区域基础设施水平达“七通”。</v>
      </c>
      <c r="D22" s="2004"/>
      <c r="E22" s="2581"/>
      <c r="F22" s="1245" t="s">
        <v>1669</v>
      </c>
      <c r="G22" s="2789"/>
    </row>
    <row r="23" spans="1:7" ht="15" thickBot="1">
      <c r="A23" s="2584"/>
      <c r="B23" s="1245" t="s">
        <v>1659</v>
      </c>
      <c r="C23" s="3076" t="s">
        <v>3056</v>
      </c>
      <c r="E23" s="2582"/>
      <c r="F23" s="1246" t="s">
        <v>1673</v>
      </c>
      <c r="G23" s="3077"/>
    </row>
    <row r="24" spans="1:7" ht="14.25" thickBot="1">
      <c r="A24" s="2585"/>
      <c r="B24" s="1246" t="s">
        <v>1660</v>
      </c>
      <c r="C24" s="1247" t="str">
        <f>C10</f>
        <v>城市快速路—东二环北路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7" t="s">
        <v>2836</v>
      </c>
      <c r="B1" s="3037">
        <f>SUM(B14:B23)</f>
        <v>186890.99</v>
      </c>
      <c r="C1" s="3038"/>
      <c r="D1" s="3038"/>
      <c r="E1" s="3038"/>
      <c r="F1" s="3038"/>
    </row>
    <row r="2" spans="1:9" ht="16.5">
      <c r="A2" s="3037" t="s">
        <v>2837</v>
      </c>
      <c r="B2" s="3037">
        <f>SUM(C14:C23)</f>
        <v>32181.54</v>
      </c>
      <c r="C2" s="3038"/>
      <c r="D2" s="3038"/>
      <c r="E2" s="3038"/>
      <c r="F2" s="3038"/>
    </row>
    <row r="3" spans="1:9" ht="16.5">
      <c r="A3" s="3037" t="s">
        <v>2838</v>
      </c>
      <c r="B3" s="3039">
        <f>项目基本情况!D3</f>
        <v>43447</v>
      </c>
      <c r="C3" s="3038"/>
      <c r="D3" s="3038"/>
      <c r="E3" s="3038"/>
      <c r="F3" s="3038"/>
    </row>
    <row r="4" spans="1:9" ht="33">
      <c r="A4" s="3037" t="s">
        <v>2839</v>
      </c>
      <c r="B4" s="3037" t="s">
        <v>2840</v>
      </c>
      <c r="C4" s="3037" t="s">
        <v>2841</v>
      </c>
      <c r="D4" s="3037" t="s">
        <v>2842</v>
      </c>
      <c r="E4" s="3038"/>
      <c r="F4" s="3038"/>
    </row>
    <row r="5" spans="1:9" ht="16.5">
      <c r="A5" s="3037" t="s">
        <v>2843</v>
      </c>
      <c r="B5" s="3037">
        <f ca="1">SUM(D14:D23)</f>
        <v>70280</v>
      </c>
      <c r="C5" s="3037">
        <f ca="1">ROUND(B5*10000/$B$1,0)</f>
        <v>3760</v>
      </c>
      <c r="D5" s="3037">
        <f ca="1">ROUND(B5*10000/$B$2,0)</f>
        <v>21839</v>
      </c>
      <c r="E5" s="3038"/>
      <c r="F5" s="3038"/>
    </row>
    <row r="6" spans="1:9" ht="16.5">
      <c r="A6" s="3037" t="s">
        <v>2844</v>
      </c>
      <c r="B6" s="3037">
        <f ca="1">SUM(G14:G23)</f>
        <v>22280</v>
      </c>
      <c r="C6" s="3037">
        <f t="shared" ref="C6:C8" ca="1" si="0">ROUND(B6*10000/$B$1,0)</f>
        <v>1192</v>
      </c>
      <c r="D6" s="3037">
        <f t="shared" ref="D6:D8" ca="1" si="1">ROUND(B6*10000/$B$2,0)</f>
        <v>6923</v>
      </c>
      <c r="E6" s="3038"/>
      <c r="F6" s="3038"/>
    </row>
    <row r="7" spans="1:9" ht="16.5">
      <c r="A7" s="3037" t="s">
        <v>2845</v>
      </c>
      <c r="B7" s="3037">
        <f>SUM(H14:H23)</f>
        <v>0</v>
      </c>
      <c r="C7" s="3037">
        <f t="shared" si="0"/>
        <v>0</v>
      </c>
      <c r="D7" s="3037">
        <f t="shared" si="1"/>
        <v>0</v>
      </c>
      <c r="E7" s="3038"/>
      <c r="F7" s="3038"/>
    </row>
    <row r="8" spans="1:9" ht="16.5">
      <c r="A8" s="3037" t="s">
        <v>2846</v>
      </c>
      <c r="B8" s="3037">
        <f>SUM(I14:I23)</f>
        <v>0</v>
      </c>
      <c r="C8" s="3037">
        <f t="shared" si="0"/>
        <v>0</v>
      </c>
      <c r="D8" s="3037">
        <f t="shared" si="1"/>
        <v>0</v>
      </c>
      <c r="E8" s="3038"/>
      <c r="F8" s="3038"/>
    </row>
    <row r="9" spans="1:9" ht="16.5">
      <c r="A9" s="3037" t="s">
        <v>2847</v>
      </c>
      <c r="B9" s="3040"/>
      <c r="C9" s="3038"/>
      <c r="D9" s="3038"/>
      <c r="E9" s="3038"/>
      <c r="F9" s="3038"/>
    </row>
    <row r="10" spans="1:9" ht="16.5">
      <c r="A10" s="3037" t="s">
        <v>2848</v>
      </c>
      <c r="B10" s="3040"/>
      <c r="C10" s="3038"/>
      <c r="D10" s="3038"/>
      <c r="E10" s="3038"/>
      <c r="F10" s="3038"/>
    </row>
    <row r="11" spans="1:9" ht="16.5">
      <c r="A11" s="3037" t="s">
        <v>2865</v>
      </c>
      <c r="B11" s="3040"/>
      <c r="C11" s="3038"/>
      <c r="D11" s="3038"/>
      <c r="E11" s="3038"/>
      <c r="F11" s="3038"/>
    </row>
    <row r="12" spans="1:9" ht="16.5">
      <c r="A12" s="3038"/>
      <c r="B12" s="3038"/>
      <c r="C12" s="3038"/>
      <c r="D12" s="3038"/>
      <c r="E12" s="3038"/>
      <c r="F12" s="3038"/>
    </row>
    <row r="13" spans="1:9" ht="33">
      <c r="A13" s="3043" t="s">
        <v>2864</v>
      </c>
      <c r="B13" s="3041" t="s">
        <v>2836</v>
      </c>
      <c r="C13" s="3041" t="s">
        <v>2837</v>
      </c>
      <c r="D13" s="3041" t="s">
        <v>2849</v>
      </c>
      <c r="E13" s="3037" t="s">
        <v>2863</v>
      </c>
      <c r="F13" s="3037" t="s">
        <v>2842</v>
      </c>
      <c r="G13" s="3041" t="s">
        <v>2850</v>
      </c>
      <c r="H13" s="3041" t="s">
        <v>2851</v>
      </c>
      <c r="I13" s="3041" t="s">
        <v>2852</v>
      </c>
    </row>
    <row r="14" spans="1:9" ht="16.5">
      <c r="A14" s="3044" t="s">
        <v>2862</v>
      </c>
      <c r="B14" s="3041">
        <f>结果表!L38</f>
        <v>186890.99</v>
      </c>
      <c r="C14" s="3041">
        <f>结果表!K38</f>
        <v>32181.54</v>
      </c>
      <c r="D14" s="3041">
        <f ca="1">结果表!C42</f>
        <v>70280</v>
      </c>
      <c r="E14" s="3041">
        <f ca="1">ROUND(D14*10000/B14,0)</f>
        <v>3760</v>
      </c>
      <c r="F14" s="3041">
        <f ca="1">ROUND(D14*10000/C14,0)</f>
        <v>21839</v>
      </c>
      <c r="G14" s="3041">
        <f ca="1">结果表!C44</f>
        <v>22280</v>
      </c>
      <c r="H14" s="3041" t="str">
        <f>结果表!C45</f>
        <v>——</v>
      </c>
      <c r="I14" s="3041" t="str">
        <f>结果表!C46</f>
        <v>——</v>
      </c>
    </row>
    <row r="15" spans="1:9" ht="16.5">
      <c r="A15" s="3044" t="s">
        <v>2853</v>
      </c>
      <c r="B15" s="3045"/>
      <c r="C15" s="3045"/>
      <c r="D15" s="3045"/>
      <c r="E15" s="3041" t="e">
        <f t="shared" ref="E15:E23" si="2">ROUND(D15*10000/B15,0)</f>
        <v>#DIV/0!</v>
      </c>
      <c r="F15" s="3041" t="e">
        <f t="shared" ref="F15:F23" si="3">ROUND(D15*10000/C15,0)</f>
        <v>#DIV/0!</v>
      </c>
      <c r="G15" s="3042"/>
      <c r="H15" s="3042"/>
      <c r="I15" s="3045"/>
    </row>
    <row r="16" spans="1:9" ht="16.5">
      <c r="A16" s="3044" t="s">
        <v>2854</v>
      </c>
      <c r="B16" s="3045"/>
      <c r="C16" s="3045"/>
      <c r="D16" s="3045"/>
      <c r="E16" s="3041" t="e">
        <f t="shared" si="2"/>
        <v>#DIV/0!</v>
      </c>
      <c r="F16" s="3041" t="e">
        <f t="shared" si="3"/>
        <v>#DIV/0!</v>
      </c>
      <c r="G16" s="3042"/>
      <c r="H16" s="3042"/>
      <c r="I16" s="3045"/>
    </row>
    <row r="17" spans="1:9" ht="16.5">
      <c r="A17" s="3044" t="s">
        <v>2855</v>
      </c>
      <c r="B17" s="3045"/>
      <c r="C17" s="3045"/>
      <c r="D17" s="3045"/>
      <c r="E17" s="3041" t="e">
        <f t="shared" si="2"/>
        <v>#DIV/0!</v>
      </c>
      <c r="F17" s="3041" t="e">
        <f t="shared" si="3"/>
        <v>#DIV/0!</v>
      </c>
      <c r="G17" s="3042"/>
      <c r="H17" s="3042"/>
      <c r="I17" s="3045"/>
    </row>
    <row r="18" spans="1:9" ht="16.5">
      <c r="A18" s="3044" t="s">
        <v>2856</v>
      </c>
      <c r="B18" s="3045"/>
      <c r="C18" s="3045"/>
      <c r="D18" s="3045"/>
      <c r="E18" s="3041" t="e">
        <f t="shared" si="2"/>
        <v>#DIV/0!</v>
      </c>
      <c r="F18" s="3041" t="e">
        <f t="shared" si="3"/>
        <v>#DIV/0!</v>
      </c>
      <c r="G18" s="3045"/>
      <c r="H18" s="3045"/>
      <c r="I18" s="3045"/>
    </row>
    <row r="19" spans="1:9" ht="16.5">
      <c r="A19" s="3044" t="s">
        <v>2857</v>
      </c>
      <c r="B19" s="3045"/>
      <c r="C19" s="3045"/>
      <c r="D19" s="3045"/>
      <c r="E19" s="3041" t="e">
        <f t="shared" si="2"/>
        <v>#DIV/0!</v>
      </c>
      <c r="F19" s="3041" t="e">
        <f t="shared" si="3"/>
        <v>#DIV/0!</v>
      </c>
      <c r="G19" s="3045"/>
      <c r="H19" s="3045"/>
      <c r="I19" s="3045"/>
    </row>
    <row r="20" spans="1:9" ht="16.5">
      <c r="A20" s="3044" t="s">
        <v>2858</v>
      </c>
      <c r="B20" s="3045"/>
      <c r="C20" s="3045"/>
      <c r="D20" s="3045"/>
      <c r="E20" s="3041" t="e">
        <f t="shared" si="2"/>
        <v>#DIV/0!</v>
      </c>
      <c r="F20" s="3041" t="e">
        <f t="shared" si="3"/>
        <v>#DIV/0!</v>
      </c>
      <c r="G20" s="3045"/>
      <c r="H20" s="3045"/>
      <c r="I20" s="3045"/>
    </row>
    <row r="21" spans="1:9" ht="16.5">
      <c r="A21" s="3044" t="s">
        <v>2859</v>
      </c>
      <c r="B21" s="3045"/>
      <c r="C21" s="3045"/>
      <c r="D21" s="3045"/>
      <c r="E21" s="3041" t="e">
        <f t="shared" si="2"/>
        <v>#DIV/0!</v>
      </c>
      <c r="F21" s="3041" t="e">
        <f t="shared" si="3"/>
        <v>#DIV/0!</v>
      </c>
      <c r="G21" s="3045"/>
      <c r="H21" s="3045"/>
      <c r="I21" s="3045"/>
    </row>
    <row r="22" spans="1:9" ht="16.5">
      <c r="A22" s="3044" t="s">
        <v>2860</v>
      </c>
      <c r="B22" s="3045"/>
      <c r="C22" s="3045"/>
      <c r="D22" s="3045"/>
      <c r="E22" s="3041" t="e">
        <f t="shared" si="2"/>
        <v>#DIV/0!</v>
      </c>
      <c r="F22" s="3041" t="e">
        <f t="shared" si="3"/>
        <v>#DIV/0!</v>
      </c>
      <c r="G22" s="3045"/>
      <c r="H22" s="3045"/>
      <c r="I22" s="3045"/>
    </row>
    <row r="23" spans="1:9" ht="16.5">
      <c r="A23" s="3044" t="s">
        <v>2861</v>
      </c>
      <c r="B23" s="3045"/>
      <c r="C23" s="3045"/>
      <c r="D23" s="3045"/>
      <c r="E23" s="3037" t="e">
        <f t="shared" si="2"/>
        <v>#DIV/0!</v>
      </c>
      <c r="F23" s="3037" t="e">
        <f t="shared" si="3"/>
        <v>#DIV/0!</v>
      </c>
      <c r="G23" s="3045"/>
      <c r="H23" s="3045"/>
      <c r="I23" s="304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1" zoomScaleSheetLayoutView="100" zoomScalePageLayoutView="80" workbookViewId="0">
      <selection activeCell="C115" sqref="C11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1" t="s">
        <v>2052</v>
      </c>
      <c r="B1" s="1772"/>
      <c r="C1" s="1800" t="s">
        <v>2053</v>
      </c>
      <c r="D1" s="1801" t="s">
        <v>3033</v>
      </c>
      <c r="E1" s="1800" t="s">
        <v>2054</v>
      </c>
      <c r="F1" s="1802" t="s">
        <v>3034</v>
      </c>
      <c r="G1" s="309"/>
      <c r="H1" s="309"/>
      <c r="I1" s="309"/>
      <c r="J1" s="2024"/>
      <c r="K1" s="2024"/>
      <c r="L1" s="2024"/>
      <c r="M1" s="2024"/>
      <c r="N1" s="2024"/>
      <c r="O1" s="2024"/>
      <c r="P1" s="2024"/>
      <c r="Q1" s="2024"/>
      <c r="R1" s="2024"/>
      <c r="S1" s="2024"/>
      <c r="T1" s="2024"/>
      <c r="U1" s="2024"/>
      <c r="V1" s="2024"/>
    </row>
    <row r="2" spans="1:22" ht="21.75" customHeight="1" thickBot="1">
      <c r="A2" s="3353" t="str">
        <f>项目基本情况!K2</f>
        <v>河北省石家庄市长安区和平东路以北、东二环北路东侧商业、地下车库、地下仓储用地出让国有建设用地使用权出让国有建设用地使用权</v>
      </c>
      <c r="B2" s="3354"/>
      <c r="C2" s="3355"/>
      <c r="D2" s="3355"/>
      <c r="E2" s="3355"/>
      <c r="F2" s="3355"/>
      <c r="G2" s="3354"/>
      <c r="H2" s="3354"/>
      <c r="I2" s="3356"/>
      <c r="J2" s="2025"/>
      <c r="K2" s="2024"/>
      <c r="L2" s="2024"/>
      <c r="M2" s="2024"/>
      <c r="N2" s="2024"/>
      <c r="O2" s="2024"/>
      <c r="P2" s="2024"/>
      <c r="Q2" s="2024"/>
      <c r="R2" s="2024"/>
      <c r="S2" s="2024"/>
      <c r="T2" s="2024"/>
      <c r="U2" s="2024"/>
      <c r="V2" s="2024"/>
    </row>
    <row r="3" spans="1:22" ht="14.25">
      <c r="A3" s="3346" t="s">
        <v>297</v>
      </c>
      <c r="B3" s="3347"/>
      <c r="C3" s="3347"/>
      <c r="D3" s="3347"/>
      <c r="E3" s="3347"/>
      <c r="F3" s="3347"/>
      <c r="G3" s="3347"/>
      <c r="H3" s="3347"/>
      <c r="I3" s="3347"/>
      <c r="J3" s="2025"/>
      <c r="K3" s="2024"/>
      <c r="L3" s="2024"/>
      <c r="M3" s="2024"/>
      <c r="N3" s="2024"/>
      <c r="O3" s="2024"/>
      <c r="P3" s="2024"/>
      <c r="Q3" s="2024"/>
      <c r="R3" s="2024"/>
      <c r="S3" s="2024"/>
      <c r="T3" s="2024"/>
      <c r="U3" s="2024"/>
      <c r="V3" s="2024"/>
    </row>
    <row r="4" spans="1:22" ht="14.25">
      <c r="A4" s="256" t="s">
        <v>298</v>
      </c>
      <c r="B4" s="257" t="s">
        <v>299</v>
      </c>
      <c r="C4" s="258" t="s">
        <v>3035</v>
      </c>
      <c r="D4" s="258" t="s">
        <v>3036</v>
      </c>
      <c r="E4" s="3318" t="s">
        <v>300</v>
      </c>
      <c r="F4" s="3319"/>
      <c r="G4" s="3319"/>
      <c r="H4" s="3319"/>
      <c r="I4" s="3348"/>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7" t="s">
        <v>301</v>
      </c>
      <c r="B5" s="3343">
        <v>25</v>
      </c>
      <c r="C5" s="3341">
        <v>15</v>
      </c>
      <c r="D5" s="3345">
        <v>20</v>
      </c>
      <c r="E5" s="259" t="s">
        <v>302</v>
      </c>
      <c r="F5" s="260"/>
      <c r="G5" s="260"/>
      <c r="H5" s="260"/>
      <c r="I5" s="261"/>
      <c r="J5" s="2025"/>
      <c r="K5" s="2024"/>
      <c r="L5" s="2024"/>
      <c r="M5" s="2024"/>
      <c r="N5" s="2024"/>
      <c r="O5" s="2024"/>
      <c r="P5" s="2024"/>
      <c r="Q5" s="2024"/>
      <c r="R5" s="2024"/>
      <c r="S5" s="2024"/>
      <c r="T5" s="2024"/>
      <c r="U5" s="2024"/>
      <c r="V5" s="2024"/>
    </row>
    <row r="6" spans="1:22" ht="14.25">
      <c r="A6" s="3317"/>
      <c r="B6" s="3343"/>
      <c r="C6" s="3344"/>
      <c r="D6" s="3345"/>
      <c r="E6" s="259" t="s">
        <v>303</v>
      </c>
      <c r="F6" s="260"/>
      <c r="G6" s="260"/>
      <c r="H6" s="260"/>
      <c r="I6" s="261"/>
      <c r="J6" s="2025"/>
      <c r="K6" s="2024"/>
      <c r="L6" s="2024"/>
      <c r="M6" s="2024"/>
      <c r="N6" s="2024"/>
      <c r="O6" s="2024"/>
      <c r="P6" s="2024"/>
      <c r="Q6" s="2024"/>
      <c r="R6" s="2024"/>
      <c r="S6" s="2024"/>
      <c r="T6" s="2024"/>
      <c r="U6" s="2024"/>
      <c r="V6" s="2024"/>
    </row>
    <row r="7" spans="1:22" ht="14.25">
      <c r="A7" s="3317"/>
      <c r="B7" s="3343"/>
      <c r="C7" s="3342"/>
      <c r="D7" s="3345"/>
      <c r="E7" s="259" t="s">
        <v>304</v>
      </c>
      <c r="F7" s="260"/>
      <c r="G7" s="260"/>
      <c r="H7" s="260"/>
      <c r="I7" s="261"/>
      <c r="J7" s="2025"/>
      <c r="K7" s="2024"/>
      <c r="L7" s="2024"/>
      <c r="M7" s="2024"/>
      <c r="N7" s="2024"/>
      <c r="O7" s="2024"/>
      <c r="P7" s="2024"/>
      <c r="Q7" s="2024"/>
      <c r="R7" s="2024"/>
      <c r="S7" s="2024"/>
      <c r="T7" s="2024"/>
      <c r="U7" s="2024"/>
      <c r="V7" s="2024"/>
    </row>
    <row r="8" spans="1:22" ht="14.25">
      <c r="A8" s="3317" t="s">
        <v>305</v>
      </c>
      <c r="B8" s="3343">
        <v>15</v>
      </c>
      <c r="C8" s="3341">
        <v>10</v>
      </c>
      <c r="D8" s="3345">
        <v>14</v>
      </c>
      <c r="E8" s="259" t="s">
        <v>306</v>
      </c>
      <c r="F8" s="260"/>
      <c r="G8" s="260"/>
      <c r="H8" s="260"/>
      <c r="I8" s="261"/>
      <c r="J8" s="2025"/>
      <c r="K8" s="2024"/>
      <c r="L8" s="2024"/>
      <c r="M8" s="2024"/>
      <c r="N8" s="2024"/>
      <c r="O8" s="2024"/>
      <c r="P8" s="2024"/>
      <c r="Q8" s="2024"/>
      <c r="R8" s="2024"/>
      <c r="S8" s="2024"/>
      <c r="T8" s="2024"/>
      <c r="U8" s="2024"/>
      <c r="V8" s="2024"/>
    </row>
    <row r="9" spans="1:22" ht="14.25">
      <c r="A9" s="3317"/>
      <c r="B9" s="3343"/>
      <c r="C9" s="3342"/>
      <c r="D9" s="3345"/>
      <c r="E9" s="259" t="s">
        <v>307</v>
      </c>
      <c r="F9" s="260"/>
      <c r="G9" s="260"/>
      <c r="H9" s="260"/>
      <c r="I9" s="261"/>
      <c r="J9" s="2025"/>
      <c r="K9" s="2024"/>
      <c r="L9" s="2024"/>
      <c r="M9" s="2024"/>
      <c r="N9" s="2024"/>
      <c r="O9" s="2024"/>
      <c r="P9" s="2024"/>
      <c r="Q9" s="2024"/>
      <c r="R9" s="2024"/>
      <c r="S9" s="2024"/>
      <c r="T9" s="2024"/>
      <c r="U9" s="2024"/>
      <c r="V9" s="2024"/>
    </row>
    <row r="10" spans="1:22" ht="14.25">
      <c r="A10" s="3317" t="s">
        <v>308</v>
      </c>
      <c r="B10" s="3343">
        <v>15</v>
      </c>
      <c r="C10" s="3341">
        <v>10</v>
      </c>
      <c r="D10" s="3345">
        <v>14</v>
      </c>
      <c r="E10" s="259" t="s">
        <v>309</v>
      </c>
      <c r="F10" s="260"/>
      <c r="G10" s="260"/>
      <c r="H10" s="260"/>
      <c r="I10" s="261"/>
      <c r="J10" s="2025"/>
      <c r="K10" s="2024"/>
      <c r="L10" s="2024"/>
      <c r="M10" s="2024"/>
      <c r="N10" s="2024"/>
      <c r="O10" s="2024"/>
      <c r="P10" s="2024"/>
      <c r="Q10" s="2024"/>
      <c r="R10" s="2024"/>
      <c r="S10" s="2024"/>
      <c r="T10" s="2024"/>
      <c r="U10" s="2024"/>
      <c r="V10" s="2024"/>
    </row>
    <row r="11" spans="1:22" ht="14.25">
      <c r="A11" s="3317"/>
      <c r="B11" s="3343"/>
      <c r="C11" s="3342"/>
      <c r="D11" s="3345"/>
      <c r="E11" s="259" t="s">
        <v>310</v>
      </c>
      <c r="F11" s="260"/>
      <c r="G11" s="260"/>
      <c r="H11" s="260"/>
      <c r="I11" s="261"/>
      <c r="J11" s="2025"/>
      <c r="K11" s="2024"/>
      <c r="L11" s="2024"/>
      <c r="M11" s="2024"/>
      <c r="N11" s="2024"/>
      <c r="O11" s="2024"/>
      <c r="P11" s="2024"/>
      <c r="Q11" s="2024"/>
      <c r="R11" s="2024"/>
      <c r="S11" s="2024"/>
      <c r="T11" s="2024"/>
      <c r="U11" s="2024"/>
      <c r="V11" s="2024"/>
    </row>
    <row r="12" spans="1:22" ht="14.25">
      <c r="A12" s="3317" t="s">
        <v>311</v>
      </c>
      <c r="B12" s="3343">
        <v>15</v>
      </c>
      <c r="C12" s="3341">
        <v>10</v>
      </c>
      <c r="D12" s="3345">
        <v>14</v>
      </c>
      <c r="E12" s="259" t="s">
        <v>312</v>
      </c>
      <c r="F12" s="260"/>
      <c r="G12" s="260"/>
      <c r="H12" s="260"/>
      <c r="I12" s="261"/>
      <c r="J12" s="2025"/>
      <c r="K12" s="2024"/>
      <c r="L12" s="2024"/>
      <c r="M12" s="2024"/>
      <c r="N12" s="2024"/>
      <c r="O12" s="2024"/>
      <c r="P12" s="2024"/>
      <c r="Q12" s="2024"/>
      <c r="R12" s="2024"/>
      <c r="S12" s="2024"/>
      <c r="T12" s="2024"/>
      <c r="U12" s="2024"/>
      <c r="V12" s="2024"/>
    </row>
    <row r="13" spans="1:22" ht="14.25">
      <c r="A13" s="3317"/>
      <c r="B13" s="3343"/>
      <c r="C13" s="3342"/>
      <c r="D13" s="3345"/>
      <c r="E13" s="259" t="s">
        <v>313</v>
      </c>
      <c r="F13" s="260"/>
      <c r="G13" s="260"/>
      <c r="H13" s="260"/>
      <c r="I13" s="261"/>
      <c r="J13" s="2025"/>
      <c r="K13" s="2024"/>
      <c r="L13" s="2024"/>
      <c r="M13" s="2024"/>
      <c r="N13" s="2024"/>
      <c r="O13" s="2024"/>
      <c r="P13" s="2024"/>
      <c r="Q13" s="2024"/>
      <c r="R13" s="2024"/>
      <c r="S13" s="2024"/>
      <c r="T13" s="2024"/>
      <c r="U13" s="2024"/>
      <c r="V13" s="2024"/>
    </row>
    <row r="14" spans="1:22" ht="14.25">
      <c r="A14" s="3317" t="s">
        <v>314</v>
      </c>
      <c r="B14" s="3343">
        <v>30</v>
      </c>
      <c r="C14" s="3341">
        <v>12</v>
      </c>
      <c r="D14" s="3345">
        <v>25</v>
      </c>
      <c r="E14" s="259" t="s">
        <v>315</v>
      </c>
      <c r="F14" s="260"/>
      <c r="G14" s="260"/>
      <c r="H14" s="260"/>
      <c r="I14" s="261"/>
      <c r="J14" s="2025"/>
      <c r="K14" s="2024"/>
      <c r="L14" s="2024"/>
      <c r="M14" s="2024"/>
      <c r="N14" s="2024"/>
      <c r="O14" s="2024"/>
      <c r="P14" s="2024"/>
      <c r="Q14" s="2024"/>
      <c r="R14" s="2024"/>
      <c r="S14" s="2024"/>
      <c r="T14" s="2024"/>
      <c r="U14" s="2024"/>
      <c r="V14" s="2024"/>
    </row>
    <row r="15" spans="1:22" ht="14.25">
      <c r="A15" s="3317"/>
      <c r="B15" s="3343"/>
      <c r="C15" s="3344"/>
      <c r="D15" s="3345"/>
      <c r="E15" s="259" t="s">
        <v>316</v>
      </c>
      <c r="F15" s="260"/>
      <c r="G15" s="260"/>
      <c r="H15" s="260"/>
      <c r="I15" s="261"/>
      <c r="J15" s="2025"/>
      <c r="K15" s="2024"/>
      <c r="L15" s="2024"/>
      <c r="M15" s="2024"/>
      <c r="N15" s="2024"/>
      <c r="O15" s="2024"/>
      <c r="P15" s="2024"/>
      <c r="Q15" s="2024"/>
      <c r="R15" s="2024"/>
      <c r="S15" s="2024"/>
      <c r="T15" s="2024"/>
      <c r="U15" s="2024"/>
      <c r="V15" s="2024"/>
    </row>
    <row r="16" spans="1:22" ht="14.25">
      <c r="A16" s="3317"/>
      <c r="B16" s="3343"/>
      <c r="C16" s="3342"/>
      <c r="D16" s="3345"/>
      <c r="E16" s="259" t="s">
        <v>317</v>
      </c>
      <c r="F16" s="260"/>
      <c r="G16" s="260"/>
      <c r="H16" s="260"/>
      <c r="I16" s="261"/>
      <c r="J16" s="2025"/>
      <c r="K16" s="2024"/>
      <c r="L16" s="2024"/>
      <c r="M16" s="2024"/>
      <c r="N16" s="2024"/>
      <c r="O16" s="2024"/>
      <c r="P16" s="2024"/>
      <c r="Q16" s="2024"/>
      <c r="R16" s="2024"/>
      <c r="S16" s="2024"/>
      <c r="T16" s="2024"/>
      <c r="U16" s="2024"/>
      <c r="V16" s="2024"/>
    </row>
    <row r="17" spans="1:26" ht="15">
      <c r="A17" s="262" t="s">
        <v>318</v>
      </c>
      <c r="B17" s="142"/>
      <c r="C17" s="263">
        <f>SUM(C5:C16)</f>
        <v>57</v>
      </c>
      <c r="D17" s="263">
        <f>SUM(D5:D16)</f>
        <v>87</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319</v>
      </c>
      <c r="B18" s="104"/>
      <c r="C18" s="265">
        <f>ROUND(C17/SUM(C17:D17),2)</f>
        <v>0.4</v>
      </c>
      <c r="D18" s="265">
        <f>1-C18</f>
        <v>0.6</v>
      </c>
      <c r="E18" s="309"/>
      <c r="F18" s="309"/>
      <c r="G18" s="309"/>
      <c r="H18" s="309"/>
      <c r="I18" s="309"/>
      <c r="J18" s="2024"/>
      <c r="K18" s="2024"/>
      <c r="L18" s="2024"/>
      <c r="M18" s="2024"/>
      <c r="N18" s="2024"/>
      <c r="O18" s="2024"/>
      <c r="P18" s="2024"/>
      <c r="Q18" s="2024"/>
      <c r="R18" s="2024"/>
      <c r="S18" s="2024"/>
      <c r="T18" s="2024"/>
      <c r="U18" s="2024"/>
      <c r="V18" s="2024"/>
    </row>
    <row r="19" spans="1:26" ht="15">
      <c r="A19" s="266" t="s">
        <v>320</v>
      </c>
      <c r="B19" s="267" t="s">
        <v>321</v>
      </c>
      <c r="C19" s="268">
        <f ca="1">SUMIF(INDIRECT("'"&amp;C4&amp;"'"&amp;"!A:A"),结果表!B19,INDIRECT("'"&amp;C4&amp;"'"&amp;"!B:B"))</f>
        <v>42352</v>
      </c>
      <c r="D19" s="269">
        <f ca="1">SUMIF(INDIRECT("'"&amp;D4&amp;"'"&amp;"!A:A"),结果表!B19,INDIRECT("'"&amp;D4&amp;"'"&amp;"!B:B"))</f>
        <v>88898</v>
      </c>
      <c r="E19" s="266" t="s">
        <v>322</v>
      </c>
      <c r="F19" s="267" t="s">
        <v>321</v>
      </c>
      <c r="G19" s="270">
        <f ca="1">ROUND(C19*$C$18+D19*$D$18,0)</f>
        <v>70280</v>
      </c>
      <c r="H19" s="271" t="s">
        <v>323</v>
      </c>
      <c r="I19" s="309"/>
      <c r="J19" s="2024"/>
      <c r="K19" s="2024"/>
      <c r="L19" s="2024"/>
      <c r="M19" s="2024"/>
      <c r="N19" s="2024"/>
      <c r="O19" s="2024"/>
      <c r="P19" s="2024"/>
      <c r="Q19" s="2024"/>
      <c r="R19" s="2024"/>
      <c r="S19" s="2024"/>
      <c r="T19" s="2024"/>
      <c r="U19" s="2024"/>
      <c r="V19" s="2024"/>
    </row>
    <row r="20" spans="1:26" ht="15">
      <c r="A20" s="272"/>
      <c r="B20" s="273" t="s">
        <v>324</v>
      </c>
      <c r="C20" s="274">
        <f ca="1">SUMIF(INDIRECT("'"&amp;C4&amp;"'"&amp;"!A:A"),结果表!B20,INDIRECT("'"&amp;C4&amp;"'"&amp;"!B:B"))</f>
        <v>2266</v>
      </c>
      <c r="D20" s="275">
        <f ca="1">SUMIF(INDIRECT("'"&amp;D4&amp;"'"&amp;"!A:A"),结果表!B20,INDIRECT("'"&amp;D4&amp;"'"&amp;"!B:B"))</f>
        <v>4757</v>
      </c>
      <c r="E20" s="272"/>
      <c r="F20" s="273" t="s">
        <v>324</v>
      </c>
      <c r="G20" s="276">
        <f ca="1">ROUND(C20*$C$18+D20*$D$18,0)</f>
        <v>3761</v>
      </c>
      <c r="H20" s="277" t="s">
        <v>325</v>
      </c>
      <c r="I20" s="309"/>
      <c r="J20" s="2024"/>
      <c r="K20" s="2024"/>
      <c r="L20" s="2024"/>
      <c r="M20" s="2024"/>
      <c r="N20" s="2024"/>
      <c r="O20" s="2024"/>
      <c r="P20" s="2024"/>
      <c r="Q20" s="2024"/>
      <c r="R20" s="2024"/>
      <c r="S20" s="2024"/>
      <c r="T20" s="2024"/>
      <c r="U20" s="2024"/>
      <c r="V20" s="2024"/>
    </row>
    <row r="21" spans="1:26" ht="15" customHeight="1">
      <c r="A21" s="272"/>
      <c r="B21" s="278" t="s">
        <v>326</v>
      </c>
      <c r="C21" s="279">
        <f ca="1">SUMIF(INDIRECT("'"&amp;C4&amp;"'"&amp;"!A:A"),结果表!B21,INDIRECT("'"&amp;C4&amp;"'"&amp;"!B:B"))</f>
        <v>13160</v>
      </c>
      <c r="D21" s="149">
        <f ca="1">SUMIF(INDIRECT("'"&amp;D4&amp;"'"&amp;"!A:A"),结果表!B21,INDIRECT("'"&amp;D4&amp;"'"&amp;"!B:B"))</f>
        <v>27624</v>
      </c>
      <c r="E21" s="272"/>
      <c r="F21" s="278" t="s">
        <v>326</v>
      </c>
      <c r="G21" s="280">
        <f ca="1">ROUND(C21*$C$18+D21*$D$18,0)</f>
        <v>21838</v>
      </c>
      <c r="H21" s="1249" t="s">
        <v>325</v>
      </c>
      <c r="I21" s="309"/>
      <c r="J21" s="2024"/>
      <c r="K21" s="2024"/>
      <c r="L21" s="2024"/>
      <c r="M21" s="2024"/>
      <c r="N21" s="2024"/>
      <c r="O21" s="2024"/>
      <c r="P21" s="2024"/>
      <c r="Q21" s="2024"/>
      <c r="R21" s="2024"/>
      <c r="S21" s="2024"/>
      <c r="T21" s="2024"/>
      <c r="U21" s="2024"/>
      <c r="V21" s="2024"/>
    </row>
    <row r="22" spans="1:26" ht="15.75" thickBot="1">
      <c r="A22" s="125" t="s">
        <v>327</v>
      </c>
      <c r="B22" s="1250"/>
      <c r="C22" s="1251"/>
      <c r="D22" s="281">
        <f ca="1">IF(C19&lt;D19,D19/C19-1,C19/D19-1)</f>
        <v>1.0990272006044579</v>
      </c>
      <c r="E22" s="282"/>
      <c r="F22" s="283"/>
      <c r="G22" s="284">
        <f ca="1">ROUND(G19/('数据-汇总表'!D3/666.67),0)</f>
        <v>1456</v>
      </c>
      <c r="H22" s="285" t="s">
        <v>328</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323" t="s">
        <v>329</v>
      </c>
      <c r="B24" s="267" t="s">
        <v>321</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324"/>
      <c r="B25" s="1319" t="s">
        <v>330</v>
      </c>
      <c r="C25" s="288">
        <f>IF(B30=0,0,C30)</f>
        <v>0</v>
      </c>
      <c r="D25" s="289"/>
      <c r="E25" s="309"/>
      <c r="F25" s="309"/>
      <c r="G25" s="309"/>
      <c r="H25" s="309"/>
      <c r="I25" s="309"/>
      <c r="J25" s="2024"/>
      <c r="K25" s="1253" t="str">
        <f ca="1">项目基本情况!B16&amp;"国有建设用地使用权价格："&amp;O38&amp;"万元"</f>
        <v>出让国有建设用地使用权价格：70280万元</v>
      </c>
      <c r="L25" s="1254"/>
      <c r="M25" s="1254"/>
      <c r="N25" s="1254"/>
      <c r="O25" s="1255"/>
      <c r="P25" s="2024"/>
      <c r="Q25" s="2024"/>
      <c r="R25" s="2024"/>
      <c r="S25" s="2024"/>
      <c r="T25" s="2024"/>
      <c r="U25" s="2024"/>
      <c r="V25" s="2024"/>
    </row>
    <row r="26" spans="1:26" s="1252" customFormat="1" ht="18">
      <c r="A26" s="291" t="s">
        <v>331</v>
      </c>
      <c r="B26" s="292" t="s">
        <v>332</v>
      </c>
      <c r="C26" s="292" t="s">
        <v>333</v>
      </c>
      <c r="D26" s="293" t="s">
        <v>334</v>
      </c>
      <c r="E26" s="309"/>
      <c r="F26" s="309"/>
      <c r="G26" s="309"/>
      <c r="H26" s="309"/>
      <c r="I26" s="309"/>
      <c r="J26" s="2024"/>
      <c r="K26" s="1256" t="str">
        <f ca="1">"大写金额：人民币"&amp;NUMBERSTRING(INT(O38*10000),2)&amp;"元整"</f>
        <v>大写金额：人民币柒亿零贰佰捌拾万元整</v>
      </c>
      <c r="L26" s="1250"/>
      <c r="M26" s="1250"/>
      <c r="N26" s="1250"/>
      <c r="O26" s="1249"/>
      <c r="P26" s="2024"/>
      <c r="Q26" s="2024"/>
      <c r="R26" s="2024"/>
      <c r="S26" s="2024"/>
      <c r="T26" s="2024"/>
      <c r="U26" s="2024"/>
      <c r="V26" s="2024"/>
      <c r="W26" s="290"/>
      <c r="X26" s="290"/>
      <c r="Y26" s="290"/>
      <c r="Z26" s="290"/>
    </row>
    <row r="27" spans="1:26" ht="18">
      <c r="A27" s="291"/>
      <c r="B27" s="292"/>
      <c r="C27" s="292"/>
      <c r="D27" s="293"/>
      <c r="E27" s="309"/>
      <c r="F27" s="309"/>
      <c r="G27" s="309"/>
      <c r="H27" s="309"/>
      <c r="I27" s="309"/>
      <c r="J27" s="2024"/>
      <c r="K27" s="1256" t="str">
        <f ca="1">"单位面积地价："&amp;M38&amp;"元/平方米"</f>
        <v>单位面积地价：21839元/平方米</v>
      </c>
      <c r="L27" s="1250"/>
      <c r="M27" s="1250"/>
      <c r="N27" s="1250"/>
      <c r="O27" s="1249"/>
      <c r="P27" s="2024"/>
      <c r="Q27" s="2024"/>
      <c r="R27" s="2024"/>
      <c r="S27" s="2024"/>
      <c r="T27" s="2024"/>
      <c r="U27" s="2024"/>
      <c r="V27" s="2024"/>
    </row>
    <row r="28" spans="1:26" ht="18.75" customHeight="1">
      <c r="A28" s="291"/>
      <c r="B28" s="292"/>
      <c r="C28" s="292"/>
      <c r="D28" s="293"/>
      <c r="E28" s="309"/>
      <c r="F28" s="309"/>
      <c r="G28" s="309"/>
      <c r="H28" s="309"/>
      <c r="I28" s="309"/>
      <c r="J28" s="2024"/>
      <c r="K28" s="1256" t="str">
        <f ca="1">"楼面地价："&amp;N38&amp;"元/平方米"</f>
        <v>楼面地价：3760元/平方米</v>
      </c>
      <c r="L28" s="1250"/>
      <c r="M28" s="1250"/>
      <c r="N28" s="1250"/>
      <c r="O28" s="1249"/>
      <c r="P28" s="2024"/>
      <c r="V28" s="2024"/>
    </row>
    <row r="29" spans="1:26" ht="18">
      <c r="A29" s="291"/>
      <c r="B29" s="292"/>
      <c r="C29" s="292"/>
      <c r="D29" s="293"/>
      <c r="E29" s="309"/>
      <c r="F29" s="309"/>
      <c r="G29" s="309"/>
      <c r="H29" s="309"/>
      <c r="I29" s="309"/>
      <c r="J29" s="2024"/>
      <c r="K29" s="1256" t="str">
        <f ca="1">IF(OR(项目基本情况!E8="抵押价格",项目基本情况!E8="已注销及未注销"),"抵押价格："&amp;O39&amp;"万元","——")</f>
        <v>抵押价格：22280万元</v>
      </c>
      <c r="L29" s="1250"/>
      <c r="M29" s="1250"/>
      <c r="N29" s="1250"/>
      <c r="O29" s="1249"/>
      <c r="P29" s="2024"/>
      <c r="V29" s="2024"/>
    </row>
    <row r="30" spans="1:26" ht="18.75" thickBot="1">
      <c r="A30" s="3119" t="s">
        <v>335</v>
      </c>
      <c r="B30" s="307"/>
      <c r="C30" s="307"/>
      <c r="D30" s="308"/>
      <c r="E30" s="3120" t="s">
        <v>2955</v>
      </c>
      <c r="F30" s="309"/>
      <c r="G30" s="309"/>
      <c r="H30" s="309"/>
      <c r="I30" s="309"/>
      <c r="J30" s="2024"/>
      <c r="K30" s="1256" t="str">
        <f ca="1">IF(K29="——","——","大写金额：人民币"&amp;NUMBERSTRING(INT(O39*10000),2)&amp;"元整")</f>
        <v>大写金额：人民币贰亿贰仟贰佰捌拾万元整</v>
      </c>
      <c r="L30" s="1250"/>
      <c r="M30" s="1250"/>
      <c r="N30" s="1250"/>
      <c r="O30" s="1249"/>
      <c r="P30" s="2024"/>
      <c r="V30" s="2024"/>
    </row>
    <row r="31" spans="1:26" ht="24" customHeight="1" thickBot="1">
      <c r="A31" s="309"/>
      <c r="B31" s="309"/>
      <c r="C31" s="309"/>
      <c r="D31" s="309"/>
      <c r="E31" s="309"/>
      <c r="F31" s="309"/>
      <c r="G31" s="309"/>
      <c r="H31" s="309"/>
      <c r="I31" s="309"/>
      <c r="J31" s="2024"/>
      <c r="K31" s="2464" t="str">
        <f>IF(项目基本情况!E8="抵押价格","——","抵押担保权已注销时的抵押价格："&amp;O40&amp;"万元")</f>
        <v>——</v>
      </c>
      <c r="L31" s="2460"/>
      <c r="M31" s="2460"/>
      <c r="N31" s="2460"/>
      <c r="O31" s="2461"/>
      <c r="P31" s="2024"/>
      <c r="V31" s="2024"/>
    </row>
    <row r="32" spans="1:26" ht="18.75" thickBot="1">
      <c r="A32" s="266" t="s">
        <v>336</v>
      </c>
      <c r="B32" s="1379" t="s">
        <v>1685</v>
      </c>
      <c r="C32" s="1380">
        <f ca="1">G19-C24</f>
        <v>70280</v>
      </c>
      <c r="D32" s="1381" t="s">
        <v>1686</v>
      </c>
      <c r="E32" s="309"/>
      <c r="F32" s="309"/>
      <c r="G32" s="309"/>
      <c r="H32" s="309"/>
      <c r="I32" s="309"/>
      <c r="J32" s="2024"/>
      <c r="K32" s="2459" t="str">
        <f>IF(K31="——","——","大写金额：人民币"&amp;NUMBERSTRING(INT(O40*10000),2)&amp;"元整")</f>
        <v>——</v>
      </c>
      <c r="L32" s="2462"/>
      <c r="M32" s="2462"/>
      <c r="N32" s="2462"/>
      <c r="O32" s="2463"/>
      <c r="P32" s="2024"/>
      <c r="V32" s="2024"/>
    </row>
    <row r="33" spans="1:26" ht="18.75" thickBot="1">
      <c r="A33" s="296" t="s">
        <v>339</v>
      </c>
      <c r="B33" s="1382" t="s">
        <v>1687</v>
      </c>
      <c r="C33" s="262">
        <f ca="1">ROUND(C32*10000/'数据-汇总表'!E3,0)</f>
        <v>3760</v>
      </c>
      <c r="D33" s="1383" t="s">
        <v>1688</v>
      </c>
      <c r="E33" s="3323" t="s">
        <v>337</v>
      </c>
      <c r="F33" s="294" t="s">
        <v>338</v>
      </c>
      <c r="G33" s="295">
        <v>48000</v>
      </c>
      <c r="H33" s="978" t="s">
        <v>3246</v>
      </c>
      <c r="I33" s="1257"/>
      <c r="J33" s="2024"/>
      <c r="K33" s="1256" t="str">
        <f>IF(项目基本情况!E9="——","——","抵押净值："&amp;C46&amp;"万元")</f>
        <v>抵押净值：——万元</v>
      </c>
      <c r="L33" s="1250"/>
      <c r="M33" s="1250"/>
      <c r="N33" s="1250"/>
      <c r="O33" s="1249"/>
      <c r="P33" s="2024"/>
      <c r="V33" s="2024"/>
    </row>
    <row r="34" spans="1:26" s="1252" customFormat="1" ht="18.75" thickBot="1">
      <c r="A34" s="298"/>
      <c r="B34" s="1384" t="s">
        <v>1689</v>
      </c>
      <c r="C34" s="262">
        <f ca="1">ROUND(C32*10000/'数据-汇总表'!D3,0)</f>
        <v>21839</v>
      </c>
      <c r="D34" s="1385" t="s">
        <v>1688</v>
      </c>
      <c r="E34" s="3364"/>
      <c r="F34" s="126" t="s">
        <v>340</v>
      </c>
      <c r="G34" s="297">
        <v>0</v>
      </c>
      <c r="H34" s="104"/>
      <c r="I34" s="309"/>
      <c r="J34" s="2024"/>
      <c r="K34" s="1259" t="e">
        <f>IF(K33="——","——","大写金额：人民币"&amp;NUMBERSTRING(INT(O41*10000),2)&amp;"元整")</f>
        <v>#VALUE!</v>
      </c>
      <c r="L34" s="1260"/>
      <c r="M34" s="1260"/>
      <c r="N34" s="1260"/>
      <c r="O34" s="1261"/>
      <c r="P34" s="2024"/>
      <c r="Q34" s="290"/>
      <c r="R34" s="290"/>
      <c r="S34" s="290"/>
      <c r="T34" s="290"/>
      <c r="U34" s="290"/>
      <c r="V34" s="2024"/>
      <c r="W34" s="290"/>
      <c r="X34" s="290"/>
      <c r="Y34" s="290"/>
      <c r="Z34" s="290"/>
    </row>
    <row r="35" spans="1:26" ht="15.75" thickBot="1">
      <c r="A35" s="282"/>
      <c r="B35" s="1386"/>
      <c r="C35" s="1387">
        <f ca="1">ROUND(C32/('数据-汇总表'!D3/666.67),0)</f>
        <v>1456</v>
      </c>
      <c r="D35" s="1388" t="s">
        <v>1690</v>
      </c>
      <c r="E35" s="3365"/>
      <c r="F35" s="299" t="s">
        <v>341</v>
      </c>
      <c r="G35" s="980">
        <v>0</v>
      </c>
      <c r="H35" s="979" t="s">
        <v>342</v>
      </c>
      <c r="I35" s="309"/>
      <c r="J35" s="2024"/>
      <c r="K35" s="3338" t="s">
        <v>349</v>
      </c>
      <c r="L35" s="3338" t="s">
        <v>350</v>
      </c>
      <c r="M35" s="1262" t="s">
        <v>351</v>
      </c>
      <c r="N35" s="3338" t="s">
        <v>352</v>
      </c>
      <c r="O35" s="3338" t="s">
        <v>353</v>
      </c>
      <c r="P35" s="2024"/>
      <c r="V35" s="2024"/>
    </row>
    <row r="36" spans="1:26" ht="16.5" customHeight="1">
      <c r="A36" s="301" t="s">
        <v>343</v>
      </c>
      <c r="B36" s="302" t="s">
        <v>332</v>
      </c>
      <c r="C36" s="303" t="s">
        <v>344</v>
      </c>
      <c r="D36" s="303" t="s">
        <v>345</v>
      </c>
      <c r="E36" s="304" t="s">
        <v>346</v>
      </c>
      <c r="F36" s="309"/>
      <c r="G36" s="309"/>
      <c r="H36" s="309"/>
      <c r="I36" s="309"/>
      <c r="J36" s="2026"/>
      <c r="K36" s="3339"/>
      <c r="L36" s="3339"/>
      <c r="M36" s="1264" t="s">
        <v>354</v>
      </c>
      <c r="N36" s="3339"/>
      <c r="O36" s="3339"/>
      <c r="P36" s="2024"/>
      <c r="V36" s="2024"/>
    </row>
    <row r="37" spans="1:26" ht="16.5" customHeight="1" thickBot="1">
      <c r="A37" s="1258" t="s">
        <v>347</v>
      </c>
      <c r="B37" s="305"/>
      <c r="C37" s="292"/>
      <c r="D37" s="292"/>
      <c r="E37" s="293"/>
      <c r="F37" s="309"/>
      <c r="G37" s="309"/>
      <c r="H37" s="309"/>
      <c r="I37" s="309"/>
      <c r="J37" s="2026"/>
      <c r="K37" s="3340"/>
      <c r="L37" s="3340"/>
      <c r="M37" s="1265"/>
      <c r="N37" s="3340"/>
      <c r="O37" s="3340"/>
      <c r="P37" s="2024"/>
      <c r="V37" s="2024"/>
    </row>
    <row r="38" spans="1:26" ht="16.5" customHeight="1" thickBot="1">
      <c r="A38" s="1258" t="s">
        <v>348</v>
      </c>
      <c r="B38" s="305"/>
      <c r="C38" s="292"/>
      <c r="D38" s="292"/>
      <c r="E38" s="293"/>
      <c r="F38" s="309"/>
      <c r="G38" s="309"/>
      <c r="H38" s="309"/>
      <c r="I38" s="309"/>
      <c r="J38" s="2026"/>
      <c r="K38" s="1266">
        <f>'数据-汇总表'!D3</f>
        <v>32181.54</v>
      </c>
      <c r="L38" s="1267">
        <f>'数据-汇总表'!E3</f>
        <v>186890.99</v>
      </c>
      <c r="M38" s="1267">
        <f ca="1">C34</f>
        <v>21839</v>
      </c>
      <c r="N38" s="1267">
        <f ca="1">C33</f>
        <v>3760</v>
      </c>
      <c r="O38" s="1268">
        <f ca="1">C32</f>
        <v>70280</v>
      </c>
      <c r="P38" s="2024"/>
      <c r="V38" s="2024"/>
    </row>
    <row r="39" spans="1:26" ht="16.5" customHeight="1" thickBot="1">
      <c r="A39" s="1263"/>
      <c r="B39" s="306"/>
      <c r="C39" s="307"/>
      <c r="D39" s="307"/>
      <c r="E39" s="308"/>
      <c r="F39" s="309"/>
      <c r="G39" s="309"/>
      <c r="H39" s="309"/>
      <c r="I39" s="309"/>
      <c r="J39" s="2026"/>
      <c r="K39" s="3383" t="str">
        <f>MID(A44,3,LEN(A44)-2)</f>
        <v>抵押价格</v>
      </c>
      <c r="L39" s="3384"/>
      <c r="M39" s="3384"/>
      <c r="N39" s="3385"/>
      <c r="O39" s="1390">
        <f ca="1">C44</f>
        <v>22280</v>
      </c>
      <c r="P39" s="2024"/>
      <c r="V39" s="2024"/>
    </row>
    <row r="40" spans="1:26" ht="19.5" thickBot="1">
      <c r="A40" s="103" t="s">
        <v>870</v>
      </c>
      <c r="B40" s="309"/>
      <c r="C40" s="309"/>
      <c r="D40" s="309"/>
      <c r="E40" s="309"/>
      <c r="F40" s="309"/>
      <c r="G40" s="309"/>
      <c r="H40" s="309"/>
      <c r="I40" s="309"/>
      <c r="J40" s="2026"/>
      <c r="K40" s="3383" t="str">
        <f t="shared" ref="K40:K41" si="0">MID(A45,3,LEN(A45)-2)</f>
        <v/>
      </c>
      <c r="L40" s="3384"/>
      <c r="M40" s="3384"/>
      <c r="N40" s="3385"/>
      <c r="O40" s="1390" t="str">
        <f>C45</f>
        <v>——</v>
      </c>
      <c r="P40" s="2024"/>
      <c r="V40" s="2024"/>
    </row>
    <row r="41" spans="1:26" ht="16.5" thickBot="1">
      <c r="A41" s="310" t="s">
        <v>355</v>
      </c>
      <c r="B41" s="311"/>
      <c r="C41" s="312" t="s">
        <v>356</v>
      </c>
      <c r="D41" s="313" t="s">
        <v>357</v>
      </c>
      <c r="E41" s="313" t="s">
        <v>358</v>
      </c>
      <c r="F41" s="314" t="s">
        <v>359</v>
      </c>
      <c r="G41" s="309"/>
      <c r="H41" s="309"/>
      <c r="I41" s="309"/>
      <c r="J41" s="2026"/>
      <c r="K41" s="3383" t="str">
        <f t="shared" si="0"/>
        <v/>
      </c>
      <c r="L41" s="3384"/>
      <c r="M41" s="3384"/>
      <c r="N41" s="3385"/>
      <c r="O41" s="1390" t="str">
        <f>C46</f>
        <v>——</v>
      </c>
      <c r="P41" s="2024"/>
      <c r="V41" s="2024"/>
    </row>
    <row r="42" spans="1:26" ht="29.25">
      <c r="A42" s="3325" t="s">
        <v>2064</v>
      </c>
      <c r="B42" s="3326"/>
      <c r="C42" s="262">
        <f ca="1">C32</f>
        <v>70280</v>
      </c>
      <c r="D42" s="315">
        <f ca="1">C33</f>
        <v>3760</v>
      </c>
      <c r="E42" s="315">
        <f ca="1">C34</f>
        <v>21839</v>
      </c>
      <c r="F42" s="316">
        <f ca="1">C35</f>
        <v>1456</v>
      </c>
      <c r="G42" s="309"/>
      <c r="H42" s="309"/>
      <c r="I42" s="317"/>
      <c r="J42" s="2026"/>
      <c r="K42" s="1269" t="s">
        <v>360</v>
      </c>
      <c r="L42" s="2043" t="s">
        <v>361</v>
      </c>
      <c r="M42" s="1270" t="s">
        <v>362</v>
      </c>
      <c r="N42" s="2044" t="s">
        <v>363</v>
      </c>
      <c r="O42" s="2045" t="s">
        <v>364</v>
      </c>
      <c r="P42" s="2024"/>
      <c r="V42" s="2024"/>
    </row>
    <row r="43" spans="1:26" ht="30">
      <c r="A43" s="3336" t="s">
        <v>2722</v>
      </c>
      <c r="B43" s="3337"/>
      <c r="C43" s="262">
        <f>IF(H33="正常操作",G33+G34+G35,G34+G35)</f>
        <v>48000</v>
      </c>
      <c r="D43" s="315" t="s">
        <v>43</v>
      </c>
      <c r="E43" s="315" t="s">
        <v>44</v>
      </c>
      <c r="F43" s="316" t="s">
        <v>44</v>
      </c>
      <c r="G43" s="2862" t="s">
        <v>949</v>
      </c>
      <c r="H43" s="309"/>
      <c r="I43" s="317"/>
      <c r="J43" s="2026"/>
      <c r="K43" s="1271" t="str">
        <f>C4</f>
        <v>比较法-住宅、综合</v>
      </c>
      <c r="L43" s="1272">
        <f ca="1">IF(L42="估价结果/万元",C19,C20)</f>
        <v>42352</v>
      </c>
      <c r="M43" s="1273">
        <f>C18</f>
        <v>0.4</v>
      </c>
      <c r="N43" s="1274">
        <f ca="1">IF(N42="测算结果/万元",G19,G20)</f>
        <v>70280</v>
      </c>
      <c r="O43" s="1275">
        <f ca="1">IF(O42="最终结果/万元",C32,C33)</f>
        <v>70280</v>
      </c>
      <c r="P43" s="2024"/>
      <c r="V43" s="2024"/>
    </row>
    <row r="44" spans="1:26" ht="30.75" thickBot="1">
      <c r="A44" s="3325" t="str">
        <f>IF(OR(项目基本情况!E8="抵押价格",项目基本情况!E8="已注销及未注销"),"3.抵押价格","——")</f>
        <v>3.抵押价格</v>
      </c>
      <c r="B44" s="3326"/>
      <c r="C44" s="262">
        <f ca="1">IF(A44="——","——",C42-C43)</f>
        <v>22280</v>
      </c>
      <c r="D44" s="315">
        <f ca="1">ROUND(C44*10000/'数据-汇总表'!E3,0)</f>
        <v>1192</v>
      </c>
      <c r="E44" s="315">
        <f ca="1">ROUND(C44*10000/'数据-汇总表'!D3,0)</f>
        <v>6923</v>
      </c>
      <c r="F44" s="316">
        <f ca="1">ROUND(C44/('数据-汇总表'!D3/666.67),0)</f>
        <v>462</v>
      </c>
      <c r="G44" s="309"/>
      <c r="H44" s="309"/>
      <c r="I44" s="317"/>
      <c r="J44" s="2026"/>
      <c r="K44" s="1276" t="str">
        <f>D4</f>
        <v>剩余法-待开发</v>
      </c>
      <c r="L44" s="1277">
        <f ca="1">IF(L42="估价结果/万元",D19,D20)</f>
        <v>88898</v>
      </c>
      <c r="M44" s="1278">
        <f>D18</f>
        <v>0.6</v>
      </c>
      <c r="N44" s="1279"/>
      <c r="O44" s="1280"/>
      <c r="P44" s="2024"/>
      <c r="V44" s="2024"/>
    </row>
    <row r="45" spans="1:26" ht="15">
      <c r="A45" s="3331" t="str">
        <f>IF(项目基本情况!E8="已注销及未注销","4.抵押担保权已注销时的抵押价格",IF(项目基本情况!E8="已注销","3.抵押担保权已注销时的抵押价格","——"))</f>
        <v>——</v>
      </c>
      <c r="B45" s="3332"/>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327" t="str">
        <f>IF(项目基本情况!E9="抵押净值",IF(A45="——","4.抵押净值","5.抵押净值"),"——")</f>
        <v>——</v>
      </c>
      <c r="B46" s="3328"/>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365</v>
      </c>
      <c r="B47" s="1281"/>
      <c r="C47" s="320" t="s">
        <v>366</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本次评估估价师知悉的法定优先受偿款为人民币48000万元整。</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367</v>
      </c>
      <c r="G53" s="335"/>
      <c r="H53" s="335"/>
      <c r="I53" s="336" t="s">
        <v>368</v>
      </c>
      <c r="J53" s="2027"/>
      <c r="K53" s="2024"/>
      <c r="L53" s="2024"/>
      <c r="M53" s="2024"/>
      <c r="N53" s="2024"/>
      <c r="O53" s="2024"/>
      <c r="P53" s="2024"/>
      <c r="Q53" s="2024"/>
      <c r="R53" s="2024"/>
      <c r="S53" s="2024"/>
      <c r="T53" s="2024"/>
      <c r="U53" s="2024"/>
      <c r="V53" s="2024"/>
    </row>
    <row r="54" spans="1:22" ht="12.75">
      <c r="A54" s="255"/>
      <c r="B54" s="337" t="s">
        <v>369</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370</v>
      </c>
      <c r="J56" s="2027"/>
      <c r="K56" s="2024"/>
      <c r="L56" s="2024"/>
      <c r="M56" s="2024"/>
      <c r="N56" s="2024"/>
      <c r="O56" s="2024"/>
      <c r="P56" s="2024"/>
      <c r="Q56" s="2024"/>
      <c r="R56" s="2024"/>
      <c r="S56" s="2024"/>
      <c r="T56" s="2024"/>
      <c r="U56" s="2024"/>
      <c r="V56" s="2024"/>
    </row>
    <row r="57" spans="1:22" ht="12.75">
      <c r="A57" s="255"/>
      <c r="B57" s="337" t="s">
        <v>371</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370</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4"/>
      <c r="E61" s="214"/>
      <c r="F61" s="251"/>
      <c r="G61" s="255"/>
      <c r="H61" s="255"/>
      <c r="I61" s="255"/>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2" t="s">
        <v>373</v>
      </c>
      <c r="B63" s="3373"/>
      <c r="C63" s="3374"/>
      <c r="D63" s="339">
        <f ca="1">ROUND(C42*F63,0)</f>
        <v>70280</v>
      </c>
      <c r="E63" s="300" t="s">
        <v>374</v>
      </c>
      <c r="F63" s="340">
        <v>1</v>
      </c>
      <c r="G63" s="341" t="s">
        <v>375</v>
      </c>
      <c r="H63" s="309"/>
      <c r="I63" s="309"/>
      <c r="J63" s="2024"/>
      <c r="K63" s="2024"/>
      <c r="L63" s="2024"/>
      <c r="M63" s="2024"/>
      <c r="N63" s="2024"/>
      <c r="O63" s="2024"/>
      <c r="P63" s="309"/>
      <c r="Q63" s="2024"/>
      <c r="R63" s="2024"/>
      <c r="S63" s="2024"/>
      <c r="T63" s="2024"/>
      <c r="U63" s="2024"/>
      <c r="V63" s="2024"/>
    </row>
    <row r="64" spans="1:22" ht="14.25" customHeight="1">
      <c r="A64" s="3333" t="s">
        <v>377</v>
      </c>
      <c r="B64" s="3334"/>
      <c r="C64" s="3334"/>
      <c r="D64" s="3334"/>
      <c r="E64" s="3334"/>
      <c r="F64" s="3334"/>
      <c r="G64" s="3335"/>
      <c r="H64" s="1286"/>
      <c r="I64" s="946"/>
      <c r="J64" s="1986"/>
      <c r="K64" s="1558" t="s">
        <v>376</v>
      </c>
      <c r="L64" s="11"/>
      <c r="M64" s="11"/>
      <c r="N64" s="11"/>
      <c r="O64" s="11"/>
      <c r="P64" s="309"/>
      <c r="Q64" s="2024"/>
      <c r="R64" s="2024"/>
      <c r="S64" s="2024"/>
      <c r="T64" s="2024"/>
      <c r="U64" s="2024"/>
      <c r="V64" s="2024"/>
    </row>
    <row r="65" spans="1:22" ht="12" customHeight="1">
      <c r="A65" s="342" t="s">
        <v>379</v>
      </c>
      <c r="B65" s="343"/>
      <c r="C65" s="344"/>
      <c r="D65" s="345" t="s">
        <v>380</v>
      </c>
      <c r="E65" s="53" t="s">
        <v>381</v>
      </c>
      <c r="F65" s="346" t="s">
        <v>382</v>
      </c>
      <c r="G65" s="347" t="s">
        <v>383</v>
      </c>
      <c r="H65" s="1286"/>
      <c r="I65" s="946"/>
      <c r="J65" s="1986"/>
      <c r="K65" s="1287"/>
      <c r="L65" s="1288"/>
      <c r="M65" s="1288"/>
      <c r="N65" s="1320" t="s">
        <v>378</v>
      </c>
      <c r="O65" s="1321"/>
      <c r="P65" s="1322"/>
      <c r="Q65" s="2024"/>
      <c r="R65" s="2024"/>
      <c r="S65" s="2024"/>
      <c r="T65" s="2024"/>
      <c r="U65" s="2024"/>
      <c r="V65" s="2024"/>
    </row>
    <row r="66" spans="1:22" ht="25.5">
      <c r="A66" s="3329" t="s">
        <v>385</v>
      </c>
      <c r="B66" s="3330"/>
      <c r="C66" s="3330"/>
      <c r="D66" s="259">
        <f ca="1">IF(H66="情况1",0,IF(H66="情况2",D70,IF(H66="情况3",D71,IF(H66="情况4",D72))))</f>
        <v>3748</v>
      </c>
      <c r="E66" s="991" t="str">
        <f>IF(H66="情况4","(销售额-原购置价)×税（费）率","销售额×税（费）率")</f>
        <v>销售额×税（费）率</v>
      </c>
      <c r="F66" s="348">
        <f>IF(H66="情况1","免征",'数据-取费表'!B41)</f>
        <v>5.6000000000000001E-2</v>
      </c>
      <c r="G66" s="349" t="s">
        <v>386</v>
      </c>
      <c r="H66" s="189" t="s">
        <v>3257</v>
      </c>
      <c r="I66" s="1286"/>
      <c r="J66" s="2030"/>
      <c r="K66" s="1289">
        <v>1</v>
      </c>
      <c r="L66" s="3387" t="s">
        <v>384</v>
      </c>
      <c r="M66" s="3388"/>
      <c r="N66" s="2454"/>
      <c r="O66" s="2455"/>
      <c r="P66" s="2456"/>
      <c r="Q66" s="2024"/>
      <c r="R66" s="2024"/>
      <c r="S66" s="2024"/>
      <c r="T66" s="2024"/>
      <c r="U66" s="2024"/>
      <c r="V66" s="2024"/>
    </row>
    <row r="67" spans="1:22" ht="25.5" customHeight="1">
      <c r="A67" s="350" t="s">
        <v>388</v>
      </c>
      <c r="B67" s="3320" t="s">
        <v>389</v>
      </c>
      <c r="C67" s="3320"/>
      <c r="D67" s="351">
        <v>0</v>
      </c>
      <c r="E67" s="41" t="s">
        <v>390</v>
      </c>
      <c r="F67" s="62" t="s">
        <v>21</v>
      </c>
      <c r="G67" s="3375"/>
      <c r="H67" s="309"/>
      <c r="I67" s="1290"/>
      <c r="J67" s="2031"/>
      <c r="K67" s="1972">
        <v>2</v>
      </c>
      <c r="L67" s="3386" t="s">
        <v>387</v>
      </c>
      <c r="M67" s="3386"/>
      <c r="N67" s="1323">
        <f>'数据-取费表'!B2</f>
        <v>43447</v>
      </c>
      <c r="O67" s="1323"/>
      <c r="P67" s="1323"/>
      <c r="Q67" s="2024"/>
      <c r="R67" s="2024"/>
      <c r="S67" s="2024"/>
      <c r="T67" s="2024"/>
      <c r="U67" s="2024"/>
      <c r="V67" s="2024"/>
    </row>
    <row r="68" spans="1:22" ht="25.5" customHeight="1">
      <c r="A68" s="352"/>
      <c r="B68" s="3320" t="s">
        <v>392</v>
      </c>
      <c r="C68" s="3320"/>
      <c r="D68" s="353"/>
      <c r="E68" s="77"/>
      <c r="F68" s="354"/>
      <c r="G68" s="3376"/>
      <c r="H68" s="309"/>
      <c r="I68" s="1290"/>
      <c r="J68" s="2031"/>
      <c r="K68" s="1972">
        <v>3</v>
      </c>
      <c r="L68" s="3386" t="s">
        <v>391</v>
      </c>
      <c r="M68" s="3386"/>
      <c r="N68" s="1291">
        <f ca="1">C42</f>
        <v>70280</v>
      </c>
      <c r="O68" s="1291"/>
      <c r="P68" s="1291"/>
      <c r="Q68" s="2024"/>
      <c r="R68" s="2024"/>
      <c r="S68" s="2024"/>
      <c r="T68" s="2024"/>
      <c r="U68" s="2024"/>
      <c r="V68" s="2024"/>
    </row>
    <row r="69" spans="1:22" ht="12" customHeight="1">
      <c r="A69" s="355"/>
      <c r="B69" s="3320" t="s">
        <v>393</v>
      </c>
      <c r="C69" s="3320"/>
      <c r="D69" s="356"/>
      <c r="E69" s="73"/>
      <c r="F69" s="354"/>
      <c r="G69" s="3377"/>
      <c r="H69" s="309"/>
      <c r="I69" s="1290"/>
      <c r="J69" s="2031"/>
      <c r="K69" s="1292">
        <v>4</v>
      </c>
      <c r="L69" s="3391" t="s">
        <v>2875</v>
      </c>
      <c r="M69" s="3392"/>
      <c r="N69" s="1293">
        <f ca="1">C44</f>
        <v>22280</v>
      </c>
      <c r="O69" s="1293"/>
      <c r="P69" s="1293"/>
      <c r="Q69" s="2024"/>
      <c r="R69" s="2024"/>
      <c r="S69" s="2024"/>
      <c r="T69" s="2024"/>
      <c r="U69" s="2024"/>
      <c r="V69" s="2024"/>
    </row>
    <row r="70" spans="1:22" ht="24" customHeight="1">
      <c r="A70" s="357" t="s">
        <v>394</v>
      </c>
      <c r="B70" s="3320" t="s">
        <v>395</v>
      </c>
      <c r="C70" s="3320"/>
      <c r="D70" s="356">
        <f ca="1">ROUND(D63*'数据-取费表'!B41/(1+'数据-取费表'!C42),0)</f>
        <v>3748</v>
      </c>
      <c r="E70" s="17" t="s">
        <v>396</v>
      </c>
      <c r="F70" s="358">
        <f>'数据-取费表'!B41</f>
        <v>5.6000000000000001E-2</v>
      </c>
      <c r="G70" s="359"/>
      <c r="H70" s="309"/>
      <c r="I70" s="1290"/>
      <c r="J70" s="2031"/>
      <c r="K70" s="3054"/>
      <c r="L70" s="3055"/>
      <c r="M70" s="3055"/>
      <c r="N70" s="3056" t="s">
        <v>2879</v>
      </c>
      <c r="O70" s="3055"/>
      <c r="P70" s="3057"/>
      <c r="Q70" s="2024"/>
      <c r="R70" s="2024"/>
      <c r="S70" s="2024"/>
      <c r="T70" s="2024"/>
      <c r="U70" s="2024"/>
      <c r="V70" s="2024"/>
    </row>
    <row r="71" spans="1:22" ht="12" customHeight="1">
      <c r="A71" s="357" t="s">
        <v>402</v>
      </c>
      <c r="B71" s="3321" t="s">
        <v>403</v>
      </c>
      <c r="C71" s="3322"/>
      <c r="D71" s="356">
        <f ca="1">ROUND(D63*'数据-取费表'!B41/(1+'数据-取费表'!C42),0)</f>
        <v>3748</v>
      </c>
      <c r="E71" s="17" t="s">
        <v>396</v>
      </c>
      <c r="F71" s="358">
        <f>'数据-取费表'!B41</f>
        <v>5.6000000000000001E-2</v>
      </c>
      <c r="G71" s="359"/>
      <c r="H71" s="309"/>
      <c r="I71" s="1290"/>
      <c r="J71" s="2031"/>
      <c r="K71" s="3053" t="s">
        <v>397</v>
      </c>
      <c r="L71" s="3393" t="s">
        <v>398</v>
      </c>
      <c r="M71" s="3393"/>
      <c r="N71" s="3053" t="s">
        <v>399</v>
      </c>
      <c r="O71" s="3053" t="s">
        <v>400</v>
      </c>
      <c r="P71" s="3053" t="s">
        <v>401</v>
      </c>
      <c r="Q71" s="2024"/>
      <c r="R71" s="2024"/>
      <c r="S71" s="2024"/>
      <c r="T71" s="2024"/>
      <c r="U71" s="2024"/>
      <c r="V71" s="2024"/>
    </row>
    <row r="72" spans="1:22" ht="12" customHeight="1">
      <c r="A72" s="357" t="s">
        <v>405</v>
      </c>
      <c r="B72" s="3321" t="s">
        <v>406</v>
      </c>
      <c r="C72" s="3322"/>
      <c r="D72" s="356">
        <f ca="1">C86</f>
        <v>3636</v>
      </c>
      <c r="E72" s="73" t="s">
        <v>407</v>
      </c>
      <c r="F72" s="358">
        <f>'数据-取费表'!B41</f>
        <v>5.6000000000000001E-2</v>
      </c>
      <c r="G72" s="359"/>
      <c r="H72" s="1296"/>
      <c r="I72" s="1290"/>
      <c r="J72" s="2031"/>
      <c r="K72" s="1972">
        <v>1</v>
      </c>
      <c r="L72" s="3368" t="s">
        <v>404</v>
      </c>
      <c r="M72" s="3368"/>
      <c r="N72" s="1294">
        <f ca="1">D66</f>
        <v>3748</v>
      </c>
      <c r="O72" s="1855" t="str">
        <f>E66</f>
        <v>销售额×税（费）率</v>
      </c>
      <c r="P72" s="1295">
        <f>F66</f>
        <v>5.6000000000000001E-2</v>
      </c>
      <c r="Q72" s="2024"/>
      <c r="R72" s="2024"/>
      <c r="S72" s="2024"/>
      <c r="T72" s="2024"/>
      <c r="U72" s="2024"/>
      <c r="V72" s="2024"/>
    </row>
    <row r="73" spans="1:22" ht="24" customHeight="1">
      <c r="A73" s="3362" t="s">
        <v>409</v>
      </c>
      <c r="B73" s="3330"/>
      <c r="C73" s="3330"/>
      <c r="D73" s="360">
        <f ca="1">IF(H73="个人住宅",0,ROUND(D63*I73,0))</f>
        <v>35</v>
      </c>
      <c r="E73" s="17" t="s">
        <v>410</v>
      </c>
      <c r="F73" s="358">
        <f>IF(H73="正常",I73,"免征")</f>
        <v>5.0000000000000001E-4</v>
      </c>
      <c r="G73" s="359"/>
      <c r="H73" s="189" t="s">
        <v>2984</v>
      </c>
      <c r="I73" s="358">
        <f>'数据-取费表'!B49</f>
        <v>5.0000000000000001E-4</v>
      </c>
      <c r="J73" s="2031"/>
      <c r="K73" s="1972">
        <v>2</v>
      </c>
      <c r="L73" s="3368" t="s">
        <v>408</v>
      </c>
      <c r="M73" s="3368"/>
      <c r="N73" s="1294">
        <f t="shared" ref="N73:P74" ca="1" si="1">D73</f>
        <v>35</v>
      </c>
      <c r="O73" s="1855" t="str">
        <f t="shared" si="1"/>
        <v>销售额×税（费）率</v>
      </c>
      <c r="P73" s="1295">
        <f t="shared" si="1"/>
        <v>5.0000000000000001E-4</v>
      </c>
      <c r="Q73" s="2024"/>
      <c r="R73" s="2024"/>
      <c r="S73" s="2024"/>
      <c r="T73" s="2024"/>
      <c r="U73" s="2024"/>
      <c r="V73" s="2024"/>
    </row>
    <row r="74" spans="1:22" ht="24.75">
      <c r="A74" s="3362" t="s">
        <v>412</v>
      </c>
      <c r="B74" s="3330"/>
      <c r="C74" s="3330"/>
      <c r="D74" s="360">
        <f ca="1">IF(H74="个人住宅",D75,D76)</f>
        <v>18335</v>
      </c>
      <c r="E74" s="17" t="s">
        <v>413</v>
      </c>
      <c r="F74" s="358" t="str">
        <f>IF(H74="正常",F76,"免征")</f>
        <v>——</v>
      </c>
      <c r="G74" s="981" t="s">
        <v>414</v>
      </c>
      <c r="H74" s="361" t="s">
        <v>2984</v>
      </c>
      <c r="I74" s="42"/>
      <c r="J74" s="2031"/>
      <c r="K74" s="1972">
        <v>3</v>
      </c>
      <c r="L74" s="3368" t="s">
        <v>411</v>
      </c>
      <c r="M74" s="3368"/>
      <c r="N74" s="1294">
        <f t="shared" ca="1" si="1"/>
        <v>18335</v>
      </c>
      <c r="O74" s="1855" t="str">
        <f t="shared" si="1"/>
        <v>增值额×税（费）率</v>
      </c>
      <c r="P74" s="1297" t="str">
        <f t="shared" si="1"/>
        <v>——</v>
      </c>
      <c r="Q74" s="2024"/>
      <c r="R74" s="2024"/>
      <c r="S74" s="2024"/>
      <c r="T74" s="2024"/>
      <c r="U74" s="2024"/>
      <c r="V74" s="2024"/>
    </row>
    <row r="75" spans="1:22" ht="12.75">
      <c r="A75" s="357" t="s">
        <v>415</v>
      </c>
      <c r="B75" s="3318" t="s">
        <v>416</v>
      </c>
      <c r="C75" s="3348"/>
      <c r="D75" s="362">
        <v>0</v>
      </c>
      <c r="E75" s="41" t="s">
        <v>417</v>
      </c>
      <c r="F75" s="363"/>
      <c r="G75" s="359"/>
      <c r="H75" s="42"/>
      <c r="I75" s="42"/>
      <c r="J75" s="2031"/>
      <c r="K75" s="3046" t="str">
        <f>IF(H77="非个人房产","",4)</f>
        <v/>
      </c>
      <c r="L75" s="3368" t="str">
        <f>IF(H77="非个人房产","——","个人所得税")</f>
        <v>——</v>
      </c>
      <c r="M75" s="3368"/>
      <c r="N75" s="1298" t="str">
        <f>D77</f>
        <v>——</v>
      </c>
      <c r="O75" s="1868" t="str">
        <f>E77</f>
        <v>——</v>
      </c>
      <c r="P75" s="1299" t="str">
        <f>F77</f>
        <v>——</v>
      </c>
      <c r="Q75" s="2024"/>
      <c r="R75" s="2024"/>
      <c r="S75" s="2024"/>
      <c r="T75" s="2024"/>
      <c r="U75" s="2024"/>
      <c r="V75" s="2024"/>
    </row>
    <row r="76" spans="1:22" ht="24.75">
      <c r="A76" s="357" t="s">
        <v>394</v>
      </c>
      <c r="B76" s="3318" t="s">
        <v>419</v>
      </c>
      <c r="C76" s="3319"/>
      <c r="D76" s="360">
        <f ca="1">IF(H76="转让取得",C99,C115)</f>
        <v>18335</v>
      </c>
      <c r="E76" s="17" t="s">
        <v>420</v>
      </c>
      <c r="F76" s="53" t="s">
        <v>21</v>
      </c>
      <c r="G76" s="359"/>
      <c r="H76" s="361" t="s">
        <v>421</v>
      </c>
      <c r="I76" s="42"/>
      <c r="J76" s="2031"/>
      <c r="K76" s="3046" t="str">
        <f>IF(项目基本情况!K6="上海银行",IF(K75="",4,K75+1),"")</f>
        <v/>
      </c>
      <c r="L76" s="3379" t="str">
        <f>IF(项目基本情况!K6="上海银行","其他处置费用","")</f>
        <v/>
      </c>
      <c r="M76" s="3380"/>
      <c r="N76" s="1294" t="str">
        <f>IF(项目基本情况!K6="上海银行",N89,"")</f>
        <v/>
      </c>
      <c r="O76" s="3381" t="str">
        <f>IF(项目基本情况!K6="上海银行","包含处置中涉及的律师、诉讼、拍卖、评估等费用","")</f>
        <v/>
      </c>
      <c r="P76" s="3382"/>
      <c r="Q76" s="2024"/>
      <c r="R76" s="2024"/>
      <c r="S76" s="2024"/>
      <c r="T76" s="2024"/>
      <c r="U76" s="2024"/>
      <c r="V76" s="2024"/>
    </row>
    <row r="77" spans="1:22" ht="24.75" thickBot="1">
      <c r="A77" s="3370" t="s">
        <v>423</v>
      </c>
      <c r="B77" s="3371"/>
      <c r="C77" s="3371"/>
      <c r="D77" s="364" t="str">
        <f>IF(H77="非个人房产","——",IF(H77="个人住宅",0,ROUND(D63*I77,0)))</f>
        <v>——</v>
      </c>
      <c r="E77" s="365" t="str">
        <f>IF(H77="非个人房产","——","销售额×税（费）率")</f>
        <v>——</v>
      </c>
      <c r="F77" s="366" t="str">
        <f>IF(H77="非个人房产","——",IF(H77="个人住宅","免征",I77))</f>
        <v>——</v>
      </c>
      <c r="G77" s="982" t="s">
        <v>414</v>
      </c>
      <c r="H77" s="361" t="s">
        <v>3061</v>
      </c>
      <c r="I77" s="367">
        <v>0.01</v>
      </c>
      <c r="J77" s="2031"/>
      <c r="K77" s="3369">
        <f>IF(AND(K75="",K76=""),4,IF(项目基本情况!K6="上海银行",K76+1,K75+1))</f>
        <v>4</v>
      </c>
      <c r="L77" s="3368" t="s">
        <v>2876</v>
      </c>
      <c r="M77" s="3052" t="s">
        <v>418</v>
      </c>
      <c r="N77" s="1300"/>
      <c r="O77" s="1301">
        <f ca="1">SUMIF(N72:N76,"&lt;9e307")</f>
        <v>22118</v>
      </c>
      <c r="P77" s="1302"/>
      <c r="Q77" s="3050">
        <f ca="1">O77/N69</f>
        <v>0.99272890484739673</v>
      </c>
      <c r="R77" s="2024"/>
      <c r="S77" s="2024"/>
      <c r="T77" s="2024"/>
      <c r="U77" s="2024"/>
      <c r="V77" s="2024"/>
    </row>
    <row r="78" spans="1:22" ht="12" customHeight="1">
      <c r="A78" s="1303"/>
      <c r="B78" s="309"/>
      <c r="C78" s="309"/>
      <c r="D78" s="309"/>
      <c r="E78" s="42"/>
      <c r="F78" s="42"/>
      <c r="G78" s="42"/>
      <c r="H78" s="1001"/>
      <c r="I78" s="309"/>
      <c r="J78" s="2031"/>
      <c r="K78" s="3369"/>
      <c r="L78" s="3368"/>
      <c r="M78" s="3052" t="s">
        <v>422</v>
      </c>
      <c r="N78" s="1300"/>
      <c r="O78" s="1301" t="str">
        <f ca="1">NUMBERSTRING(INT(O77*10000),2)&amp;"元整"</f>
        <v>贰亿贰仟壹佰壹拾捌万元整</v>
      </c>
      <c r="P78" s="1302"/>
      <c r="Q78" s="2024"/>
      <c r="R78" s="2024"/>
      <c r="S78" s="2024"/>
      <c r="T78" s="2024"/>
      <c r="U78" s="2024"/>
      <c r="V78" s="2024"/>
    </row>
    <row r="79" spans="1:22" ht="13.5" thickBot="1">
      <c r="A79" s="3363" t="s">
        <v>424</v>
      </c>
      <c r="B79" s="3363"/>
      <c r="C79" s="3363"/>
      <c r="D79" s="3363"/>
      <c r="E79" s="3363"/>
      <c r="F79" s="42"/>
      <c r="G79" s="42"/>
      <c r="H79" s="1001"/>
      <c r="I79" s="309"/>
      <c r="J79" s="2031"/>
      <c r="K79" s="3389">
        <f>K77+1</f>
        <v>5</v>
      </c>
      <c r="L79" s="3368" t="s">
        <v>2877</v>
      </c>
      <c r="M79" s="3052" t="s">
        <v>418</v>
      </c>
      <c r="N79" s="1300"/>
      <c r="O79" s="1301">
        <f ca="1">N69-O77</f>
        <v>162</v>
      </c>
      <c r="P79" s="1302"/>
      <c r="Q79" s="2024"/>
      <c r="R79" s="2024"/>
      <c r="S79" s="2024"/>
      <c r="T79" s="2024"/>
      <c r="U79" s="2024"/>
      <c r="V79" s="2024"/>
    </row>
    <row r="80" spans="1:22" ht="25.5">
      <c r="A80" s="3358" t="s">
        <v>425</v>
      </c>
      <c r="B80" s="3359"/>
      <c r="C80" s="992"/>
      <c r="D80" s="992" t="s">
        <v>426</v>
      </c>
      <c r="E80" s="368" t="s">
        <v>427</v>
      </c>
      <c r="F80" s="42"/>
      <c r="G80" s="42"/>
      <c r="H80" s="1001"/>
      <c r="I80" s="309"/>
      <c r="J80" s="2024"/>
      <c r="K80" s="3390"/>
      <c r="L80" s="3368"/>
      <c r="M80" s="3052" t="s">
        <v>422</v>
      </c>
      <c r="N80" s="1300"/>
      <c r="O80" s="1301" t="str">
        <f ca="1">NUMBERSTRING(INT(O79*10000),2)&amp;"元整"</f>
        <v>壹佰陆拾贰万元整</v>
      </c>
      <c r="P80" s="1302"/>
      <c r="Q80" s="2024"/>
      <c r="R80" s="2024"/>
      <c r="S80" s="2024"/>
      <c r="T80" s="2024"/>
      <c r="U80" s="2024"/>
      <c r="V80" s="2024"/>
    </row>
    <row r="81" spans="1:26" ht="13.5" thickBot="1">
      <c r="A81" s="379" t="s">
        <v>1820</v>
      </c>
      <c r="B81" s="369" t="s">
        <v>428</v>
      </c>
      <c r="C81" s="370">
        <f ca="1">ROUND((C82+C83)/(1+'数据-取费表'!C42),0)</f>
        <v>66933</v>
      </c>
      <c r="D81" s="371"/>
      <c r="E81" s="372"/>
      <c r="F81" s="42"/>
      <c r="G81" s="42"/>
      <c r="H81" s="1001"/>
      <c r="I81" s="309"/>
      <c r="J81" s="2024"/>
      <c r="K81" s="3046">
        <f>K79+1</f>
        <v>6</v>
      </c>
      <c r="L81" s="3366" t="s">
        <v>2878</v>
      </c>
      <c r="M81" s="3367"/>
      <c r="N81" s="1304"/>
      <c r="O81" s="1305">
        <f ca="1">ROUND(O79*10000/'数据-汇总表'!E3,0)</f>
        <v>9</v>
      </c>
      <c r="P81" s="1306"/>
      <c r="Q81" s="2024"/>
      <c r="R81" s="2024"/>
      <c r="S81" s="2024"/>
      <c r="T81" s="2024"/>
      <c r="U81" s="2024"/>
      <c r="V81" s="2024"/>
    </row>
    <row r="82" spans="1:26" ht="13.5" thickTop="1">
      <c r="A82" s="373" t="s">
        <v>1821</v>
      </c>
      <c r="B82" s="374" t="s">
        <v>429</v>
      </c>
      <c r="C82" s="375">
        <f ca="1">D63</f>
        <v>70280</v>
      </c>
      <c r="D82" s="376" t="s">
        <v>19</v>
      </c>
      <c r="E82" s="377"/>
      <c r="F82" s="42"/>
      <c r="G82" s="42"/>
      <c r="H82" s="1001"/>
      <c r="I82" s="309"/>
      <c r="J82" s="2024"/>
      <c r="K82" s="2024"/>
      <c r="L82" s="2024"/>
      <c r="M82" s="2024"/>
      <c r="N82" s="2024"/>
      <c r="O82" s="2024"/>
      <c r="P82" s="2024"/>
      <c r="Q82" s="2024"/>
      <c r="R82" s="2024"/>
      <c r="S82" s="2024"/>
      <c r="T82" s="2024"/>
      <c r="U82" s="2024"/>
      <c r="V82" s="2024"/>
    </row>
    <row r="83" spans="1:26" ht="12.75">
      <c r="A83" s="373" t="s">
        <v>1822</v>
      </c>
      <c r="B83" s="374" t="s">
        <v>430</v>
      </c>
      <c r="C83" s="378">
        <v>0</v>
      </c>
      <c r="D83" s="376"/>
      <c r="E83" s="377"/>
      <c r="F83" s="42"/>
      <c r="G83" s="42"/>
      <c r="H83" s="1001"/>
      <c r="I83" s="309"/>
      <c r="J83" s="2024"/>
      <c r="K83" s="3378" t="s">
        <v>2866</v>
      </c>
      <c r="L83" s="3058" t="s">
        <v>2867</v>
      </c>
      <c r="M83" s="3048">
        <f ca="1">IF(N69&gt;10000,N69*0.5%,IF(AND(N69&gt;1000,N69&lt;=10000),N69*1%,IF(AND(N69&gt;100,N69&lt;=1000),N69*3%,IF(AND(N69&gt;10,N69&lt;=100),N69*5%,N69*8%))))</f>
        <v>111.4</v>
      </c>
      <c r="N83" s="53">
        <f ca="1">ROUND(M83,1)</f>
        <v>111.4</v>
      </c>
      <c r="O83" s="3051"/>
      <c r="P83" s="2024"/>
      <c r="Q83" s="2024"/>
      <c r="R83" s="2024"/>
      <c r="S83" s="2024"/>
      <c r="T83" s="2024"/>
      <c r="U83" s="2024"/>
      <c r="V83" s="2024"/>
    </row>
    <row r="84" spans="1:26" ht="12.75">
      <c r="A84" s="379" t="s">
        <v>1823</v>
      </c>
      <c r="B84" s="380" t="s">
        <v>431</v>
      </c>
      <c r="C84" s="381">
        <v>2000</v>
      </c>
      <c r="D84" s="382" t="s">
        <v>19</v>
      </c>
      <c r="E84" s="3090" t="s">
        <v>2928</v>
      </c>
      <c r="F84" s="42"/>
      <c r="G84" s="42"/>
      <c r="H84" s="1001"/>
      <c r="I84" s="309"/>
      <c r="J84" s="2024"/>
      <c r="K84" s="3378"/>
      <c r="L84" s="3058" t="s">
        <v>2868</v>
      </c>
      <c r="M84" s="3048">
        <f ca="1">IF(N69&gt;2000,N69*0.5%,IF(AND(N69&gt;1000,N69&lt;=2000),N69*0.6%,IF(AND(N69&gt;500,N69&lt;=1000),N69*0.7%,IF(AND(N69&gt;200,N69&lt;=500),N69*0.8%,IF(AND(N69&gt;100,N69&lt;=200),N69*0.9%,IF(AND(N69&gt;50,N69&lt;=100),N69*1%,IF(AND(N69&gt;20,N69&lt;=50),N69*1.5%,IF(AND(N69&gt;10,N69&lt;=20),N69*2%,IF(AND(N69&gt;1,N69&lt;=10),N69*2.5%)))))))))</f>
        <v>111.4</v>
      </c>
      <c r="N84" s="53">
        <f t="shared" ref="N84:N85" ca="1" si="2">ROUND(M84,1)</f>
        <v>111.4</v>
      </c>
      <c r="O84" s="2024" t="s">
        <v>2869</v>
      </c>
      <c r="P84" s="2024"/>
      <c r="Q84" s="2024"/>
      <c r="R84" s="2024"/>
      <c r="S84" s="2024"/>
      <c r="T84" s="2024"/>
      <c r="U84" s="2024"/>
      <c r="V84" s="2024"/>
    </row>
    <row r="85" spans="1:26" ht="12.75">
      <c r="A85" s="379" t="s">
        <v>1824</v>
      </c>
      <c r="B85" s="380" t="s">
        <v>432</v>
      </c>
      <c r="C85" s="383">
        <f ca="1">C81-C84</f>
        <v>64933</v>
      </c>
      <c r="D85" s="376" t="s">
        <v>19</v>
      </c>
      <c r="E85" s="377"/>
      <c r="F85" s="42"/>
      <c r="G85" s="42"/>
      <c r="H85" s="1001"/>
      <c r="I85" s="309"/>
      <c r="J85" s="2024"/>
      <c r="K85" s="3378"/>
      <c r="L85" s="3058" t="s">
        <v>2870</v>
      </c>
      <c r="M85" s="3048">
        <f ca="1">IF(N69&gt;1000,N69*0.1%,IF(AND(N69&gt;500,N69&lt;=1000),N69*0.5%,IF(AND(N69&gt;50,N69&lt;=500),N69*1%,IF(AND(N69&gt;1,N69&lt;=50),N69*1.5%))))</f>
        <v>22.28</v>
      </c>
      <c r="N85" s="53">
        <f t="shared" ca="1" si="2"/>
        <v>22.3</v>
      </c>
      <c r="O85" s="2024" t="s">
        <v>2869</v>
      </c>
      <c r="P85" s="2024"/>
      <c r="Q85" s="2024"/>
      <c r="R85" s="2024"/>
      <c r="S85" s="2024"/>
      <c r="T85" s="2024"/>
      <c r="U85" s="2024"/>
      <c r="V85" s="2024"/>
    </row>
    <row r="86" spans="1:26" ht="13.5" thickBot="1">
      <c r="A86" s="384" t="s">
        <v>1825</v>
      </c>
      <c r="B86" s="385" t="s">
        <v>433</v>
      </c>
      <c r="C86" s="386">
        <f ca="1">IF(C85&lt;=0,0,ROUND(C85*D86,0))</f>
        <v>3636</v>
      </c>
      <c r="D86" s="387">
        <f>'数据-取费表'!B41</f>
        <v>5.6000000000000001E-2</v>
      </c>
      <c r="E86" s="388"/>
      <c r="F86" s="42"/>
      <c r="G86" s="42"/>
      <c r="H86" s="1001"/>
      <c r="I86" s="309"/>
      <c r="J86" s="2024"/>
      <c r="K86" s="3378"/>
      <c r="L86" s="3058" t="s">
        <v>2871</v>
      </c>
      <c r="M86" s="3048">
        <f ca="1">N69*0.5%</f>
        <v>111.4</v>
      </c>
      <c r="N86" s="53">
        <f ca="1">IF(M86&gt;0.5,0.5,ROUND(M86,0))</f>
        <v>0.5</v>
      </c>
      <c r="O86" s="2024" t="s">
        <v>2872</v>
      </c>
      <c r="P86" s="2024"/>
      <c r="Q86" s="2024"/>
      <c r="R86" s="2024"/>
      <c r="S86" s="2024"/>
      <c r="T86" s="2024"/>
      <c r="U86" s="2024"/>
      <c r="V86" s="2024"/>
    </row>
    <row r="87" spans="1:26" s="1252" customFormat="1" ht="14.25" customHeight="1">
      <c r="A87" s="1307"/>
      <c r="B87" s="1308"/>
      <c r="C87" s="1309"/>
      <c r="D87" s="1310"/>
      <c r="E87" s="1311"/>
      <c r="F87" s="42"/>
      <c r="G87" s="42"/>
      <c r="H87" s="1001"/>
      <c r="I87" s="309"/>
      <c r="J87" s="2024"/>
      <c r="K87" s="3378"/>
      <c r="L87" s="3058" t="s">
        <v>2873</v>
      </c>
      <c r="M87" s="3048">
        <f ca="1">IF(N69&gt;=10000,(8.25+(N69-10000)*0.01%),IF(AND(N69&gt;=8000,N69&lt;10000),(7.85+(N69-8000)*0.02%),IF(AND(N69&gt;=5000,N69&lt;8000),(6.65+(N69-5000)*0.04%),IF(AND(N69&gt;=2000,N69&lt;5000),(4.25+(PN69-2000)*0.08%),IF(AND(N69&gt;=1000,N69&lt;2000),(2.75+(N69-1000)*0.15%),IF(AND(N69&gt;=100,N69&lt;1000),(0.5+(N69-100)*0.25%),IF(AND(N69&gt;0,N69&lt;100),N69*0.5%)))))))</f>
        <v>9.4779999999999998</v>
      </c>
      <c r="N87" s="53">
        <f ca="1">ROUND(M87*0.9,1)</f>
        <v>8.5</v>
      </c>
      <c r="O87" s="3051"/>
      <c r="P87" s="309"/>
      <c r="Q87" s="2024"/>
      <c r="R87" s="2024"/>
      <c r="S87" s="2024"/>
      <c r="T87" s="2024"/>
      <c r="U87" s="2024"/>
      <c r="V87" s="2024"/>
      <c r="W87" s="290"/>
      <c r="X87" s="290"/>
      <c r="Y87" s="290"/>
      <c r="Z87" s="290"/>
    </row>
    <row r="88" spans="1:26" s="1312" customFormat="1" ht="15" thickBot="1">
      <c r="A88" s="3360" t="s">
        <v>434</v>
      </c>
      <c r="B88" s="3361"/>
      <c r="C88" s="3361"/>
      <c r="D88" s="3361"/>
      <c r="E88" s="3361"/>
      <c r="F88" s="3361"/>
      <c r="G88" s="3361"/>
      <c r="H88" s="3361"/>
      <c r="I88" s="1313"/>
      <c r="J88" s="2032"/>
      <c r="K88" s="3378"/>
      <c r="L88" s="3058" t="s">
        <v>2874</v>
      </c>
      <c r="M88" s="3048">
        <f ca="1">IF(N69&gt;10000,N69*0.5%,IF(AND(N69&gt;5000,N69&lt;=10000),N69*1%,IF(AND(N69&gt;1000,N69&lt;=5000),N69*2%,IF(AND(N69&gt;200,N69&lt;=1000),N69*3%,N69*5%))))</f>
        <v>111.4</v>
      </c>
      <c r="N88" s="53">
        <f ca="1">ROUND(M88,1)</f>
        <v>111.4</v>
      </c>
      <c r="O88" s="3051"/>
      <c r="P88" s="11"/>
      <c r="Q88" s="2029"/>
      <c r="R88" s="2029"/>
      <c r="S88" s="2029"/>
      <c r="T88" s="2029"/>
      <c r="U88" s="2029"/>
      <c r="V88" s="2029"/>
      <c r="W88" s="2033"/>
      <c r="X88" s="2033"/>
      <c r="Y88" s="2033"/>
      <c r="Z88" s="2033"/>
    </row>
    <row r="89" spans="1:26" s="1312" customFormat="1" ht="14.25">
      <c r="A89" s="3358" t="s">
        <v>425</v>
      </c>
      <c r="B89" s="3359"/>
      <c r="C89" s="992"/>
      <c r="D89" s="992" t="s">
        <v>426</v>
      </c>
      <c r="E89" s="389" t="s">
        <v>435</v>
      </c>
      <c r="F89" s="390"/>
      <c r="G89" s="390"/>
      <c r="H89" s="391"/>
      <c r="I89" s="1314"/>
      <c r="J89" s="2034"/>
      <c r="K89" s="3378"/>
      <c r="L89" s="3058" t="s">
        <v>27</v>
      </c>
      <c r="M89" s="3049"/>
      <c r="N89" s="53">
        <f ca="1">ROUND(SUM(N83:N88),0)</f>
        <v>366</v>
      </c>
      <c r="O89" s="3059">
        <f ca="1">N89/N69</f>
        <v>1.6427289048473969E-2</v>
      </c>
      <c r="P89" s="2029"/>
      <c r="Q89" s="2029"/>
      <c r="R89" s="2029"/>
      <c r="S89" s="2029"/>
      <c r="T89" s="2029"/>
      <c r="U89" s="2029"/>
      <c r="V89" s="2029"/>
      <c r="W89" s="2033"/>
      <c r="X89" s="2033"/>
      <c r="Y89" s="2033"/>
      <c r="Z89" s="2033"/>
    </row>
    <row r="90" spans="1:26" s="1312" customFormat="1" ht="14.25">
      <c r="A90" s="379" t="s">
        <v>1820</v>
      </c>
      <c r="B90" s="380" t="s">
        <v>436</v>
      </c>
      <c r="C90" s="383">
        <f ca="1">ROUND(D63/(1+'数据-取费表'!C42),0)</f>
        <v>66933</v>
      </c>
      <c r="D90" s="376" t="s">
        <v>19</v>
      </c>
      <c r="E90" s="989"/>
      <c r="F90" s="988"/>
      <c r="G90" s="988"/>
      <c r="H90" s="392"/>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79" t="s">
        <v>1826</v>
      </c>
      <c r="B91" s="346" t="s">
        <v>437</v>
      </c>
      <c r="C91" s="383">
        <f ca="1">C92+C96</f>
        <v>2983</v>
      </c>
      <c r="D91" s="376" t="s">
        <v>19</v>
      </c>
      <c r="E91" s="989"/>
      <c r="F91" s="988"/>
      <c r="G91" s="988"/>
      <c r="H91" s="392"/>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3" t="s">
        <v>1827</v>
      </c>
      <c r="B92" s="374" t="s">
        <v>438</v>
      </c>
      <c r="C92" s="376">
        <f>ROUND(IF(G95="2016年5月1日后购买",C93/(1+'数据-取费表'!C30)+C94+C95,C93+C94+C95),0)</f>
        <v>2581</v>
      </c>
      <c r="D92" s="376" t="s">
        <v>19</v>
      </c>
      <c r="E92" s="989"/>
      <c r="F92" s="988"/>
      <c r="G92" s="988"/>
      <c r="H92" s="392"/>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3" t="s">
        <v>1828</v>
      </c>
      <c r="B93" s="374" t="s">
        <v>439</v>
      </c>
      <c r="C93" s="394">
        <v>2000</v>
      </c>
      <c r="D93" s="376" t="s">
        <v>19</v>
      </c>
      <c r="E93" s="395" t="s">
        <v>440</v>
      </c>
      <c r="F93" s="396" t="s">
        <v>441</v>
      </c>
      <c r="G93" s="395" t="s">
        <v>442</v>
      </c>
      <c r="H93" s="397">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3" t="s">
        <v>1829</v>
      </c>
      <c r="B94" s="398" t="s">
        <v>443</v>
      </c>
      <c r="C94" s="376">
        <f>IF(F93="购房发票",ROUND(C93*H93*5%,0),0)</f>
        <v>500</v>
      </c>
      <c r="D94" s="399">
        <v>0.05</v>
      </c>
      <c r="E94" s="3321" t="s">
        <v>444</v>
      </c>
      <c r="F94" s="3320"/>
      <c r="G94" s="3320"/>
      <c r="H94" s="3357"/>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3" t="s">
        <v>1830</v>
      </c>
      <c r="B95" s="374" t="s">
        <v>445</v>
      </c>
      <c r="C95" s="376">
        <f>ROUND(IF(G95="个人买卖住房",0,IF(G95="2016年5月1日前购买",C93*D95,C93*D95/(1+'数据-取费表'!C42))),0)</f>
        <v>81</v>
      </c>
      <c r="D95" s="400">
        <f>'数据-取费表'!B48+'数据-取费表'!B49</f>
        <v>4.0500000000000001E-2</v>
      </c>
      <c r="E95" s="26" t="s">
        <v>446</v>
      </c>
      <c r="F95" s="401"/>
      <c r="G95" s="402" t="s">
        <v>2423</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3" t="s">
        <v>1831</v>
      </c>
      <c r="B96" s="374" t="s">
        <v>447</v>
      </c>
      <c r="C96" s="403">
        <f ca="1">ROUND(D63*D96/(1+'数据-取费表'!C42),0)</f>
        <v>402</v>
      </c>
      <c r="D96" s="404">
        <f>'数据-取费表'!B43</f>
        <v>6.000000000000001E-3</v>
      </c>
      <c r="E96" s="3349" t="s">
        <v>2422</v>
      </c>
      <c r="F96" s="3350"/>
      <c r="G96" s="3350"/>
      <c r="H96" s="3351"/>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1832</v>
      </c>
      <c r="B97" s="380" t="s">
        <v>448</v>
      </c>
      <c r="C97" s="383">
        <f ca="1">C90-C91</f>
        <v>63950</v>
      </c>
      <c r="D97" s="376" t="s">
        <v>19</v>
      </c>
      <c r="E97" s="989"/>
      <c r="F97" s="988"/>
      <c r="G97" s="988"/>
      <c r="H97" s="392"/>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1833</v>
      </c>
      <c r="B98" s="380" t="s">
        <v>449</v>
      </c>
      <c r="C98" s="405">
        <f ca="1">IF(C97&lt;=0,0,C97/C91)</f>
        <v>21.438149513912169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1834</v>
      </c>
      <c r="B99" s="385" t="s">
        <v>450</v>
      </c>
      <c r="C99" s="406">
        <f ca="1">ROUND(IF(C97&lt;=0,0,IF(C98&gt;=200%,C97*60%-C91*35%,IF(C98&gt;=100%,C97*50%-C91*15%,IF(C98&gt;=50%,C97*40%-C91*5%,IF(C98&lt;50%,C97*30%,0))))),0)</f>
        <v>37326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0" t="s">
        <v>451</v>
      </c>
      <c r="B101" s="3361"/>
      <c r="C101" s="3361"/>
      <c r="D101" s="3361"/>
      <c r="E101" s="3361"/>
      <c r="F101" s="3361"/>
      <c r="G101" s="3361"/>
      <c r="H101" s="3361"/>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58" t="s">
        <v>425</v>
      </c>
      <c r="B102" s="3359"/>
      <c r="C102" s="992"/>
      <c r="D102" s="992" t="s">
        <v>426</v>
      </c>
      <c r="E102" s="389" t="s">
        <v>435</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79" t="s">
        <v>1820</v>
      </c>
      <c r="B103" s="380" t="s">
        <v>436</v>
      </c>
      <c r="C103" s="383">
        <f ca="1">ROUND(D63/(1+'数据-取费表'!C42),0)</f>
        <v>66933</v>
      </c>
      <c r="D103" s="376" t="s">
        <v>19</v>
      </c>
      <c r="E103" s="989"/>
      <c r="F103" s="988"/>
      <c r="G103" s="988"/>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79" t="s">
        <v>1826</v>
      </c>
      <c r="B104" s="346" t="s">
        <v>437</v>
      </c>
      <c r="C104" s="383">
        <f ca="1">IF(H106="仅含出让金",C105+C108+C109+C110+C111+C112,C105+C109+C110+C111+C112)</f>
        <v>23280</v>
      </c>
      <c r="D104" s="413"/>
      <c r="E104" s="989"/>
      <c r="F104" s="988"/>
      <c r="G104" s="988"/>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3" t="s">
        <v>1827</v>
      </c>
      <c r="B105" s="374" t="s">
        <v>452</v>
      </c>
      <c r="C105" s="403">
        <f>C106+C107</f>
        <v>20798</v>
      </c>
      <c r="D105" s="404"/>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3" t="s">
        <v>1828</v>
      </c>
      <c r="B106" s="374" t="s">
        <v>453</v>
      </c>
      <c r="C106" s="414">
        <f>ROUND(6210.86*K38/10000,0)</f>
        <v>19988</v>
      </c>
      <c r="D106" s="404"/>
      <c r="E106" s="415" t="s">
        <v>454</v>
      </c>
      <c r="F106" s="984"/>
      <c r="G106" s="416" t="s">
        <v>455</v>
      </c>
      <c r="H106" s="417" t="s">
        <v>3256</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3" t="s">
        <v>1829</v>
      </c>
      <c r="B107" s="374" t="s">
        <v>445</v>
      </c>
      <c r="C107" s="403">
        <f>ROUND(C106*D107,0)</f>
        <v>810</v>
      </c>
      <c r="D107" s="404">
        <f>'数据-取费表'!B48+'数据-取费表'!B49</f>
        <v>4.0500000000000001E-2</v>
      </c>
      <c r="E107" s="415" t="s">
        <v>456</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3" t="s">
        <v>1831</v>
      </c>
      <c r="B108" s="374" t="s">
        <v>457</v>
      </c>
      <c r="C108" s="414">
        <v>0</v>
      </c>
      <c r="D108" s="404"/>
      <c r="E108" s="415"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1835</v>
      </c>
      <c r="B109" s="374" t="s">
        <v>458</v>
      </c>
      <c r="C109" s="403">
        <f>IF(H109="——",IF(F1="现房",'剩余法-现房'!C18,'剩余法-待开发'!C18),I109)</f>
        <v>0</v>
      </c>
      <c r="D109" s="404"/>
      <c r="E109" s="3352" t="s">
        <v>459</v>
      </c>
      <c r="F109" s="3350"/>
      <c r="G109" s="3350"/>
      <c r="H109" s="1937" t="s">
        <v>3258</v>
      </c>
      <c r="I109" s="1938">
        <v>0</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1836</v>
      </c>
      <c r="B110" s="374" t="s">
        <v>460</v>
      </c>
      <c r="C110" s="403">
        <f>ROUND((C105+C108+C109)*D110,0)</f>
        <v>2080</v>
      </c>
      <c r="D110" s="404">
        <v>0.1</v>
      </c>
      <c r="E110" s="3352" t="s">
        <v>461</v>
      </c>
      <c r="F110" s="3350"/>
      <c r="G110" s="3350"/>
      <c r="H110" s="3351"/>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1837</v>
      </c>
      <c r="B111" s="374" t="s">
        <v>447</v>
      </c>
      <c r="C111" s="403">
        <f ca="1">ROUND(D63*D111/(1+'数据-取费表'!C42),0)</f>
        <v>402</v>
      </c>
      <c r="D111" s="404">
        <f>'数据-取费表'!B43</f>
        <v>6.000000000000001E-3</v>
      </c>
      <c r="E111" s="3349" t="s">
        <v>2422</v>
      </c>
      <c r="F111" s="3350"/>
      <c r="G111" s="3350"/>
      <c r="H111" s="3351"/>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1838</v>
      </c>
      <c r="B112" s="374" t="s">
        <v>462</v>
      </c>
      <c r="C112" s="403">
        <f>ROUND(C108*D112,0)</f>
        <v>0</v>
      </c>
      <c r="D112" s="404">
        <v>0.2</v>
      </c>
      <c r="E112" s="3352" t="s">
        <v>2446</v>
      </c>
      <c r="F112" s="3350"/>
      <c r="G112" s="3350"/>
      <c r="H112" s="3351"/>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1832</v>
      </c>
      <c r="B113" s="380" t="s">
        <v>448</v>
      </c>
      <c r="C113" s="383">
        <f ca="1">ROUND(C103-C104,0)</f>
        <v>43653</v>
      </c>
      <c r="D113" s="376" t="s">
        <v>19</v>
      </c>
      <c r="E113" s="989"/>
      <c r="F113" s="988"/>
      <c r="G113" s="988"/>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1833</v>
      </c>
      <c r="B114" s="380" t="s">
        <v>449</v>
      </c>
      <c r="C114" s="405">
        <f ca="1">IF(C113&lt;=0,0,C113/C104)</f>
        <v>1.8751288659793814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1834</v>
      </c>
      <c r="B115" s="385" t="s">
        <v>450</v>
      </c>
      <c r="C115" s="406">
        <f ca="1">ROUND(IF(C113&lt;=0,0,IF(C114&gt;=200%,C113*60%-C104*35%,IF(C114&gt;=100%,C113*50%-C104*15%,IF(C114&gt;=50%,C113*40%-C104*5%,IF(C114&lt;50%,C113*30%,0))))),0)</f>
        <v>18335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I71" sqref="I71"/>
    </sheetView>
  </sheetViews>
  <sheetFormatPr defaultRowHeight="14.25"/>
  <cols>
    <col min="1" max="1" width="15.625" style="1335" customWidth="1"/>
    <col min="2" max="2" width="15.75" style="1335" customWidth="1"/>
    <col min="3" max="3" width="18" style="1335" customWidth="1"/>
    <col min="4" max="4" width="12.25" style="1335" customWidth="1"/>
    <col min="5" max="5" width="18.37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513</v>
      </c>
      <c r="B1" s="501"/>
      <c r="C1" s="502" t="s">
        <v>514</v>
      </c>
      <c r="D1" s="503" t="s">
        <v>515</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464</v>
      </c>
      <c r="B2" s="506">
        <f>F68</f>
        <v>42352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7" t="s">
        <v>1681</v>
      </c>
      <c r="B3" s="508">
        <f>ROUND(B2*10000/'数据-汇总表'!E3,0)</f>
        <v>2266</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30" s="1334" customFormat="1" ht="28.5" customHeight="1">
      <c r="A4" s="509" t="s">
        <v>517</v>
      </c>
      <c r="B4" s="425">
        <f>IF(B48="单位面积地价",C50,ROUND(B2*10000/'数据-汇总表'!D3,0))</f>
        <v>13160</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877</v>
      </c>
      <c r="C5" s="429" t="s">
        <v>466</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6"/>
    </row>
    <row r="6" spans="1:30" ht="20.25">
      <c r="A6" s="510" t="s">
        <v>518</v>
      </c>
      <c r="B6" s="511"/>
      <c r="C6" s="3403" t="s">
        <v>519</v>
      </c>
      <c r="D6" s="3404"/>
      <c r="E6" s="3403" t="s">
        <v>520</v>
      </c>
      <c r="F6" s="3404"/>
      <c r="G6" s="3403" t="s">
        <v>521</v>
      </c>
      <c r="H6" s="3404"/>
      <c r="I6" s="3403" t="s">
        <v>522</v>
      </c>
      <c r="J6" s="3404"/>
      <c r="K6" s="512" t="s">
        <v>523</v>
      </c>
      <c r="L6" s="2129"/>
      <c r="M6" s="2128"/>
      <c r="N6" s="2128"/>
      <c r="O6" s="2130"/>
      <c r="P6" s="3405" t="s">
        <v>524</v>
      </c>
      <c r="Q6" s="3406"/>
      <c r="R6" s="3411" t="s">
        <v>520</v>
      </c>
      <c r="S6" s="3412"/>
      <c r="T6" s="3411" t="s">
        <v>521</v>
      </c>
      <c r="U6" s="3412"/>
      <c r="V6" s="3398" t="s">
        <v>522</v>
      </c>
      <c r="W6" s="3398"/>
      <c r="X6" s="1564"/>
      <c r="Y6" s="3411" t="s">
        <v>524</v>
      </c>
      <c r="Z6" s="3412"/>
      <c r="AA6" s="3400" t="s">
        <v>520</v>
      </c>
      <c r="AB6" s="3401" t="s">
        <v>521</v>
      </c>
      <c r="AC6" s="3400" t="s">
        <v>522</v>
      </c>
    </row>
    <row r="7" spans="1:30" ht="44.25" customHeight="1">
      <c r="A7" s="513"/>
      <c r="B7" s="514"/>
      <c r="C7" s="3419" t="s">
        <v>2915</v>
      </c>
      <c r="D7" s="3420"/>
      <c r="E7" s="3423" t="str">
        <f>土地案例!A2</f>
        <v>光华路以北、电厂街以西</v>
      </c>
      <c r="F7" s="3420"/>
      <c r="G7" s="3419" t="str">
        <f>土地案例!A3</f>
        <v>东至杜庄街(规划路)、南至兆通南路(规划路)、西至天山大街、北至槐河道(规划路)</v>
      </c>
      <c r="H7" s="3420"/>
      <c r="I7" s="3419" t="str">
        <f>土地案例!A4</f>
        <v>西至天山北大街(规划路)、南至石津渠、北至济河道(规划路)</v>
      </c>
      <c r="J7" s="3420"/>
      <c r="K7" s="512"/>
      <c r="L7" s="2129"/>
      <c r="M7" s="2128"/>
      <c r="N7" s="2128"/>
      <c r="O7" s="2130"/>
      <c r="P7" s="3407"/>
      <c r="Q7" s="3408"/>
      <c r="R7" s="3413"/>
      <c r="S7" s="3414"/>
      <c r="T7" s="3413"/>
      <c r="U7" s="3414"/>
      <c r="V7" s="3398"/>
      <c r="W7" s="3398"/>
      <c r="X7" s="1564"/>
      <c r="Y7" s="3413"/>
      <c r="Z7" s="3414"/>
      <c r="AA7" s="3401"/>
      <c r="AB7" s="3401"/>
      <c r="AC7" s="3401"/>
    </row>
    <row r="8" spans="1:30" ht="21" thickBot="1">
      <c r="A8" s="513"/>
      <c r="B8" s="514"/>
      <c r="C8" s="3421" t="s">
        <v>2919</v>
      </c>
      <c r="D8" s="3422"/>
      <c r="E8" s="3421" t="s">
        <v>2919</v>
      </c>
      <c r="F8" s="3422"/>
      <c r="G8" s="3417" t="s">
        <v>2919</v>
      </c>
      <c r="H8" s="3418"/>
      <c r="I8" s="3417" t="s">
        <v>2919</v>
      </c>
      <c r="J8" s="3418"/>
      <c r="K8" s="512" t="s">
        <v>525</v>
      </c>
      <c r="L8" s="2129"/>
      <c r="M8" s="2128"/>
      <c r="N8" s="2128"/>
      <c r="O8" s="2130"/>
      <c r="P8" s="3409"/>
      <c r="Q8" s="3410"/>
      <c r="R8" s="3413"/>
      <c r="S8" s="3414"/>
      <c r="T8" s="3415"/>
      <c r="U8" s="3416"/>
      <c r="V8" s="3398"/>
      <c r="W8" s="3398"/>
      <c r="X8" s="1564"/>
      <c r="Y8" s="3415"/>
      <c r="Z8" s="3416"/>
      <c r="AA8" s="3402"/>
      <c r="AB8" s="3402"/>
      <c r="AC8" s="3402"/>
    </row>
    <row r="9" spans="1:30" s="1218" customFormat="1" ht="21" thickBot="1">
      <c r="A9" s="2908"/>
      <c r="B9" s="2915" t="s">
        <v>526</v>
      </c>
      <c r="C9" s="2907">
        <f>'数据-取费表'!B2</f>
        <v>43447</v>
      </c>
      <c r="D9" s="518">
        <v>100</v>
      </c>
      <c r="E9" s="519" t="str">
        <f>土地案例!H2</f>
        <v>2018-11-28</v>
      </c>
      <c r="F9" s="520">
        <f>SUMIF(72:72,YEAR(E9)&amp;"-"&amp;INT((MONTH(E9)+2)/3),73:73)</f>
        <v>100</v>
      </c>
      <c r="G9" s="521" t="str">
        <f>土地案例!H3</f>
        <v>2018-03-16</v>
      </c>
      <c r="H9" s="518">
        <f>SUMIF(72:72,YEAR(G9)&amp;"-"&amp;INT((MONTH(G9)+2)/3),73:73)</f>
        <v>94</v>
      </c>
      <c r="I9" s="521" t="str">
        <f>土地案例!H4</f>
        <v>2018-03-16</v>
      </c>
      <c r="J9" s="518">
        <f>SUMIF(72:72,YEAR(I9)&amp;"-"&amp;INT((MONTH(I9)+2)/3),73:73)</f>
        <v>94</v>
      </c>
      <c r="K9" s="522"/>
      <c r="L9" s="2131"/>
      <c r="M9" s="2128"/>
      <c r="N9" s="2128"/>
      <c r="O9" s="2132"/>
      <c r="P9" s="3429" t="s">
        <v>527</v>
      </c>
      <c r="Q9" s="3431"/>
      <c r="R9" s="1565" t="s">
        <v>8</v>
      </c>
      <c r="S9" s="1566">
        <f t="shared" ref="S9:S17" si="0">F9</f>
        <v>100</v>
      </c>
      <c r="T9" s="1565" t="s">
        <v>8</v>
      </c>
      <c r="U9" s="1566">
        <f t="shared" ref="U9:U17" si="1">H9</f>
        <v>94</v>
      </c>
      <c r="V9" s="1565" t="s">
        <v>8</v>
      </c>
      <c r="W9" s="1566">
        <f t="shared" ref="W9:W17" si="2">J9</f>
        <v>94</v>
      </c>
      <c r="X9" s="1567"/>
      <c r="Y9" s="3429" t="s">
        <v>527</v>
      </c>
      <c r="Z9" s="3430"/>
      <c r="AA9" s="1568">
        <f>D9/F9</f>
        <v>1</v>
      </c>
      <c r="AB9" s="1568">
        <f>D9/H9</f>
        <v>1.0638297872340425</v>
      </c>
      <c r="AC9" s="1568">
        <f>D9/J9</f>
        <v>1.0638297872340425</v>
      </c>
    </row>
    <row r="10" spans="1:30" s="1218" customFormat="1" ht="21" thickBot="1">
      <c r="A10" s="2909"/>
      <c r="B10" s="2916" t="s">
        <v>528</v>
      </c>
      <c r="C10" s="854" t="s">
        <v>529</v>
      </c>
      <c r="D10" s="518">
        <v>100</v>
      </c>
      <c r="E10" s="523" t="s">
        <v>2984</v>
      </c>
      <c r="F10" s="520">
        <f>SUMIF(75:75,E10,76:76)-SUMIF(75:75,C10,76:76)+100</f>
        <v>100</v>
      </c>
      <c r="G10" s="523" t="s">
        <v>2984</v>
      </c>
      <c r="H10" s="518">
        <f>SUMIF(75:75,G10,76:76)-SUMIF(75:75,C10,76:76)+100</f>
        <v>100</v>
      </c>
      <c r="I10" s="523" t="s">
        <v>2984</v>
      </c>
      <c r="J10" s="518">
        <f>SUMIF(75:75,I10,76:76)-SUMIF(75:75,C10,76:76)+100</f>
        <v>100</v>
      </c>
      <c r="K10" s="522"/>
      <c r="L10" s="2131"/>
      <c r="M10" s="2128"/>
      <c r="N10" s="2128"/>
      <c r="O10" s="2132"/>
      <c r="P10" s="3429" t="s">
        <v>530</v>
      </c>
      <c r="Q10" s="3430"/>
      <c r="R10" s="1565" t="s">
        <v>8</v>
      </c>
      <c r="S10" s="1566">
        <f t="shared" si="0"/>
        <v>100</v>
      </c>
      <c r="T10" s="1565" t="s">
        <v>8</v>
      </c>
      <c r="U10" s="1566">
        <f t="shared" si="1"/>
        <v>100</v>
      </c>
      <c r="V10" s="1565" t="s">
        <v>8</v>
      </c>
      <c r="W10" s="1566">
        <f t="shared" si="2"/>
        <v>100</v>
      </c>
      <c r="X10" s="1567"/>
      <c r="Y10" s="3429" t="s">
        <v>530</v>
      </c>
      <c r="Z10" s="3430"/>
      <c r="AA10" s="1568">
        <f t="shared" ref="AA10:AA47" si="3">D10/F10</f>
        <v>1</v>
      </c>
      <c r="AB10" s="1568">
        <f t="shared" ref="AB10:AB47" si="4">D10/H10</f>
        <v>1</v>
      </c>
      <c r="AC10" s="1568">
        <f t="shared" ref="AC10:AC47" si="5">D10/J10</f>
        <v>1</v>
      </c>
    </row>
    <row r="11" spans="1:30" s="1218" customFormat="1" ht="20.25">
      <c r="A11" s="2910"/>
      <c r="B11" s="2917" t="s">
        <v>2748</v>
      </c>
      <c r="C11" s="2904" t="s">
        <v>2996</v>
      </c>
      <c r="D11" s="252">
        <v>100</v>
      </c>
      <c r="E11" s="2904" t="s">
        <v>2996</v>
      </c>
      <c r="F11" s="252">
        <f>SUMIF(77:77,E11,78:78)-SUMIF(77:77,C11,78:78)+100</f>
        <v>100</v>
      </c>
      <c r="G11" s="2904" t="s">
        <v>2996</v>
      </c>
      <c r="H11" s="252">
        <f>SUMIF(77:77,G11,78:78)-SUMIF(77:77,C11,78:78)+100</f>
        <v>100</v>
      </c>
      <c r="I11" s="2904" t="s">
        <v>2996</v>
      </c>
      <c r="J11" s="252">
        <f>SUMIF(77:77,I11,78:78)-SUMIF(77:77,C11,78:78)+100</f>
        <v>100</v>
      </c>
      <c r="K11" s="522"/>
      <c r="L11" s="2131"/>
      <c r="M11" s="2128"/>
      <c r="N11" s="2128"/>
      <c r="O11" s="2133"/>
      <c r="P11" s="3397" t="s">
        <v>532</v>
      </c>
      <c r="Q11" s="1149" t="str">
        <f t="shared" ref="Q11:Q17" si="6">B11</f>
        <v>用途</v>
      </c>
      <c r="R11" s="1565" t="s">
        <v>8</v>
      </c>
      <c r="S11" s="1566">
        <f t="shared" si="0"/>
        <v>100</v>
      </c>
      <c r="T11" s="1565" t="s">
        <v>8</v>
      </c>
      <c r="U11" s="1566">
        <f t="shared" si="1"/>
        <v>100</v>
      </c>
      <c r="V11" s="1565" t="s">
        <v>8</v>
      </c>
      <c r="W11" s="1566">
        <f t="shared" si="2"/>
        <v>100</v>
      </c>
      <c r="X11" s="1567"/>
      <c r="Y11" s="3343" t="s">
        <v>533</v>
      </c>
      <c r="Z11" s="1148" t="str">
        <f t="shared" ref="Z11:Z17" si="7">Q11</f>
        <v>用途</v>
      </c>
      <c r="AA11" s="1568">
        <f t="shared" si="3"/>
        <v>1</v>
      </c>
      <c r="AB11" s="1568">
        <f t="shared" si="4"/>
        <v>1</v>
      </c>
      <c r="AC11" s="1568">
        <f t="shared" si="5"/>
        <v>1</v>
      </c>
    </row>
    <row r="12" spans="1:30" s="1336" customFormat="1" ht="27">
      <c r="A12" s="2911"/>
      <c r="B12" s="2916" t="s">
        <v>2749</v>
      </c>
      <c r="C12" s="908"/>
      <c r="D12" s="253">
        <v>100</v>
      </c>
      <c r="E12" s="527"/>
      <c r="F12" s="253">
        <f>ROUND(100/'数据-取费表'!G16,0)</f>
        <v>104</v>
      </c>
      <c r="G12" s="528"/>
      <c r="H12" s="253">
        <f>ROUND(100/'数据-取费表'!G16,0)</f>
        <v>104</v>
      </c>
      <c r="I12" s="528"/>
      <c r="J12" s="253">
        <f>ROUND(100/'数据-取费表'!G16,0)</f>
        <v>104</v>
      </c>
      <c r="K12" s="529"/>
      <c r="L12" s="2134"/>
      <c r="M12" s="2128"/>
      <c r="N12" s="2128"/>
      <c r="O12" s="2135"/>
      <c r="P12" s="3397"/>
      <c r="Q12" s="1149" t="str">
        <f t="shared" si="6"/>
        <v>土地使用年限（年）</v>
      </c>
      <c r="R12" s="1565" t="s">
        <v>8</v>
      </c>
      <c r="S12" s="1566">
        <f t="shared" si="0"/>
        <v>104</v>
      </c>
      <c r="T12" s="1565" t="s">
        <v>8</v>
      </c>
      <c r="U12" s="1566">
        <f t="shared" si="1"/>
        <v>104</v>
      </c>
      <c r="V12" s="1565" t="s">
        <v>8</v>
      </c>
      <c r="W12" s="1566">
        <f t="shared" si="2"/>
        <v>104</v>
      </c>
      <c r="X12" s="1567"/>
      <c r="Y12" s="3343"/>
      <c r="Z12" s="1148" t="str">
        <f t="shared" si="7"/>
        <v>土地使用年限（年）</v>
      </c>
      <c r="AA12" s="1568">
        <f t="shared" si="3"/>
        <v>0.96153846153846156</v>
      </c>
      <c r="AB12" s="1568">
        <f t="shared" si="4"/>
        <v>0.96153846153846156</v>
      </c>
      <c r="AC12" s="1568">
        <f t="shared" si="5"/>
        <v>0.96153846153846156</v>
      </c>
    </row>
    <row r="13" spans="1:30" ht="20.25">
      <c r="A13" s="2912"/>
      <c r="B13" s="2916" t="s">
        <v>2750</v>
      </c>
      <c r="C13" s="3193">
        <f>'数据-汇总表'!I6</f>
        <v>4.8499999999999996</v>
      </c>
      <c r="D13" s="253">
        <v>100</v>
      </c>
      <c r="E13" s="531">
        <v>5.0599999999999996</v>
      </c>
      <c r="F13" s="253">
        <f>LOOKUP(E13,82:82,83:83)-LOOKUP(C13,82:82,83:83)+100</f>
        <v>98</v>
      </c>
      <c r="G13" s="532">
        <v>2.9</v>
      </c>
      <c r="H13" s="253">
        <f>LOOKUP(G13,82:82,83:83)-LOOKUP(C13,82:82,83:83)+100</f>
        <v>104</v>
      </c>
      <c r="I13" s="531">
        <v>2.4</v>
      </c>
      <c r="J13" s="253">
        <f>LOOKUP(I13,82:82,83:83)-LOOKUP(C13,82:82,83:83)+100</f>
        <v>104</v>
      </c>
      <c r="K13" s="533">
        <v>2</v>
      </c>
      <c r="L13" s="2136"/>
      <c r="M13" s="2128"/>
      <c r="N13" s="2128"/>
      <c r="O13" s="2137"/>
      <c r="P13" s="3397"/>
      <c r="Q13" s="1149" t="str">
        <f t="shared" si="6"/>
        <v>容积率</v>
      </c>
      <c r="R13" s="1565" t="s">
        <v>8</v>
      </c>
      <c r="S13" s="1566">
        <f t="shared" si="0"/>
        <v>98</v>
      </c>
      <c r="T13" s="1565" t="s">
        <v>8</v>
      </c>
      <c r="U13" s="1566">
        <f t="shared" si="1"/>
        <v>104</v>
      </c>
      <c r="V13" s="1565" t="s">
        <v>8</v>
      </c>
      <c r="W13" s="1566">
        <f t="shared" si="2"/>
        <v>104</v>
      </c>
      <c r="X13" s="1567"/>
      <c r="Y13" s="3343"/>
      <c r="Z13" s="1148" t="str">
        <f t="shared" si="7"/>
        <v>容积率</v>
      </c>
      <c r="AA13" s="1568">
        <f t="shared" si="3"/>
        <v>1.0204081632653061</v>
      </c>
      <c r="AB13" s="1568">
        <f t="shared" si="4"/>
        <v>0.96153846153846156</v>
      </c>
      <c r="AC13" s="1568">
        <f t="shared" si="5"/>
        <v>0.96153846153846156</v>
      </c>
    </row>
    <row r="14" spans="1:30" s="1218" customFormat="1" ht="20.25">
      <c r="A14" s="2909"/>
      <c r="B14" s="2918" t="s">
        <v>2751</v>
      </c>
      <c r="C14" s="2905"/>
      <c r="D14" s="536">
        <v>100</v>
      </c>
      <c r="E14" s="1372"/>
      <c r="F14" s="253">
        <f>SUMIF(84:84,E14,85:85)-SUMIF(84:84,C14,85:85)+100</f>
        <v>100</v>
      </c>
      <c r="G14" s="528"/>
      <c r="H14" s="253">
        <f>SUMIF(84:84,G14,85:85)-SUMIF(84:84,C14,85:85)+100</f>
        <v>100</v>
      </c>
      <c r="I14" s="527"/>
      <c r="J14" s="253">
        <f>SUMIF(84:84,I14,85:85)-SUMIF(84:84,C14,85:85)+100</f>
        <v>100</v>
      </c>
      <c r="K14" s="529"/>
      <c r="L14" s="2131"/>
      <c r="M14" s="2128"/>
      <c r="N14" s="2128"/>
      <c r="O14" s="2133"/>
      <c r="P14" s="3397"/>
      <c r="Q14" s="1149" t="str">
        <f t="shared" si="6"/>
        <v>配建</v>
      </c>
      <c r="R14" s="1565" t="s">
        <v>8</v>
      </c>
      <c r="S14" s="1566">
        <f t="shared" si="0"/>
        <v>100</v>
      </c>
      <c r="T14" s="1565" t="s">
        <v>8</v>
      </c>
      <c r="U14" s="1566">
        <f t="shared" si="1"/>
        <v>100</v>
      </c>
      <c r="V14" s="1565" t="s">
        <v>8</v>
      </c>
      <c r="W14" s="1566">
        <f t="shared" si="2"/>
        <v>100</v>
      </c>
      <c r="X14" s="1567"/>
      <c r="Y14" s="3343"/>
      <c r="Z14" s="1148" t="str">
        <f t="shared" si="7"/>
        <v>配建</v>
      </c>
      <c r="AA14" s="1568">
        <f>D14/F14</f>
        <v>1</v>
      </c>
      <c r="AB14" s="1568">
        <f>D14/H14</f>
        <v>1</v>
      </c>
      <c r="AC14" s="1568">
        <f>D14/J14</f>
        <v>1</v>
      </c>
    </row>
    <row r="15" spans="1:30" ht="20.25">
      <c r="A15" s="2913"/>
      <c r="B15" s="2919">
        <v>111</v>
      </c>
      <c r="C15" s="910"/>
      <c r="D15" s="538">
        <v>100</v>
      </c>
      <c r="E15" s="539"/>
      <c r="F15" s="253">
        <f>SUMIF(86:86,E15,87:87)-SUMIF(86:86,C15,87:87)+100</f>
        <v>100</v>
      </c>
      <c r="G15" s="540"/>
      <c r="H15" s="538">
        <f>SUMIF(86:86,G15,87:87)-SUMIF(86:86,C15,87:87)+100</f>
        <v>100</v>
      </c>
      <c r="I15" s="540"/>
      <c r="J15" s="538">
        <f>SUMIF(86:86,I15,87:87)-SUMIF(86:86,C15,87:87)+100</f>
        <v>100</v>
      </c>
      <c r="K15" s="529"/>
      <c r="L15" s="2138"/>
      <c r="M15" s="2128"/>
      <c r="N15" s="2128"/>
      <c r="O15" s="2137"/>
      <c r="P15" s="3397"/>
      <c r="Q15" s="1149">
        <f t="shared" si="6"/>
        <v>111</v>
      </c>
      <c r="R15" s="1565" t="s">
        <v>8</v>
      </c>
      <c r="S15" s="1566">
        <f t="shared" si="0"/>
        <v>100</v>
      </c>
      <c r="T15" s="1565" t="s">
        <v>8</v>
      </c>
      <c r="U15" s="1566">
        <f t="shared" si="1"/>
        <v>100</v>
      </c>
      <c r="V15" s="1565" t="s">
        <v>8</v>
      </c>
      <c r="W15" s="1566">
        <f t="shared" si="2"/>
        <v>100</v>
      </c>
      <c r="X15" s="1567"/>
      <c r="Y15" s="3343"/>
      <c r="Z15" s="1148">
        <f t="shared" si="7"/>
        <v>111</v>
      </c>
      <c r="AA15" s="1568">
        <f>D15/F15</f>
        <v>1</v>
      </c>
      <c r="AB15" s="1568">
        <f>D15/H15</f>
        <v>1</v>
      </c>
      <c r="AC15" s="1568">
        <f>D15/J15</f>
        <v>1</v>
      </c>
    </row>
    <row r="16" spans="1:30" ht="21" thickBot="1">
      <c r="A16" s="2914"/>
      <c r="B16" s="2920">
        <v>111</v>
      </c>
      <c r="C16" s="913"/>
      <c r="D16" s="544">
        <v>100</v>
      </c>
      <c r="E16" s="539"/>
      <c r="F16" s="544">
        <f>SUMIF(88:88,E16,89:89)-SUMIF(88:88,C16,89:89)+100</f>
        <v>100</v>
      </c>
      <c r="G16" s="540"/>
      <c r="H16" s="544">
        <f>SUMIF(88:88,G16,89:89)-SUMIF(88:88,C16,89:89)+100</f>
        <v>100</v>
      </c>
      <c r="I16" s="540"/>
      <c r="J16" s="544">
        <f>SUMIF(88:88,I16,89:89)-SUMIF(88:88,C16,89:89)+100</f>
        <v>100</v>
      </c>
      <c r="K16" s="529"/>
      <c r="L16" s="2138"/>
      <c r="M16" s="2128"/>
      <c r="N16" s="2128"/>
      <c r="O16" s="2137"/>
      <c r="P16" s="3397"/>
      <c r="Q16" s="1149">
        <f t="shared" si="6"/>
        <v>111</v>
      </c>
      <c r="R16" s="1565" t="s">
        <v>8</v>
      </c>
      <c r="S16" s="1566">
        <f t="shared" si="0"/>
        <v>100</v>
      </c>
      <c r="T16" s="1565" t="s">
        <v>8</v>
      </c>
      <c r="U16" s="1566">
        <f t="shared" si="1"/>
        <v>100</v>
      </c>
      <c r="V16" s="1565" t="s">
        <v>8</v>
      </c>
      <c r="W16" s="1566">
        <f t="shared" si="2"/>
        <v>100</v>
      </c>
      <c r="X16" s="1567"/>
      <c r="Y16" s="3343"/>
      <c r="Z16" s="1148">
        <f t="shared" si="7"/>
        <v>111</v>
      </c>
      <c r="AA16" s="1568">
        <f>D16/F16</f>
        <v>1</v>
      </c>
      <c r="AB16" s="1568">
        <f>D16/H16</f>
        <v>1</v>
      </c>
      <c r="AC16" s="1568">
        <f>D16/J16</f>
        <v>1</v>
      </c>
    </row>
    <row r="17" spans="1:29" ht="23.25" customHeight="1">
      <c r="A17" s="2906" t="s">
        <v>2746</v>
      </c>
      <c r="B17" s="576" t="s">
        <v>294</v>
      </c>
      <c r="C17" s="546" t="str">
        <f>估价对象房地状况!C15</f>
        <v>周边有瑞府、秋景怡园等住宅社区，分布密度一般，入住率一般，居住社区成熟度一般。</v>
      </c>
      <c r="D17" s="549">
        <v>100</v>
      </c>
      <c r="E17" s="550"/>
      <c r="F17" s="547">
        <f>SUMIF(90:90,E18,91:91)-SUMIF(90:90,C18,91:91)+100</f>
        <v>100</v>
      </c>
      <c r="G17" s="548"/>
      <c r="H17" s="547">
        <f>SUMIF(90:90,G18,91:91)-SUMIF(90:90,C18,91:91)+100</f>
        <v>100</v>
      </c>
      <c r="I17" s="550"/>
      <c r="J17" s="547">
        <f>SUMIF(90:90,I18,91:91)-SUMIF(90:90,C18,91:91)+100</f>
        <v>100</v>
      </c>
      <c r="K17" s="533">
        <v>0</v>
      </c>
      <c r="L17" s="2138"/>
      <c r="M17" s="2128"/>
      <c r="N17" s="2128"/>
      <c r="O17" s="2137"/>
      <c r="P17" s="3432" t="s">
        <v>537</v>
      </c>
      <c r="Q17" s="1569" t="str">
        <f t="shared" si="6"/>
        <v>居住社区成熟度</v>
      </c>
      <c r="R17" s="1570" t="s">
        <v>8</v>
      </c>
      <c r="S17" s="1571">
        <f t="shared" si="0"/>
        <v>100</v>
      </c>
      <c r="T17" s="1570" t="s">
        <v>8</v>
      </c>
      <c r="U17" s="1571">
        <f t="shared" si="1"/>
        <v>100</v>
      </c>
      <c r="V17" s="1570" t="s">
        <v>8</v>
      </c>
      <c r="W17" s="1571">
        <f t="shared" si="2"/>
        <v>100</v>
      </c>
      <c r="X17" s="1564"/>
      <c r="Y17" s="3432" t="s">
        <v>537</v>
      </c>
      <c r="Z17" s="1572" t="str">
        <f t="shared" si="7"/>
        <v>居住社区成熟度</v>
      </c>
      <c r="AA17" s="1573">
        <f t="shared" si="3"/>
        <v>1</v>
      </c>
      <c r="AB17" s="1573">
        <f t="shared" si="4"/>
        <v>1</v>
      </c>
      <c r="AC17" s="1573">
        <f t="shared" si="5"/>
        <v>1</v>
      </c>
    </row>
    <row r="18" spans="1:29" ht="20.25">
      <c r="A18" s="530"/>
      <c r="B18" s="551"/>
      <c r="C18" s="552" t="s">
        <v>3031</v>
      </c>
      <c r="D18" s="555"/>
      <c r="E18" s="556" t="s">
        <v>3057</v>
      </c>
      <c r="F18" s="553"/>
      <c r="G18" s="556" t="s">
        <v>3057</v>
      </c>
      <c r="H18" s="557"/>
      <c r="I18" s="556" t="s">
        <v>3057</v>
      </c>
      <c r="J18" s="553"/>
      <c r="K18" s="529"/>
      <c r="L18" s="2138"/>
      <c r="M18" s="2128"/>
      <c r="N18" s="2128"/>
      <c r="O18" s="2137"/>
      <c r="P18" s="3433"/>
      <c r="Q18" s="1569"/>
      <c r="R18" s="1570"/>
      <c r="S18" s="1571"/>
      <c r="T18" s="1570"/>
      <c r="U18" s="1571"/>
      <c r="V18" s="1570"/>
      <c r="W18" s="1571"/>
      <c r="X18" s="1564"/>
      <c r="Y18" s="3433"/>
      <c r="Z18" s="1572"/>
      <c r="AA18" s="1573">
        <v>1</v>
      </c>
      <c r="AB18" s="1573">
        <v>1</v>
      </c>
      <c r="AC18" s="1573">
        <v>1</v>
      </c>
    </row>
    <row r="19" spans="1:29" ht="90" customHeight="1">
      <c r="A19" s="530"/>
      <c r="B19" s="558" t="s">
        <v>538</v>
      </c>
      <c r="C19" s="559" t="str">
        <f>估价对象房地状况!C16</f>
        <v>周边商业氛围成熟度一般，多为社区配套底商，人流量一般，商业繁华度一般。</v>
      </c>
      <c r="D19" s="561">
        <v>100</v>
      </c>
      <c r="E19" s="3188" t="s">
        <v>3219</v>
      </c>
      <c r="F19" s="557">
        <f>SUMIF(92:92,E20,93:93)-SUMIF(92:92,C20,93:93)+100</f>
        <v>102</v>
      </c>
      <c r="G19" s="3188" t="s">
        <v>3219</v>
      </c>
      <c r="H19" s="563">
        <f>SUMIF(92:92,G20,93:93)-SUMIF(92:92,C20,93:93)+100</f>
        <v>102</v>
      </c>
      <c r="I19" s="3188" t="s">
        <v>3223</v>
      </c>
      <c r="J19" s="563">
        <f>SUMIF(92:92,I20,93:93)-SUMIF(92:92,C20,93:93)+100</f>
        <v>98</v>
      </c>
      <c r="K19" s="533">
        <v>2</v>
      </c>
      <c r="L19" s="2138"/>
      <c r="M19" s="2128"/>
      <c r="N19" s="2128"/>
      <c r="O19" s="2137"/>
      <c r="P19" s="3433"/>
      <c r="Q19" s="1569" t="str">
        <f>B19</f>
        <v>商业繁华度</v>
      </c>
      <c r="R19" s="1570" t="s">
        <v>8</v>
      </c>
      <c r="S19" s="1571">
        <f>F19</f>
        <v>102</v>
      </c>
      <c r="T19" s="1570" t="s">
        <v>8</v>
      </c>
      <c r="U19" s="1571">
        <f>H19</f>
        <v>102</v>
      </c>
      <c r="V19" s="1570" t="s">
        <v>8</v>
      </c>
      <c r="W19" s="1571">
        <f>J19</f>
        <v>98</v>
      </c>
      <c r="X19" s="1564"/>
      <c r="Y19" s="3433"/>
      <c r="Z19" s="1572" t="str">
        <f>Q19</f>
        <v>商业繁华度</v>
      </c>
      <c r="AA19" s="1573">
        <f t="shared" si="3"/>
        <v>0.98039215686274506</v>
      </c>
      <c r="AB19" s="1573">
        <f t="shared" si="4"/>
        <v>0.98039215686274506</v>
      </c>
      <c r="AC19" s="1573">
        <f t="shared" si="5"/>
        <v>1.0204081632653061</v>
      </c>
    </row>
    <row r="20" spans="1:29" ht="24" customHeight="1">
      <c r="A20" s="530"/>
      <c r="B20" s="564"/>
      <c r="C20" s="552" t="s">
        <v>3057</v>
      </c>
      <c r="D20" s="561"/>
      <c r="E20" s="556" t="s">
        <v>3031</v>
      </c>
      <c r="F20" s="557"/>
      <c r="G20" s="556" t="s">
        <v>3031</v>
      </c>
      <c r="H20" s="553"/>
      <c r="I20" s="556" t="s">
        <v>3123</v>
      </c>
      <c r="J20" s="553"/>
      <c r="K20" s="529"/>
      <c r="L20" s="2138"/>
      <c r="M20" s="2128"/>
      <c r="N20" s="2128"/>
      <c r="O20" s="2137"/>
      <c r="P20" s="3433"/>
      <c r="Q20" s="1569"/>
      <c r="R20" s="1570"/>
      <c r="S20" s="1571"/>
      <c r="T20" s="1570"/>
      <c r="U20" s="1571"/>
      <c r="V20" s="1570"/>
      <c r="W20" s="1571"/>
      <c r="X20" s="1564"/>
      <c r="Y20" s="3433"/>
      <c r="Z20" s="1572"/>
      <c r="AA20" s="1573">
        <v>1</v>
      </c>
      <c r="AB20" s="1573">
        <v>1</v>
      </c>
      <c r="AC20" s="1573">
        <v>1</v>
      </c>
    </row>
    <row r="21" spans="1:29" ht="20.25" hidden="1">
      <c r="A21" s="530"/>
      <c r="B21" s="558" t="s">
        <v>539</v>
      </c>
      <c r="C21" s="559" t="str">
        <f>估价对象房地状况!C17</f>
        <v>——</v>
      </c>
      <c r="D21" s="569">
        <v>100</v>
      </c>
      <c r="E21" s="570"/>
      <c r="F21" s="563">
        <f>SUMIF(94:94,E22,95:95)-SUMIF(94:94,C22,95:95)+100</f>
        <v>100</v>
      </c>
      <c r="G21" s="568"/>
      <c r="H21" s="557">
        <f>SUMIF(94:94,G22,95:95)-SUMIF(94:94,C22,95:95)+100</f>
        <v>100</v>
      </c>
      <c r="I21" s="570"/>
      <c r="J21" s="557">
        <f>SUMIF(94:94,I22,95:95)-SUMIF(94:94,C22,95:95)+100</f>
        <v>100</v>
      </c>
      <c r="K21" s="533"/>
      <c r="L21" s="2138"/>
      <c r="M21" s="2128"/>
      <c r="N21" s="2128"/>
      <c r="O21" s="2137"/>
      <c r="P21" s="3433"/>
      <c r="Q21" s="1569" t="str">
        <f>B21</f>
        <v>办公集聚程度</v>
      </c>
      <c r="R21" s="1570" t="s">
        <v>8</v>
      </c>
      <c r="S21" s="1571">
        <f>F21</f>
        <v>100</v>
      </c>
      <c r="T21" s="1570" t="s">
        <v>8</v>
      </c>
      <c r="U21" s="1571">
        <f>H21</f>
        <v>100</v>
      </c>
      <c r="V21" s="1570" t="s">
        <v>8</v>
      </c>
      <c r="W21" s="1571">
        <f>J21</f>
        <v>100</v>
      </c>
      <c r="X21" s="1564"/>
      <c r="Y21" s="3433"/>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38"/>
      <c r="M22" s="2128"/>
      <c r="N22" s="2128"/>
      <c r="O22" s="2137"/>
      <c r="P22" s="3433"/>
      <c r="Q22" s="1569"/>
      <c r="R22" s="1570"/>
      <c r="S22" s="1571"/>
      <c r="T22" s="1570"/>
      <c r="U22" s="1571"/>
      <c r="V22" s="1570"/>
      <c r="W22" s="1571"/>
      <c r="X22" s="1564"/>
      <c r="Y22" s="3433"/>
      <c r="Z22" s="1572"/>
      <c r="AA22" s="1573">
        <v>1</v>
      </c>
      <c r="AB22" s="1573">
        <v>1</v>
      </c>
      <c r="AC22" s="1573">
        <v>1</v>
      </c>
    </row>
    <row r="23" spans="1:29" ht="115.5" customHeight="1">
      <c r="A23" s="530"/>
      <c r="B23" s="558" t="s">
        <v>540</v>
      </c>
      <c r="C23" s="571" t="str">
        <f>估价对象房地状况!C18</f>
        <v>周边有4路、45路、98路等多条公交线路，邻近东二环北路，路网密集度一般、停车较便捷，综合评价交通便捷度较好。</v>
      </c>
      <c r="D23" s="561">
        <v>100</v>
      </c>
      <c r="E23" s="562" t="s">
        <v>3210</v>
      </c>
      <c r="F23" s="563">
        <f>SUMIF(96:96,E24,97:97)-SUMIF(96:96,C24,97:97)+100</f>
        <v>100</v>
      </c>
      <c r="G23" s="562" t="s">
        <v>3220</v>
      </c>
      <c r="H23" s="557">
        <f>SUMIF(96:96,G24,97:97)-SUMIF(96:96,C24,97:97)+100</f>
        <v>100</v>
      </c>
      <c r="I23" s="3188" t="s">
        <v>3224</v>
      </c>
      <c r="J23" s="557">
        <f>SUMIF(96:96,I24,97:97)-SUMIF(96:96,C24,97:97)+100</f>
        <v>96</v>
      </c>
      <c r="K23" s="533">
        <v>2</v>
      </c>
      <c r="L23" s="2138"/>
      <c r="M23" s="2128"/>
      <c r="N23" s="2128"/>
      <c r="O23" s="2137"/>
      <c r="P23" s="3433"/>
      <c r="Q23" s="1569" t="str">
        <f>B23</f>
        <v>交通便捷度</v>
      </c>
      <c r="R23" s="1570" t="s">
        <v>8</v>
      </c>
      <c r="S23" s="1571">
        <f>F23</f>
        <v>100</v>
      </c>
      <c r="T23" s="1570" t="s">
        <v>8</v>
      </c>
      <c r="U23" s="1571">
        <f>H23</f>
        <v>100</v>
      </c>
      <c r="V23" s="1570" t="s">
        <v>8</v>
      </c>
      <c r="W23" s="1571">
        <f>J23</f>
        <v>96</v>
      </c>
      <c r="X23" s="1564"/>
      <c r="Y23" s="3433"/>
      <c r="Z23" s="1572" t="str">
        <f>Q23</f>
        <v>交通便捷度</v>
      </c>
      <c r="AA23" s="1573">
        <f t="shared" si="3"/>
        <v>1</v>
      </c>
      <c r="AB23" s="1573">
        <f t="shared" si="4"/>
        <v>1</v>
      </c>
      <c r="AC23" s="1573">
        <f t="shared" si="5"/>
        <v>1.0416666666666667</v>
      </c>
    </row>
    <row r="24" spans="1:29" ht="20.25">
      <c r="A24" s="530"/>
      <c r="B24" s="576"/>
      <c r="C24" s="552" t="s">
        <v>3031</v>
      </c>
      <c r="D24" s="555"/>
      <c r="E24" s="556" t="s">
        <v>3031</v>
      </c>
      <c r="F24" s="553"/>
      <c r="G24" s="556" t="s">
        <v>3031</v>
      </c>
      <c r="H24" s="553"/>
      <c r="I24" s="556" t="s">
        <v>3123</v>
      </c>
      <c r="J24" s="553"/>
      <c r="K24" s="529"/>
      <c r="L24" s="2138"/>
      <c r="M24" s="2128"/>
      <c r="N24" s="2128"/>
      <c r="O24" s="2137"/>
      <c r="P24" s="3433"/>
      <c r="Q24" s="1569"/>
      <c r="R24" s="1570"/>
      <c r="S24" s="1571"/>
      <c r="T24" s="1570"/>
      <c r="U24" s="1571"/>
      <c r="V24" s="1570"/>
      <c r="W24" s="1571"/>
      <c r="X24" s="1564"/>
      <c r="Y24" s="3433"/>
      <c r="Z24" s="1572"/>
      <c r="AA24" s="1573">
        <v>1</v>
      </c>
      <c r="AB24" s="1573">
        <v>1</v>
      </c>
      <c r="AC24" s="1573">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8"/>
      <c r="M25" s="2128"/>
      <c r="N25" s="2128"/>
      <c r="O25" s="2137"/>
      <c r="P25" s="3433"/>
      <c r="Q25" s="1569" t="str">
        <f t="shared" ref="Q25:Q39" si="8">B25</f>
        <v>区域土地利用方向</v>
      </c>
      <c r="R25" s="1570" t="s">
        <v>8</v>
      </c>
      <c r="S25" s="1571">
        <f>F25</f>
        <v>100</v>
      </c>
      <c r="T25" s="1570" t="s">
        <v>8</v>
      </c>
      <c r="U25" s="1571">
        <f>H25</f>
        <v>100</v>
      </c>
      <c r="V25" s="1570" t="s">
        <v>8</v>
      </c>
      <c r="W25" s="1571">
        <f>J25</f>
        <v>100</v>
      </c>
      <c r="X25" s="1564"/>
      <c r="Y25" s="3433"/>
      <c r="Z25" s="1572" t="str">
        <f>Q25</f>
        <v>区域土地利用方向</v>
      </c>
      <c r="AA25" s="1573">
        <f t="shared" si="3"/>
        <v>1</v>
      </c>
      <c r="AB25" s="1573">
        <f t="shared" si="4"/>
        <v>1</v>
      </c>
      <c r="AC25" s="1573">
        <f t="shared" si="5"/>
        <v>1</v>
      </c>
    </row>
    <row r="26" spans="1:29" ht="20.25">
      <c r="A26" s="513"/>
      <c r="B26" s="1005"/>
      <c r="C26" s="552" t="s">
        <v>3031</v>
      </c>
      <c r="D26" s="555"/>
      <c r="E26" s="556" t="s">
        <v>3031</v>
      </c>
      <c r="F26" s="553"/>
      <c r="G26" s="556" t="s">
        <v>3031</v>
      </c>
      <c r="H26" s="553"/>
      <c r="I26" s="556" t="s">
        <v>3031</v>
      </c>
      <c r="J26" s="553"/>
      <c r="K26" s="529"/>
      <c r="L26" s="2138"/>
      <c r="M26" s="2128"/>
      <c r="N26" s="2128"/>
      <c r="O26" s="2137"/>
      <c r="P26" s="3433"/>
      <c r="Q26" s="1569"/>
      <c r="R26" s="1570"/>
      <c r="S26" s="1571"/>
      <c r="T26" s="1570"/>
      <c r="U26" s="1571"/>
      <c r="V26" s="1570"/>
      <c r="W26" s="1571"/>
      <c r="X26" s="1564"/>
      <c r="Y26" s="3433"/>
      <c r="Z26" s="1572"/>
      <c r="AA26" s="1573"/>
      <c r="AB26" s="1573"/>
      <c r="AC26" s="1573"/>
    </row>
    <row r="27" spans="1:29" ht="147.75" customHeight="1">
      <c r="A27" s="513"/>
      <c r="B27" s="576" t="s">
        <v>542</v>
      </c>
      <c r="C27" s="559" t="str">
        <f>估价对象房地状况!C20</f>
        <v>所在区域有三角河公园，自然环境一般；无博物馆等人文设施，人文环境差；综合评价环境状况较差。</v>
      </c>
      <c r="D27" s="561">
        <v>100</v>
      </c>
      <c r="E27" s="3188" t="s">
        <v>3211</v>
      </c>
      <c r="F27" s="557">
        <f>SUMIF(100:100,E28,101:101)-SUMIF(100:100,C28,101:101)+100</f>
        <v>100</v>
      </c>
      <c r="G27" s="3188" t="s">
        <v>3221</v>
      </c>
      <c r="H27" s="557">
        <f>SUMIF(100:100,G28,101:101)-SUMIF(100:100,C28,101:101)+100</f>
        <v>98</v>
      </c>
      <c r="I27" s="3188" t="s">
        <v>3225</v>
      </c>
      <c r="J27" s="557">
        <f>SUMIF(100:100,I28,101:101)-SUMIF(100:100,C28,101:101)+100</f>
        <v>104</v>
      </c>
      <c r="K27" s="533">
        <v>2</v>
      </c>
      <c r="L27" s="2138"/>
      <c r="M27" s="2128"/>
      <c r="N27" s="2128"/>
      <c r="O27" s="2137"/>
      <c r="P27" s="3433"/>
      <c r="Q27" s="1569" t="str">
        <f t="shared" si="8"/>
        <v>自然及人文环境状况</v>
      </c>
      <c r="R27" s="1570" t="s">
        <v>8</v>
      </c>
      <c r="S27" s="1571">
        <f>F27</f>
        <v>100</v>
      </c>
      <c r="T27" s="1570" t="s">
        <v>8</v>
      </c>
      <c r="U27" s="1571">
        <f>H27</f>
        <v>98</v>
      </c>
      <c r="V27" s="1570" t="s">
        <v>8</v>
      </c>
      <c r="W27" s="1571">
        <f>J27</f>
        <v>104</v>
      </c>
      <c r="X27" s="1564"/>
      <c r="Y27" s="3433"/>
      <c r="Z27" s="1572" t="str">
        <f>Q27</f>
        <v>自然及人文环境状况</v>
      </c>
      <c r="AA27" s="1573">
        <f t="shared" si="3"/>
        <v>1</v>
      </c>
      <c r="AB27" s="1573">
        <f t="shared" si="4"/>
        <v>1.0204081632653061</v>
      </c>
      <c r="AC27" s="1573">
        <f t="shared" si="5"/>
        <v>0.96153846153846156</v>
      </c>
    </row>
    <row r="28" spans="1:29" ht="20.25">
      <c r="A28" s="513"/>
      <c r="B28" s="564"/>
      <c r="C28" s="552" t="s">
        <v>3123</v>
      </c>
      <c r="D28" s="555"/>
      <c r="E28" s="574" t="s">
        <v>3123</v>
      </c>
      <c r="F28" s="553"/>
      <c r="G28" s="574" t="s">
        <v>3222</v>
      </c>
      <c r="H28" s="553"/>
      <c r="I28" s="574" t="s">
        <v>3031</v>
      </c>
      <c r="J28" s="553"/>
      <c r="K28" s="529"/>
      <c r="L28" s="2138"/>
      <c r="M28" s="2128"/>
      <c r="N28" s="2128"/>
      <c r="O28" s="2137"/>
      <c r="P28" s="3433"/>
      <c r="Q28" s="1569"/>
      <c r="R28" s="1570"/>
      <c r="S28" s="1571"/>
      <c r="T28" s="1570"/>
      <c r="U28" s="1571"/>
      <c r="V28" s="1570"/>
      <c r="W28" s="1571"/>
      <c r="X28" s="1564"/>
      <c r="Y28" s="3433"/>
      <c r="Z28" s="1572"/>
      <c r="AA28" s="1573">
        <v>1</v>
      </c>
      <c r="AB28" s="1573">
        <v>1</v>
      </c>
      <c r="AC28" s="1573">
        <v>1</v>
      </c>
    </row>
    <row r="29" spans="1:29" s="1218" customFormat="1" ht="40.5">
      <c r="A29" s="575"/>
      <c r="B29" s="2587" t="s">
        <v>2540</v>
      </c>
      <c r="C29" s="571" t="str">
        <f>估价对象房地状况!C21</f>
        <v>所在区域公共配套设施齐备情况较好。</v>
      </c>
      <c r="D29" s="561">
        <v>100</v>
      </c>
      <c r="E29" s="3188" t="s">
        <v>3212</v>
      </c>
      <c r="F29" s="557">
        <f>SUMIF(102:102,E30,103:103)-SUMIF(102:102,C30,103:103)+100</f>
        <v>100</v>
      </c>
      <c r="G29" s="3188" t="s">
        <v>3212</v>
      </c>
      <c r="H29" s="557">
        <f>SUMIF(102:102,G30,103:103)-SUMIF(102:102,C30,103:103)+100</f>
        <v>100</v>
      </c>
      <c r="I29" s="3188" t="s">
        <v>3212</v>
      </c>
      <c r="J29" s="557">
        <f>SUMIF(102:102,I30,103:103)-SUMIF(102:102,C30,103:103)+100</f>
        <v>100</v>
      </c>
      <c r="K29" s="533">
        <v>2</v>
      </c>
      <c r="L29" s="2131"/>
      <c r="M29" s="2128"/>
      <c r="N29" s="2128"/>
      <c r="O29" s="2133"/>
      <c r="P29" s="3433"/>
      <c r="Q29" s="1149" t="str">
        <f t="shared" si="8"/>
        <v>公共配套设施</v>
      </c>
      <c r="R29" s="1565" t="s">
        <v>8</v>
      </c>
      <c r="S29" s="1566">
        <f>F29</f>
        <v>100</v>
      </c>
      <c r="T29" s="1565" t="s">
        <v>8</v>
      </c>
      <c r="U29" s="1566">
        <f>H29</f>
        <v>100</v>
      </c>
      <c r="V29" s="1565" t="s">
        <v>8</v>
      </c>
      <c r="W29" s="1566">
        <f>J29</f>
        <v>100</v>
      </c>
      <c r="X29" s="1567"/>
      <c r="Y29" s="3433"/>
      <c r="Z29" s="1148" t="str">
        <f>Q29</f>
        <v>公共配套设施</v>
      </c>
      <c r="AA29" s="1573">
        <f>D29/F29</f>
        <v>1</v>
      </c>
      <c r="AB29" s="1573">
        <f>D29/H29</f>
        <v>1</v>
      </c>
      <c r="AC29" s="1573">
        <f>D29/J29</f>
        <v>1</v>
      </c>
    </row>
    <row r="30" spans="1:29" s="1218" customFormat="1" ht="20.25">
      <c r="A30" s="575"/>
      <c r="B30" s="564"/>
      <c r="C30" s="552" t="s">
        <v>3031</v>
      </c>
      <c r="D30" s="555"/>
      <c r="E30" s="574" t="s">
        <v>3031</v>
      </c>
      <c r="F30" s="553"/>
      <c r="G30" s="574" t="s">
        <v>3031</v>
      </c>
      <c r="H30" s="553"/>
      <c r="I30" s="574" t="s">
        <v>3031</v>
      </c>
      <c r="J30" s="553"/>
      <c r="K30" s="529"/>
      <c r="L30" s="2131"/>
      <c r="M30" s="2128"/>
      <c r="N30" s="2128"/>
      <c r="O30" s="2133"/>
      <c r="P30" s="3433"/>
      <c r="Q30" s="1149"/>
      <c r="R30" s="1565"/>
      <c r="S30" s="1566"/>
      <c r="T30" s="1565"/>
      <c r="U30" s="1566"/>
      <c r="V30" s="1565"/>
      <c r="W30" s="1566"/>
      <c r="X30" s="1567"/>
      <c r="Y30" s="3433"/>
      <c r="Z30" s="1148"/>
      <c r="AA30" s="1573">
        <v>1</v>
      </c>
      <c r="AB30" s="1573">
        <v>1</v>
      </c>
      <c r="AC30" s="1573">
        <v>1</v>
      </c>
    </row>
    <row r="31" spans="1:29" s="1218" customFormat="1" ht="28.5">
      <c r="A31" s="575"/>
      <c r="B31" s="2587" t="s">
        <v>2541</v>
      </c>
      <c r="C31" s="571" t="str">
        <f>估价对象房地状况!C22</f>
        <v>所在区域基础设施水平达“七通”。</v>
      </c>
      <c r="D31" s="561">
        <v>100</v>
      </c>
      <c r="E31" s="562" t="s">
        <v>3216</v>
      </c>
      <c r="F31" s="557">
        <f>SUMIF(104:104,E32,105:105)-SUMIF(104:104,C32,105:105)+100</f>
        <v>100</v>
      </c>
      <c r="G31" s="562" t="s">
        <v>3216</v>
      </c>
      <c r="H31" s="557">
        <f>SUMIF(104:104,G32,105:105)-SUMIF(104:104,C32,105:105)+100</f>
        <v>100</v>
      </c>
      <c r="I31" s="562" t="s">
        <v>3216</v>
      </c>
      <c r="J31" s="557">
        <f>SUMIF(104:104,I32,105:105)-SUMIF(104:104,C32,105:105)+100</f>
        <v>100</v>
      </c>
      <c r="K31" s="533">
        <v>2</v>
      </c>
      <c r="L31" s="2131"/>
      <c r="M31" s="2128"/>
      <c r="N31" s="2128"/>
      <c r="O31" s="2133"/>
      <c r="P31" s="3433"/>
      <c r="Q31" s="2574" t="str">
        <f t="shared" ref="Q31" si="9">B31</f>
        <v>基础设施水平</v>
      </c>
      <c r="R31" s="1565" t="s">
        <v>8</v>
      </c>
      <c r="S31" s="1566">
        <f>F31</f>
        <v>100</v>
      </c>
      <c r="T31" s="1565" t="s">
        <v>8</v>
      </c>
      <c r="U31" s="1566">
        <f>H31</f>
        <v>100</v>
      </c>
      <c r="V31" s="1565" t="s">
        <v>8</v>
      </c>
      <c r="W31" s="1566">
        <f>J31</f>
        <v>100</v>
      </c>
      <c r="X31" s="1567"/>
      <c r="Y31" s="3433"/>
      <c r="Z31" s="2571" t="str">
        <f>Q31</f>
        <v>基础设施水平</v>
      </c>
      <c r="AA31" s="1573">
        <f>D31/F31</f>
        <v>1</v>
      </c>
      <c r="AB31" s="1573">
        <f>D31/H31</f>
        <v>1</v>
      </c>
      <c r="AC31" s="1573">
        <f>D31/J31</f>
        <v>1</v>
      </c>
    </row>
    <row r="32" spans="1:29" s="1218" customFormat="1" ht="20.25">
      <c r="A32" s="575"/>
      <c r="B32" s="564"/>
      <c r="C32" s="577" t="s">
        <v>3124</v>
      </c>
      <c r="D32" s="555"/>
      <c r="E32" s="2588" t="s">
        <v>3124</v>
      </c>
      <c r="F32" s="553"/>
      <c r="G32" s="577" t="s">
        <v>3124</v>
      </c>
      <c r="H32" s="553"/>
      <c r="I32" s="577" t="s">
        <v>3124</v>
      </c>
      <c r="J32" s="553"/>
      <c r="K32" s="529"/>
      <c r="L32" s="2131"/>
      <c r="M32" s="2128"/>
      <c r="N32" s="2128"/>
      <c r="O32" s="2133"/>
      <c r="P32" s="3433"/>
      <c r="Q32" s="2574"/>
      <c r="R32" s="1565"/>
      <c r="S32" s="1566"/>
      <c r="T32" s="1565"/>
      <c r="U32" s="1566"/>
      <c r="V32" s="1565"/>
      <c r="W32" s="1566"/>
      <c r="X32" s="1567"/>
      <c r="Y32" s="3433"/>
      <c r="Z32" s="2571"/>
      <c r="AA32" s="1573">
        <v>1</v>
      </c>
      <c r="AB32" s="1573">
        <v>1</v>
      </c>
      <c r="AC32" s="1573">
        <v>1</v>
      </c>
    </row>
    <row r="33" spans="1:29" ht="20.25">
      <c r="A33" s="530"/>
      <c r="B33" s="564" t="s">
        <v>544</v>
      </c>
      <c r="C33" s="578" t="s">
        <v>3056</v>
      </c>
      <c r="D33" s="573">
        <v>100</v>
      </c>
      <c r="E33" s="581" t="s">
        <v>3121</v>
      </c>
      <c r="F33" s="538">
        <f>SUMIF(106:106,E33,107:107)-SUMIF(106:106,C33,107:107)+100</f>
        <v>102</v>
      </c>
      <c r="G33" s="578" t="s">
        <v>3122</v>
      </c>
      <c r="H33" s="538">
        <f>SUMIF(106:106,G33,107:107)-SUMIF(106:106,C33,107:107)+100</f>
        <v>104</v>
      </c>
      <c r="I33" s="578" t="s">
        <v>3122</v>
      </c>
      <c r="J33" s="538">
        <f>SUMIF(106:106,I33,107:107)-SUMIF(106:106,C33,107:107)+100</f>
        <v>104</v>
      </c>
      <c r="K33" s="533">
        <v>2</v>
      </c>
      <c r="L33" s="2138"/>
      <c r="M33" s="2128"/>
      <c r="N33" s="2128"/>
      <c r="O33" s="2137"/>
      <c r="P33" s="3433"/>
      <c r="Q33" s="1569" t="str">
        <f t="shared" si="8"/>
        <v>临街状况</v>
      </c>
      <c r="R33" s="1570" t="s">
        <v>8</v>
      </c>
      <c r="S33" s="1571">
        <f t="shared" ref="S33:S47" si="10">F33</f>
        <v>102</v>
      </c>
      <c r="T33" s="1570" t="s">
        <v>8</v>
      </c>
      <c r="U33" s="1571">
        <f t="shared" ref="U33:U47" si="11">H33</f>
        <v>104</v>
      </c>
      <c r="V33" s="1570" t="s">
        <v>8</v>
      </c>
      <c r="W33" s="1571">
        <f t="shared" ref="W33:W47" si="12">J33</f>
        <v>104</v>
      </c>
      <c r="X33" s="1564"/>
      <c r="Y33" s="3433"/>
      <c r="Z33" s="1572" t="str">
        <f t="shared" ref="Z33:Z47" si="13">Q33</f>
        <v>临街状况</v>
      </c>
      <c r="AA33" s="1573">
        <f t="shared" si="3"/>
        <v>0.98039215686274506</v>
      </c>
      <c r="AB33" s="1573">
        <f t="shared" si="4"/>
        <v>0.96153846153846156</v>
      </c>
      <c r="AC33" s="1573">
        <f t="shared" si="5"/>
        <v>0.96153846153846156</v>
      </c>
    </row>
    <row r="34" spans="1:29" ht="27">
      <c r="A34" s="530"/>
      <c r="B34" s="576" t="s">
        <v>545</v>
      </c>
      <c r="C34" s="3189" t="s">
        <v>3125</v>
      </c>
      <c r="D34" s="561">
        <v>100</v>
      </c>
      <c r="E34" s="3188" t="s">
        <v>3226</v>
      </c>
      <c r="F34" s="557">
        <f>SUMIF(108:108,E35,109:109)-SUMIF(108:108,C35,109:109)+100</f>
        <v>97</v>
      </c>
      <c r="G34" s="3188" t="s">
        <v>3227</v>
      </c>
      <c r="H34" s="557">
        <f>SUMIF(108:108,G35,109:109)-SUMIF(108:108,C35,109:109)+100</f>
        <v>97</v>
      </c>
      <c r="I34" s="3188" t="s">
        <v>3228</v>
      </c>
      <c r="J34" s="557">
        <f>SUMIF(108:108,I35,109:109)-SUMIF(108:108,C35,109:109)+100</f>
        <v>97</v>
      </c>
      <c r="K34" s="533">
        <v>1</v>
      </c>
      <c r="L34" s="2138"/>
      <c r="M34" s="2128"/>
      <c r="N34" s="2128"/>
      <c r="O34" s="2137"/>
      <c r="P34" s="3433"/>
      <c r="Q34" s="1569" t="str">
        <f t="shared" si="8"/>
        <v>毗邻道路的类型与等级</v>
      </c>
      <c r="R34" s="1570" t="s">
        <v>8</v>
      </c>
      <c r="S34" s="1571">
        <f t="shared" si="10"/>
        <v>97</v>
      </c>
      <c r="T34" s="1570" t="s">
        <v>8</v>
      </c>
      <c r="U34" s="1571">
        <f t="shared" si="11"/>
        <v>97</v>
      </c>
      <c r="V34" s="1570" t="s">
        <v>8</v>
      </c>
      <c r="W34" s="1571">
        <f t="shared" si="12"/>
        <v>97</v>
      </c>
      <c r="X34" s="1564"/>
      <c r="Y34" s="3433"/>
      <c r="Z34" s="1572" t="str">
        <f t="shared" si="13"/>
        <v>毗邻道路的类型与等级</v>
      </c>
      <c r="AA34" s="1573">
        <f t="shared" si="3"/>
        <v>1.0309278350515463</v>
      </c>
      <c r="AB34" s="1573">
        <f t="shared" si="4"/>
        <v>1.0309278350515463</v>
      </c>
      <c r="AC34" s="1573">
        <f t="shared" si="5"/>
        <v>1.0309278350515463</v>
      </c>
    </row>
    <row r="35" spans="1:29" ht="20.25">
      <c r="A35" s="530"/>
      <c r="B35" s="564"/>
      <c r="C35" s="552" t="s">
        <v>3127</v>
      </c>
      <c r="D35" s="555"/>
      <c r="E35" s="574" t="s">
        <v>3131</v>
      </c>
      <c r="F35" s="553"/>
      <c r="G35" s="574" t="s">
        <v>3131</v>
      </c>
      <c r="H35" s="553"/>
      <c r="I35" s="574" t="s">
        <v>3131</v>
      </c>
      <c r="J35" s="553"/>
      <c r="K35" s="579"/>
      <c r="L35" s="2138"/>
      <c r="M35" s="2128"/>
      <c r="N35" s="2128"/>
      <c r="O35" s="2137"/>
      <c r="P35" s="3433"/>
      <c r="Q35" s="1569"/>
      <c r="R35" s="1570"/>
      <c r="S35" s="1571"/>
      <c r="T35" s="1570"/>
      <c r="U35" s="1571"/>
      <c r="V35" s="1570"/>
      <c r="W35" s="1571"/>
      <c r="X35" s="1564"/>
      <c r="Y35" s="3433"/>
      <c r="Z35" s="1572"/>
      <c r="AA35" s="1573">
        <v>1</v>
      </c>
      <c r="AB35" s="1573">
        <v>1</v>
      </c>
      <c r="AC35" s="1573">
        <v>1</v>
      </c>
    </row>
    <row r="36" spans="1:29" ht="20.25">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8"/>
      <c r="M36" s="2128"/>
      <c r="N36" s="2128"/>
      <c r="O36" s="2137"/>
      <c r="P36" s="3433"/>
      <c r="Q36" s="1569" t="str">
        <f t="shared" si="8"/>
        <v>土地级别</v>
      </c>
      <c r="R36" s="1570" t="s">
        <v>8</v>
      </c>
      <c r="S36" s="1571">
        <f t="shared" si="10"/>
        <v>100</v>
      </c>
      <c r="T36" s="1570" t="s">
        <v>8</v>
      </c>
      <c r="U36" s="1571">
        <f t="shared" si="11"/>
        <v>100</v>
      </c>
      <c r="V36" s="1570" t="s">
        <v>8</v>
      </c>
      <c r="W36" s="1571">
        <f t="shared" si="12"/>
        <v>100</v>
      </c>
      <c r="X36" s="1564"/>
      <c r="Y36" s="3433"/>
      <c r="Z36" s="1572" t="str">
        <f t="shared" si="13"/>
        <v>土地级别</v>
      </c>
      <c r="AA36" s="1573">
        <f t="shared" si="3"/>
        <v>1</v>
      </c>
      <c r="AB36" s="1573">
        <f t="shared" si="4"/>
        <v>1</v>
      </c>
      <c r="AC36" s="1573">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433"/>
      <c r="Q37" s="1569">
        <f t="shared" si="8"/>
        <v>111</v>
      </c>
      <c r="R37" s="1570" t="s">
        <v>8</v>
      </c>
      <c r="S37" s="1571">
        <f t="shared" si="10"/>
        <v>100</v>
      </c>
      <c r="T37" s="1570" t="s">
        <v>8</v>
      </c>
      <c r="U37" s="1571">
        <f t="shared" si="11"/>
        <v>100</v>
      </c>
      <c r="V37" s="1570" t="s">
        <v>8</v>
      </c>
      <c r="W37" s="1571">
        <f t="shared" si="12"/>
        <v>100</v>
      </c>
      <c r="X37" s="1564"/>
      <c r="Y37" s="3433"/>
      <c r="Z37" s="1572">
        <f t="shared" si="13"/>
        <v>111</v>
      </c>
      <c r="AA37" s="1573">
        <f t="shared" si="3"/>
        <v>1</v>
      </c>
      <c r="AB37" s="1573">
        <f t="shared" si="4"/>
        <v>1</v>
      </c>
      <c r="AC37" s="1573">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434" t="s">
        <v>547</v>
      </c>
      <c r="Q38" s="1569">
        <f t="shared" si="8"/>
        <v>111</v>
      </c>
      <c r="R38" s="1570" t="s">
        <v>8</v>
      </c>
      <c r="S38" s="1571">
        <f t="shared" si="10"/>
        <v>100</v>
      </c>
      <c r="T38" s="1570" t="s">
        <v>8</v>
      </c>
      <c r="U38" s="1571">
        <f t="shared" si="11"/>
        <v>100</v>
      </c>
      <c r="V38" s="1570" t="s">
        <v>8</v>
      </c>
      <c r="W38" s="1571">
        <f t="shared" si="12"/>
        <v>100</v>
      </c>
      <c r="X38" s="1564"/>
      <c r="Y38" s="3435" t="s">
        <v>547</v>
      </c>
      <c r="Z38" s="1572">
        <f t="shared" si="13"/>
        <v>111</v>
      </c>
      <c r="AA38" s="1573">
        <f t="shared" si="3"/>
        <v>1</v>
      </c>
      <c r="AB38" s="1573">
        <f t="shared" si="4"/>
        <v>1</v>
      </c>
      <c r="AC38" s="1573">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435"/>
      <c r="Q39" s="1569">
        <f t="shared" si="8"/>
        <v>111</v>
      </c>
      <c r="R39" s="1574" t="s">
        <v>8</v>
      </c>
      <c r="S39" s="1575">
        <f t="shared" si="10"/>
        <v>100</v>
      </c>
      <c r="T39" s="1574" t="s">
        <v>8</v>
      </c>
      <c r="U39" s="1575">
        <f t="shared" si="11"/>
        <v>100</v>
      </c>
      <c r="V39" s="1574" t="s">
        <v>8</v>
      </c>
      <c r="W39" s="1575">
        <f t="shared" si="12"/>
        <v>100</v>
      </c>
      <c r="X39" s="1576"/>
      <c r="Y39" s="3435"/>
      <c r="Z39" s="1577">
        <f t="shared" si="13"/>
        <v>111</v>
      </c>
      <c r="AA39" s="1573">
        <f t="shared" si="3"/>
        <v>1</v>
      </c>
      <c r="AB39" s="1573">
        <f t="shared" si="4"/>
        <v>1</v>
      </c>
      <c r="AC39" s="1573">
        <f t="shared" si="5"/>
        <v>1</v>
      </c>
    </row>
    <row r="40" spans="1:29" ht="20.25">
      <c r="A40" s="2903" t="s">
        <v>2747</v>
      </c>
      <c r="B40" s="593" t="s">
        <v>549</v>
      </c>
      <c r="C40" s="594">
        <v>55925.4</v>
      </c>
      <c r="D40" s="595">
        <v>100</v>
      </c>
      <c r="E40" s="594">
        <f>土地案例!$D$2</f>
        <v>8159.81</v>
      </c>
      <c r="F40" s="595">
        <f>LOOKUP(E40,119:119,120:120)-LOOKUP(C40,119:119,120:120)+100</f>
        <v>98</v>
      </c>
      <c r="G40" s="594">
        <f>土地案例!$D$3</f>
        <v>70574.3</v>
      </c>
      <c r="H40" s="595">
        <f>LOOKUP(G40,119:119,120:120)-LOOKUP(C40,119:119,120:120)+100</f>
        <v>101</v>
      </c>
      <c r="I40" s="596">
        <f>土地案例!$D$4</f>
        <v>38062.269999999997</v>
      </c>
      <c r="J40" s="595">
        <f>LOOKUP(I40,119:119,120:120)-LOOKUP(C40,119:119,120:120)+100</f>
        <v>99</v>
      </c>
      <c r="K40" s="579"/>
      <c r="L40" s="2138"/>
      <c r="M40" s="2128"/>
      <c r="N40" s="2128"/>
      <c r="O40" s="2137"/>
      <c r="P40" s="3435"/>
      <c r="Q40" s="1569" t="str">
        <f>B40</f>
        <v>宗地面积</v>
      </c>
      <c r="R40" s="1570" t="s">
        <v>8</v>
      </c>
      <c r="S40" s="1571">
        <f t="shared" si="10"/>
        <v>98</v>
      </c>
      <c r="T40" s="1570" t="s">
        <v>8</v>
      </c>
      <c r="U40" s="1571">
        <f t="shared" si="11"/>
        <v>101</v>
      </c>
      <c r="V40" s="1570" t="s">
        <v>8</v>
      </c>
      <c r="W40" s="1571">
        <f t="shared" si="12"/>
        <v>99</v>
      </c>
      <c r="X40" s="1564"/>
      <c r="Y40" s="3435"/>
      <c r="Z40" s="1572" t="str">
        <f t="shared" si="13"/>
        <v>宗地面积</v>
      </c>
      <c r="AA40" s="1573">
        <f t="shared" si="3"/>
        <v>1.0204081632653061</v>
      </c>
      <c r="AB40" s="1573">
        <f t="shared" si="4"/>
        <v>0.99009900990099009</v>
      </c>
      <c r="AC40" s="1573">
        <f t="shared" si="5"/>
        <v>1.0101010101010102</v>
      </c>
    </row>
    <row r="41" spans="1:29" ht="20.25">
      <c r="A41" s="592"/>
      <c r="B41" s="525" t="s">
        <v>550</v>
      </c>
      <c r="C41" s="597" t="s">
        <v>3028</v>
      </c>
      <c r="D41" s="538">
        <v>100</v>
      </c>
      <c r="E41" s="597" t="s">
        <v>3028</v>
      </c>
      <c r="F41" s="538">
        <f>SUMIF(121:121,E41,122:122)-SUMIF(121:121,C41,122:122)+100</f>
        <v>100</v>
      </c>
      <c r="G41" s="597" t="s">
        <v>3028</v>
      </c>
      <c r="H41" s="538">
        <f>SUMIF(121:121,G41,122:122)-SUMIF(121:121,C41,122:122)+100</f>
        <v>100</v>
      </c>
      <c r="I41" s="597" t="s">
        <v>3028</v>
      </c>
      <c r="J41" s="538">
        <f>SUMIF(121:121,I41,122:122)-SUMIF(121:121,C41,122:122)+100</f>
        <v>100</v>
      </c>
      <c r="K41" s="582">
        <v>1</v>
      </c>
      <c r="L41" s="2138"/>
      <c r="M41" s="2128"/>
      <c r="N41" s="2128"/>
      <c r="O41" s="2137"/>
      <c r="P41" s="3435"/>
      <c r="Q41" s="1569" t="str">
        <f t="shared" ref="Q41:Q47" si="14">B41</f>
        <v>宗地形状</v>
      </c>
      <c r="R41" s="1570" t="s">
        <v>8</v>
      </c>
      <c r="S41" s="1571">
        <f t="shared" si="10"/>
        <v>100</v>
      </c>
      <c r="T41" s="1570" t="s">
        <v>8</v>
      </c>
      <c r="U41" s="1571">
        <f t="shared" si="11"/>
        <v>100</v>
      </c>
      <c r="V41" s="1570" t="s">
        <v>8</v>
      </c>
      <c r="W41" s="1571">
        <f t="shared" si="12"/>
        <v>100</v>
      </c>
      <c r="X41" s="1564"/>
      <c r="Y41" s="3435"/>
      <c r="Z41" s="1572" t="str">
        <f t="shared" si="13"/>
        <v>宗地形状</v>
      </c>
      <c r="AA41" s="1573">
        <f t="shared" si="3"/>
        <v>1</v>
      </c>
      <c r="AB41" s="1573">
        <f t="shared" si="4"/>
        <v>1</v>
      </c>
      <c r="AC41" s="1573">
        <f t="shared" si="5"/>
        <v>1</v>
      </c>
    </row>
    <row r="42" spans="1:29" ht="20.25">
      <c r="A42" s="592"/>
      <c r="B42" s="525" t="s">
        <v>551</v>
      </c>
      <c r="C42" s="597" t="s">
        <v>3029</v>
      </c>
      <c r="D42" s="538">
        <v>100</v>
      </c>
      <c r="E42" s="597" t="s">
        <v>3029</v>
      </c>
      <c r="F42" s="538">
        <f>SUMIF(123:123,E42,124:124)-SUMIF(123:123,C42,124:124)+100</f>
        <v>100</v>
      </c>
      <c r="G42" s="597" t="s">
        <v>3029</v>
      </c>
      <c r="H42" s="538">
        <f>SUMIF(123:123,G42,124:124)-SUMIF(123:123,C42,124:124)+100</f>
        <v>100</v>
      </c>
      <c r="I42" s="597" t="s">
        <v>3029</v>
      </c>
      <c r="J42" s="538">
        <f>SUMIF(123:123,I42,124:124)-SUMIF(123:123,C42,124:124)+100</f>
        <v>100</v>
      </c>
      <c r="K42" s="582">
        <v>1</v>
      </c>
      <c r="L42" s="2138"/>
      <c r="M42" s="2128"/>
      <c r="N42" s="2128"/>
      <c r="O42" s="2137"/>
      <c r="P42" s="3435"/>
      <c r="Q42" s="1569" t="str">
        <f t="shared" si="14"/>
        <v>临街宽度及深度</v>
      </c>
      <c r="R42" s="1570" t="s">
        <v>8</v>
      </c>
      <c r="S42" s="1571">
        <f t="shared" si="10"/>
        <v>100</v>
      </c>
      <c r="T42" s="1570" t="s">
        <v>8</v>
      </c>
      <c r="U42" s="1571">
        <f t="shared" si="11"/>
        <v>100</v>
      </c>
      <c r="V42" s="1570" t="s">
        <v>8</v>
      </c>
      <c r="W42" s="1571">
        <f t="shared" si="12"/>
        <v>100</v>
      </c>
      <c r="X42" s="1564"/>
      <c r="Y42" s="3435"/>
      <c r="Z42" s="1572" t="str">
        <f t="shared" si="13"/>
        <v>临街宽度及深度</v>
      </c>
      <c r="AA42" s="1573">
        <f t="shared" si="3"/>
        <v>1</v>
      </c>
      <c r="AB42" s="1573">
        <f t="shared" si="4"/>
        <v>1</v>
      </c>
      <c r="AC42" s="1573">
        <f t="shared" si="5"/>
        <v>1</v>
      </c>
    </row>
    <row r="43" spans="1:29" s="1218" customFormat="1" ht="20.25">
      <c r="A43" s="598"/>
      <c r="B43" s="1891" t="s">
        <v>2418</v>
      </c>
      <c r="C43" s="599" t="s">
        <v>3124</v>
      </c>
      <c r="D43" s="253">
        <v>100</v>
      </c>
      <c r="E43" s="599" t="s">
        <v>3030</v>
      </c>
      <c r="F43" s="538">
        <f>SUMIF(125:125,E43,126:126)-SUMIF(125:125,C43,126:126)+100</f>
        <v>92</v>
      </c>
      <c r="G43" s="599" t="s">
        <v>3030</v>
      </c>
      <c r="H43" s="538">
        <f>SUMIF(125:125,G43,126:126)-SUMIF(125:125,C43,126:126)+100</f>
        <v>92</v>
      </c>
      <c r="I43" s="599" t="s">
        <v>3030</v>
      </c>
      <c r="J43" s="538">
        <f>SUMIF(125:125,I43,126:126)-SUMIF(125:125,C43,126:126)+100</f>
        <v>92</v>
      </c>
      <c r="K43" s="582">
        <v>2</v>
      </c>
      <c r="L43" s="2131"/>
      <c r="M43" s="2128"/>
      <c r="N43" s="2128"/>
      <c r="O43" s="2133"/>
      <c r="P43" s="3435"/>
      <c r="Q43" s="1569" t="str">
        <f t="shared" si="14"/>
        <v>宗地开发程度</v>
      </c>
      <c r="R43" s="1565" t="s">
        <v>8</v>
      </c>
      <c r="S43" s="1566">
        <f t="shared" si="10"/>
        <v>92</v>
      </c>
      <c r="T43" s="1565" t="s">
        <v>8</v>
      </c>
      <c r="U43" s="1566">
        <f t="shared" si="11"/>
        <v>92</v>
      </c>
      <c r="V43" s="1565" t="s">
        <v>8</v>
      </c>
      <c r="W43" s="1566">
        <f t="shared" si="12"/>
        <v>92</v>
      </c>
      <c r="X43" s="1567"/>
      <c r="Y43" s="3435"/>
      <c r="Z43" s="1148" t="str">
        <f t="shared" si="13"/>
        <v>宗地开发程度</v>
      </c>
      <c r="AA43" s="1568">
        <f t="shared" si="3"/>
        <v>1.0869565217391304</v>
      </c>
      <c r="AB43" s="1568">
        <f t="shared" si="4"/>
        <v>1.0869565217391304</v>
      </c>
      <c r="AC43" s="1568">
        <f t="shared" si="5"/>
        <v>1.0869565217391304</v>
      </c>
    </row>
    <row r="44" spans="1:29" ht="20.25">
      <c r="A44" s="592"/>
      <c r="B44" s="525" t="s">
        <v>552</v>
      </c>
      <c r="C44" s="597" t="s">
        <v>3031</v>
      </c>
      <c r="D44" s="538">
        <v>100</v>
      </c>
      <c r="E44" s="597" t="s">
        <v>3031</v>
      </c>
      <c r="F44" s="538">
        <f>SUMIF(127:127,E44,128:128)-SUMIF(127:127,C44,128:128)+100</f>
        <v>100</v>
      </c>
      <c r="G44" s="597" t="s">
        <v>3031</v>
      </c>
      <c r="H44" s="538">
        <f>SUMIF(127:127,G44,128:128)-SUMIF(127:127,C44,128:128)+100</f>
        <v>100</v>
      </c>
      <c r="I44" s="597" t="s">
        <v>3031</v>
      </c>
      <c r="J44" s="538">
        <f>SUMIF(127:127,I44,128:128)-SUMIF(127:127,C44,128:128)+100</f>
        <v>100</v>
      </c>
      <c r="K44" s="582">
        <v>1</v>
      </c>
      <c r="L44" s="2138"/>
      <c r="M44" s="2128"/>
      <c r="N44" s="2128"/>
      <c r="O44" s="2137"/>
      <c r="P44" s="3435" t="s">
        <v>547</v>
      </c>
      <c r="Q44" s="1569" t="str">
        <f t="shared" si="14"/>
        <v>工程地质条件</v>
      </c>
      <c r="R44" s="1570" t="s">
        <v>8</v>
      </c>
      <c r="S44" s="1571">
        <f t="shared" si="10"/>
        <v>100</v>
      </c>
      <c r="T44" s="1570" t="s">
        <v>8</v>
      </c>
      <c r="U44" s="1571">
        <f t="shared" si="11"/>
        <v>100</v>
      </c>
      <c r="V44" s="1570" t="s">
        <v>8</v>
      </c>
      <c r="W44" s="1571">
        <f t="shared" si="12"/>
        <v>100</v>
      </c>
      <c r="X44" s="1564"/>
      <c r="Y44" s="3435" t="s">
        <v>547</v>
      </c>
      <c r="Z44" s="1572" t="str">
        <f t="shared" si="13"/>
        <v>工程地质条件</v>
      </c>
      <c r="AA44" s="1573">
        <f t="shared" si="3"/>
        <v>1</v>
      </c>
      <c r="AB44" s="1573">
        <f t="shared" si="4"/>
        <v>1</v>
      </c>
      <c r="AC44" s="1573">
        <f t="shared" si="5"/>
        <v>1</v>
      </c>
    </row>
    <row r="45" spans="1:29" ht="20.25">
      <c r="A45" s="592"/>
      <c r="B45" s="600">
        <v>111</v>
      </c>
      <c r="C45" s="540"/>
      <c r="D45" s="538">
        <v>100</v>
      </c>
      <c r="E45" s="540"/>
      <c r="F45" s="538">
        <f>SUMIF(129:129,E45,130:130)-SUMIF(129:129,C45,130:130)+100</f>
        <v>100</v>
      </c>
      <c r="G45" s="540"/>
      <c r="H45" s="538">
        <f>SUMIF(129:129,G45,130:130)-SUMIF(129:129,C45,130:130)+100</f>
        <v>100</v>
      </c>
      <c r="I45" s="540"/>
      <c r="J45" s="538">
        <f>SUMIF(129:129,I45,130:130)-SUMIF(129:129,C45,130:130)+100</f>
        <v>100</v>
      </c>
      <c r="K45" s="579"/>
      <c r="L45" s="2138"/>
      <c r="M45" s="2128"/>
      <c r="N45" s="2128"/>
      <c r="O45" s="2137"/>
      <c r="P45" s="3435"/>
      <c r="Q45" s="1569">
        <f t="shared" si="14"/>
        <v>111</v>
      </c>
      <c r="R45" s="1570" t="s">
        <v>8</v>
      </c>
      <c r="S45" s="1571">
        <f t="shared" si="10"/>
        <v>100</v>
      </c>
      <c r="T45" s="1570" t="s">
        <v>8</v>
      </c>
      <c r="U45" s="1571">
        <f t="shared" si="11"/>
        <v>100</v>
      </c>
      <c r="V45" s="1570" t="s">
        <v>8</v>
      </c>
      <c r="W45" s="1571">
        <f t="shared" si="12"/>
        <v>100</v>
      </c>
      <c r="X45" s="1564"/>
      <c r="Y45" s="3435"/>
      <c r="Z45" s="1572">
        <f t="shared" si="13"/>
        <v>111</v>
      </c>
      <c r="AA45" s="1573">
        <f t="shared" si="3"/>
        <v>1</v>
      </c>
      <c r="AB45" s="1573">
        <f t="shared" si="4"/>
        <v>1</v>
      </c>
      <c r="AC45" s="1573">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435"/>
      <c r="Q46" s="1569">
        <f t="shared" si="14"/>
        <v>111</v>
      </c>
      <c r="R46" s="1570" t="s">
        <v>8</v>
      </c>
      <c r="S46" s="1571">
        <f t="shared" si="10"/>
        <v>100</v>
      </c>
      <c r="T46" s="1570" t="s">
        <v>8</v>
      </c>
      <c r="U46" s="1571">
        <f t="shared" si="11"/>
        <v>100</v>
      </c>
      <c r="V46" s="1570" t="s">
        <v>8</v>
      </c>
      <c r="W46" s="1571">
        <f t="shared" si="12"/>
        <v>100</v>
      </c>
      <c r="X46" s="1564"/>
      <c r="Y46" s="3435"/>
      <c r="Z46" s="1572">
        <f t="shared" si="13"/>
        <v>111</v>
      </c>
      <c r="AA46" s="1573">
        <f t="shared" si="3"/>
        <v>1</v>
      </c>
      <c r="AB46" s="1573">
        <f t="shared" si="4"/>
        <v>1</v>
      </c>
      <c r="AC46" s="1573">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435"/>
      <c r="Q47" s="1569">
        <f t="shared" si="14"/>
        <v>111</v>
      </c>
      <c r="R47" s="1574" t="s">
        <v>8</v>
      </c>
      <c r="S47" s="1575">
        <f t="shared" si="10"/>
        <v>100</v>
      </c>
      <c r="T47" s="1574" t="s">
        <v>8</v>
      </c>
      <c r="U47" s="1575">
        <f t="shared" si="11"/>
        <v>100</v>
      </c>
      <c r="V47" s="1574" t="s">
        <v>8</v>
      </c>
      <c r="W47" s="1575">
        <f t="shared" si="12"/>
        <v>100</v>
      </c>
      <c r="X47" s="1576"/>
      <c r="Y47" s="3435"/>
      <c r="Z47" s="1577">
        <f t="shared" si="13"/>
        <v>111</v>
      </c>
      <c r="AA47" s="1573">
        <f t="shared" si="3"/>
        <v>1</v>
      </c>
      <c r="AB47" s="1573">
        <f t="shared" si="4"/>
        <v>1</v>
      </c>
      <c r="AC47" s="1573">
        <f t="shared" si="5"/>
        <v>1</v>
      </c>
    </row>
    <row r="48" spans="1:29" ht="20.25">
      <c r="A48" s="605" t="s">
        <v>553</v>
      </c>
      <c r="B48" s="606" t="s">
        <v>3032</v>
      </c>
      <c r="C48" s="607" t="s">
        <v>1</v>
      </c>
      <c r="D48" s="608"/>
      <c r="E48" s="609">
        <f>ROUND(土地案例!$K$2,0)</f>
        <v>2809</v>
      </c>
      <c r="F48" s="610"/>
      <c r="G48" s="609">
        <f>ROUND(土地案例!$K$3,0)</f>
        <v>2292</v>
      </c>
      <c r="H48" s="612"/>
      <c r="I48" s="609">
        <f>ROUND(土地案例!$K$4,0)</f>
        <v>2540</v>
      </c>
      <c r="J48" s="612"/>
      <c r="K48" s="1338"/>
      <c r="L48" s="2140"/>
      <c r="M48" s="2128"/>
      <c r="N48" s="2128"/>
      <c r="O48" s="2141"/>
      <c r="P48" s="3397" t="str">
        <f>A48</f>
        <v>成交单价</v>
      </c>
      <c r="Q48" s="3397"/>
      <c r="R48" s="3398">
        <f>E48</f>
        <v>2809</v>
      </c>
      <c r="S48" s="3398"/>
      <c r="T48" s="3398">
        <f>G48</f>
        <v>2292</v>
      </c>
      <c r="U48" s="3398"/>
      <c r="V48" s="3398">
        <f>I48</f>
        <v>2540</v>
      </c>
      <c r="W48" s="3398"/>
      <c r="X48" s="1556"/>
      <c r="Y48" s="1578"/>
      <c r="Z48" s="1556"/>
      <c r="AA48" s="1556"/>
      <c r="AB48" s="1556"/>
      <c r="AC48" s="1556"/>
    </row>
    <row r="49" spans="1:29" ht="21" thickBot="1">
      <c r="A49" s="613" t="s">
        <v>2685</v>
      </c>
      <c r="B49" s="614"/>
      <c r="C49" s="615">
        <f>R50</f>
        <v>2738</v>
      </c>
      <c r="D49" s="616"/>
      <c r="E49" s="615">
        <f>R49</f>
        <v>3029</v>
      </c>
      <c r="F49" s="617"/>
      <c r="G49" s="618">
        <f>T49</f>
        <v>2406</v>
      </c>
      <c r="H49" s="616"/>
      <c r="I49" s="615">
        <f>V49</f>
        <v>2779</v>
      </c>
      <c r="J49" s="616"/>
      <c r="K49" s="1339"/>
      <c r="L49" s="2140"/>
      <c r="M49" s="2128"/>
      <c r="N49" s="2128"/>
      <c r="O49" s="2141"/>
      <c r="P49" s="3397" t="str">
        <f>A49</f>
        <v>比较价格（元/平方米）</v>
      </c>
      <c r="Q49" s="3397"/>
      <c r="R49" s="3399">
        <f>ROUND(PRODUCT(R48,AA9:AA47),0)</f>
        <v>3029</v>
      </c>
      <c r="S49" s="3399"/>
      <c r="T49" s="3399">
        <f>ROUND(PRODUCT(T48,AB9:AB47),0)</f>
        <v>2406</v>
      </c>
      <c r="U49" s="3399"/>
      <c r="V49" s="3399">
        <f>ROUND(PRODUCT(V48,AC9:AC47),0)</f>
        <v>2779</v>
      </c>
      <c r="W49" s="3399"/>
      <c r="X49" s="1556"/>
      <c r="Y49" s="1556"/>
      <c r="Z49" s="1556"/>
      <c r="AA49" s="1556"/>
      <c r="AB49" s="1556"/>
      <c r="AC49" s="1556"/>
    </row>
    <row r="50" spans="1:29" ht="21" thickBot="1">
      <c r="A50" s="619" t="s">
        <v>2921</v>
      </c>
      <c r="B50" s="620"/>
      <c r="C50" s="621">
        <f>R50</f>
        <v>2738</v>
      </c>
      <c r="D50" s="621"/>
      <c r="E50" s="621"/>
      <c r="F50" s="621"/>
      <c r="G50" s="621"/>
      <c r="H50" s="621"/>
      <c r="I50" s="621"/>
      <c r="J50" s="621"/>
      <c r="K50" s="1340"/>
      <c r="L50" s="2140"/>
      <c r="M50" s="2128"/>
      <c r="N50" s="2128"/>
      <c r="O50" s="2141"/>
      <c r="P50" s="3394" t="str">
        <f>A50</f>
        <v>估价对象XX用房的比较价格（楼面单价，元/平方米）</v>
      </c>
      <c r="Q50" s="3395"/>
      <c r="R50" s="3396">
        <f>ROUND(AVERAGE(R49:V49),0)</f>
        <v>2738</v>
      </c>
      <c r="S50" s="3396"/>
      <c r="T50" s="3396"/>
      <c r="U50" s="3396"/>
      <c r="V50" s="3396"/>
      <c r="W50" s="3396"/>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2" t="s">
        <v>554</v>
      </c>
      <c r="D53" s="623"/>
      <c r="E53" s="624">
        <f>IF(E48&lt;E49,E49/E48-1,E48/E49-1)</f>
        <v>7.8319686721253223E-2</v>
      </c>
      <c r="F53" s="625" t="str">
        <f>IF(OR(E53&gt;=0.3,E53&lt;=-0.3),"超过30%","")</f>
        <v/>
      </c>
      <c r="G53" s="624">
        <f>IF(G48&lt;G49,G49/G48-1,G48/G49-1)</f>
        <v>4.9738219895288038E-2</v>
      </c>
      <c r="H53" s="625" t="str">
        <f>IF(OR(G53&gt;=0.3,G53&lt;=-0.3),"超过30%","")</f>
        <v/>
      </c>
      <c r="I53" s="624">
        <f>IF(I48&lt;I49,I49/I48-1,I48/I49-1)</f>
        <v>9.4094488188976477E-2</v>
      </c>
      <c r="J53" s="625"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2" t="s">
        <v>555</v>
      </c>
      <c r="D54" s="626"/>
      <c r="E54" s="624">
        <f>IF(E49&lt;G49,G49/E49-1,E49/G49-1)</f>
        <v>0.25893599334995843</v>
      </c>
      <c r="F54" s="625" t="str">
        <f>IF(OR(E54&gt;=0.2,E54&lt;=-0.2),"超过20%","")</f>
        <v>超过20%</v>
      </c>
      <c r="G54" s="624">
        <f>IF(G49&lt;I49,I49/G49-1,G49/I49-1)</f>
        <v>0.15502909393183706</v>
      </c>
      <c r="H54" s="625" t="str">
        <f>IF(OR(G54&gt;=0.2,G54&lt;=-0.2),"超过20%","")</f>
        <v/>
      </c>
      <c r="I54" s="624">
        <f>IF(I49&lt;E49,E49/I49-1,I49/E49-1)</f>
        <v>8.9960417416336869E-2</v>
      </c>
      <c r="J54" s="625"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2" t="s">
        <v>556</v>
      </c>
      <c r="D55" s="626"/>
      <c r="E55" s="624">
        <f>IF(E48&lt;G48,G48/E48-1,E48/G48-1)</f>
        <v>0.2255671902268761</v>
      </c>
      <c r="F55" s="625" t="str">
        <f>IF(OR(E55&gt;=0.3,E55&lt;=-0.3),"超过30%","")</f>
        <v/>
      </c>
      <c r="G55" s="624">
        <f>IF(G48&lt;I48,I48/G48-1,G48/I48-1)</f>
        <v>0.10820244328097739</v>
      </c>
      <c r="H55" s="625" t="str">
        <f>IF(OR(G55&gt;=0.3,G55&lt;=-0.3),"超过30%","")</f>
        <v/>
      </c>
      <c r="I55" s="624">
        <f>IF(I48&lt;E48,E48/I48-1,I48/E48-1)</f>
        <v>0.1059055118110237</v>
      </c>
      <c r="J55" s="625"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7" t="s">
        <v>557</v>
      </c>
      <c r="B57" s="628" t="s">
        <v>558</v>
      </c>
      <c r="C57" s="1557" t="s">
        <v>1721</v>
      </c>
      <c r="D57" s="2223" t="s">
        <v>2289</v>
      </c>
      <c r="E57" s="629" t="s">
        <v>559</v>
      </c>
      <c r="F57" s="630" t="s">
        <v>560</v>
      </c>
      <c r="G57" s="3424" t="s">
        <v>2277</v>
      </c>
      <c r="H57" s="3425"/>
      <c r="I57" s="1552" t="s">
        <v>1719</v>
      </c>
      <c r="J57" s="1552" t="str">
        <f>项目基本情况!F41</f>
        <v>河北省石家庄市</v>
      </c>
      <c r="K57" s="2150" t="s">
        <v>1720</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1" t="s">
        <v>561</v>
      </c>
      <c r="B58" s="632">
        <f>C50</f>
        <v>2738</v>
      </c>
      <c r="C58" s="633">
        <v>1</v>
      </c>
      <c r="D58" s="2224">
        <v>1</v>
      </c>
      <c r="E58" s="633">
        <f>'数据-汇总表'!E8+'数据-汇总表'!E9</f>
        <v>154682.24999999997</v>
      </c>
      <c r="F58" s="634">
        <f t="shared" ref="F58:F67" si="15">ROUND(B58*E58/10000,0)</f>
        <v>42352</v>
      </c>
      <c r="G58" s="3426"/>
      <c r="H58" s="3427"/>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5" t="s">
        <v>562</v>
      </c>
      <c r="B59" s="636">
        <f>ROUND($C$50*C59*D59,0)</f>
        <v>0</v>
      </c>
      <c r="C59" s="376">
        <f t="shared" ref="C59:C67" si="16">IF($C$57="北京市系数",I59,J59)</f>
        <v>0</v>
      </c>
      <c r="D59" s="2225">
        <v>0.25</v>
      </c>
      <c r="E59" s="637">
        <v>0</v>
      </c>
      <c r="F59" s="634">
        <f t="shared" si="15"/>
        <v>0</v>
      </c>
      <c r="G59" s="3428" t="s">
        <v>2278</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5" t="s">
        <v>563</v>
      </c>
      <c r="B60" s="636">
        <f t="shared" ref="B60:B67" si="17">ROUND($C$50*C60*D60,0)</f>
        <v>0</v>
      </c>
      <c r="C60" s="376">
        <f t="shared" si="16"/>
        <v>0</v>
      </c>
      <c r="D60" s="2225">
        <v>0.25</v>
      </c>
      <c r="E60" s="637">
        <v>0</v>
      </c>
      <c r="F60" s="634">
        <f t="shared" si="15"/>
        <v>0</v>
      </c>
      <c r="G60" s="3428"/>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5" t="s">
        <v>564</v>
      </c>
      <c r="B61" s="636">
        <f t="shared" si="17"/>
        <v>0</v>
      </c>
      <c r="C61" s="376">
        <f t="shared" si="16"/>
        <v>0</v>
      </c>
      <c r="D61" s="2225">
        <v>0.25</v>
      </c>
      <c r="E61" s="637">
        <v>0</v>
      </c>
      <c r="F61" s="634">
        <f t="shared" si="15"/>
        <v>0</v>
      </c>
      <c r="G61" s="3428"/>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5" t="s">
        <v>565</v>
      </c>
      <c r="B62" s="636">
        <f t="shared" si="17"/>
        <v>0</v>
      </c>
      <c r="C62" s="376">
        <f t="shared" si="16"/>
        <v>0</v>
      </c>
      <c r="D62" s="2225">
        <v>0.25</v>
      </c>
      <c r="E62" s="637">
        <v>0</v>
      </c>
      <c r="F62" s="634">
        <f t="shared" si="15"/>
        <v>0</v>
      </c>
      <c r="G62" s="3428"/>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2322</v>
      </c>
      <c r="B63" s="636">
        <f t="shared" si="17"/>
        <v>0</v>
      </c>
      <c r="C63" s="376">
        <f t="shared" si="16"/>
        <v>0</v>
      </c>
      <c r="D63" s="2225">
        <v>0.25</v>
      </c>
      <c r="E63" s="639">
        <f>'数据-汇总表'!E11</f>
        <v>0</v>
      </c>
      <c r="F63" s="634">
        <f t="shared" si="15"/>
        <v>0</v>
      </c>
      <c r="G63" s="1941" t="s">
        <v>2279</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5" t="s">
        <v>566</v>
      </c>
      <c r="B64" s="636">
        <f t="shared" si="17"/>
        <v>0</v>
      </c>
      <c r="C64" s="376">
        <f t="shared" si="16"/>
        <v>0</v>
      </c>
      <c r="D64" s="2225">
        <v>0.25</v>
      </c>
      <c r="E64" s="639">
        <f>'数据-汇总表'!E12</f>
        <v>6650.08</v>
      </c>
      <c r="F64" s="634">
        <f t="shared" si="15"/>
        <v>0</v>
      </c>
      <c r="G64" s="1942" t="s">
        <v>1675</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5" t="s">
        <v>567</v>
      </c>
      <c r="B65" s="636">
        <f t="shared" si="17"/>
        <v>0</v>
      </c>
      <c r="C65" s="376">
        <f t="shared" si="16"/>
        <v>0</v>
      </c>
      <c r="D65" s="2225">
        <v>0.25</v>
      </c>
      <c r="E65" s="639">
        <f>'数据-汇总表'!E13</f>
        <v>23721.78</v>
      </c>
      <c r="F65" s="634">
        <f t="shared" si="15"/>
        <v>0</v>
      </c>
      <c r="G65" s="1942" t="s">
        <v>920</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5" t="s">
        <v>568</v>
      </c>
      <c r="B66" s="636">
        <f t="shared" si="17"/>
        <v>0</v>
      </c>
      <c r="C66" s="376">
        <f t="shared" si="16"/>
        <v>0</v>
      </c>
      <c r="D66" s="2225">
        <v>0.25</v>
      </c>
      <c r="E66" s="639">
        <f>'数据-汇总表'!E14</f>
        <v>0</v>
      </c>
      <c r="F66" s="634">
        <f t="shared" si="15"/>
        <v>0</v>
      </c>
      <c r="G66" s="1941" t="s">
        <v>2278</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5" t="s">
        <v>569</v>
      </c>
      <c r="B67" s="636">
        <f t="shared" si="17"/>
        <v>0</v>
      </c>
      <c r="C67" s="376">
        <f t="shared" si="16"/>
        <v>0</v>
      </c>
      <c r="D67" s="2225">
        <v>0.25</v>
      </c>
      <c r="E67" s="639">
        <f>'数据-汇总表'!E15</f>
        <v>0</v>
      </c>
      <c r="F67" s="634">
        <f t="shared" si="15"/>
        <v>0</v>
      </c>
      <c r="G67" s="1943" t="s">
        <v>2279</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0" t="s">
        <v>570</v>
      </c>
      <c r="B68" s="641" t="s">
        <v>17</v>
      </c>
      <c r="C68" s="641" t="s">
        <v>18</v>
      </c>
      <c r="D68" s="641" t="s">
        <v>2290</v>
      </c>
      <c r="E68" s="641">
        <f>IF(B48="楼面地价",SUM(E58:E67),'数据-汇总表'!D3)</f>
        <v>185054.10999999996</v>
      </c>
      <c r="F68" s="642">
        <f>IF(B48="楼面地价",SUM(F58:F67),ROUND(C50*E68/10000,0))</f>
        <v>42352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2018-12-1</v>
      </c>
      <c r="D70" s="2795">
        <f>EDATE(C70,-3)</f>
        <v>43344</v>
      </c>
      <c r="E70" s="2795">
        <f t="shared" ref="E70:N70" si="18">EDATE(D70,-3)</f>
        <v>43252</v>
      </c>
      <c r="F70" s="2795">
        <f t="shared" si="18"/>
        <v>43160</v>
      </c>
      <c r="G70" s="2795">
        <f t="shared" si="18"/>
        <v>43070</v>
      </c>
      <c r="H70" s="2795">
        <f t="shared" si="18"/>
        <v>42979</v>
      </c>
      <c r="I70" s="2795">
        <f t="shared" si="18"/>
        <v>42887</v>
      </c>
      <c r="J70" s="2795">
        <f t="shared" si="18"/>
        <v>42795</v>
      </c>
      <c r="K70" s="2795">
        <f t="shared" si="18"/>
        <v>42705</v>
      </c>
      <c r="L70" s="2795">
        <f t="shared" si="18"/>
        <v>42614</v>
      </c>
      <c r="M70" s="2795">
        <f t="shared" si="18"/>
        <v>42522</v>
      </c>
      <c r="N70" s="2795">
        <f t="shared" si="18"/>
        <v>42430</v>
      </c>
      <c r="O70" s="2141"/>
      <c r="P70" s="2141"/>
      <c r="Q70" s="2141"/>
      <c r="R70" s="2141"/>
      <c r="S70" s="2141"/>
      <c r="T70" s="2141"/>
      <c r="U70" s="2141"/>
      <c r="V70" s="2141"/>
      <c r="W70" s="2141"/>
      <c r="X70" s="2141"/>
      <c r="Y70" s="2141"/>
      <c r="Z70" s="2141"/>
      <c r="AA70" s="2141"/>
      <c r="AB70" s="2141"/>
      <c r="AC70" s="2141"/>
    </row>
    <row r="71" spans="1:29" ht="21.75" thickBot="1">
      <c r="A71" s="1581" t="s">
        <v>571</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64" t="s">
        <v>2524</v>
      </c>
      <c r="B72" s="2565"/>
      <c r="C72" s="2790" t="str">
        <f>YEAR(C70)&amp;"-"&amp;ROUNDUP(MONTH(C70)/3,0)</f>
        <v>2018-4</v>
      </c>
      <c r="D72" s="2797" t="str">
        <f>YEAR(D70)&amp;"-"&amp;ROUNDUP(MONTH(D70)/3,0)</f>
        <v>2018-3</v>
      </c>
      <c r="E72" s="2797" t="str">
        <f t="shared" ref="E72:N72" si="19">YEAR(E70)&amp;"-"&amp;ROUNDUP(MONTH(E70)/3,0)</f>
        <v>2018-2</v>
      </c>
      <c r="F72" s="2797" t="str">
        <f t="shared" si="19"/>
        <v>2018-1</v>
      </c>
      <c r="G72" s="2797" t="str">
        <f t="shared" si="19"/>
        <v>2017-4</v>
      </c>
      <c r="H72" s="2797" t="str">
        <f t="shared" si="19"/>
        <v>2017-3</v>
      </c>
      <c r="I72" s="2797" t="str">
        <f t="shared" si="19"/>
        <v>2017-2</v>
      </c>
      <c r="J72" s="2797" t="str">
        <f t="shared" si="19"/>
        <v>2017-1</v>
      </c>
      <c r="K72" s="2797" t="str">
        <f t="shared" si="19"/>
        <v>2016-4</v>
      </c>
      <c r="L72" s="2797" t="str">
        <f t="shared" si="19"/>
        <v>2016-3</v>
      </c>
      <c r="M72" s="2797" t="str">
        <f t="shared" si="19"/>
        <v>2016-2</v>
      </c>
      <c r="N72" s="2797" t="str">
        <f t="shared" si="19"/>
        <v>2016-1</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2639</v>
      </c>
      <c r="B73" s="477" t="str">
        <f>"北京市平均增长率"&amp;TEXT(SUMIF(基准地价!N21:N25,A73,基准地价!P21:P25),"0.00%")</f>
        <v>北京市平均增长率2.19%</v>
      </c>
      <c r="C73" s="892">
        <v>100</v>
      </c>
      <c r="D73" s="728">
        <v>98</v>
      </c>
      <c r="E73" s="728">
        <v>96</v>
      </c>
      <c r="F73" s="728">
        <v>94</v>
      </c>
      <c r="G73" s="728">
        <v>92</v>
      </c>
      <c r="H73" s="728">
        <v>90</v>
      </c>
      <c r="I73" s="728">
        <v>88</v>
      </c>
      <c r="J73" s="728">
        <v>86</v>
      </c>
      <c r="K73" s="728">
        <v>84</v>
      </c>
      <c r="L73" s="728">
        <v>82</v>
      </c>
      <c r="M73" s="728">
        <v>80</v>
      </c>
      <c r="N73" s="728">
        <v>78</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2638</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5">
      <c r="A75" s="657" t="s">
        <v>528</v>
      </c>
      <c r="B75" s="646"/>
      <c r="C75" s="658" t="s">
        <v>573</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c r="A77" s="662" t="s">
        <v>574</v>
      </c>
      <c r="B77" s="663" t="s">
        <v>531</v>
      </c>
      <c r="C77" s="3174" t="s">
        <v>3140</v>
      </c>
      <c r="D77" s="3174"/>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69">
        <v>100</v>
      </c>
      <c r="D78" s="669"/>
      <c r="E78" s="669"/>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7.75" thickTop="1">
      <c r="A79" s="667"/>
      <c r="B79" s="671" t="s">
        <v>534</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75" thickTop="1">
      <c r="A81" s="667"/>
      <c r="B81" s="679" t="s">
        <v>535</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7"/>
      <c r="B82" s="681"/>
      <c r="C82" s="539">
        <v>0</v>
      </c>
      <c r="D82" s="539">
        <v>1</v>
      </c>
      <c r="E82" s="539">
        <v>2</v>
      </c>
      <c r="F82" s="539">
        <v>3</v>
      </c>
      <c r="G82" s="539">
        <v>4</v>
      </c>
      <c r="H82" s="539">
        <v>5</v>
      </c>
      <c r="I82" s="539"/>
      <c r="J82" s="539"/>
      <c r="K82" s="682"/>
      <c r="L82" s="683"/>
      <c r="M82" s="684"/>
      <c r="N82" s="2160"/>
      <c r="O82" s="2160"/>
      <c r="P82" s="2161"/>
      <c r="Q82" s="2154"/>
      <c r="R82" s="2141"/>
      <c r="S82" s="2141"/>
      <c r="T82" s="2141"/>
      <c r="U82" s="2141"/>
      <c r="V82" s="2141"/>
      <c r="W82" s="2141"/>
      <c r="X82" s="2141"/>
      <c r="Y82" s="2141"/>
      <c r="Z82" s="2141"/>
      <c r="AA82" s="2141"/>
      <c r="AB82" s="2141"/>
      <c r="AC82" s="2141"/>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5"/>
      <c r="B84" s="671" t="str">
        <f>B14</f>
        <v>配建</v>
      </c>
      <c r="C84" s="686"/>
      <c r="D84" s="1373"/>
      <c r="E84" s="1374"/>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5"/>
      <c r="B85" s="676"/>
      <c r="C85" s="690"/>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5"/>
      <c r="B86" s="671">
        <f>B15</f>
        <v>111</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5"/>
      <c r="B88" s="679">
        <f>B16</f>
        <v>111</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c r="A90" s="662" t="s">
        <v>536</v>
      </c>
      <c r="B90" s="663" t="s">
        <v>575</v>
      </c>
      <c r="C90" s="701" t="s">
        <v>576</v>
      </c>
      <c r="D90" s="701" t="s">
        <v>577</v>
      </c>
      <c r="E90" s="701" t="s">
        <v>578</v>
      </c>
      <c r="F90" s="701" t="s">
        <v>579</v>
      </c>
      <c r="G90" s="701" t="s">
        <v>580</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75" thickTop="1">
      <c r="A92" s="667"/>
      <c r="B92" s="671" t="s">
        <v>581</v>
      </c>
      <c r="C92" s="706" t="s">
        <v>576</v>
      </c>
      <c r="D92" s="706" t="s">
        <v>577</v>
      </c>
      <c r="E92" s="706" t="s">
        <v>578</v>
      </c>
      <c r="F92" s="706" t="s">
        <v>579</v>
      </c>
      <c r="G92" s="706" t="s">
        <v>580</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77">
        <v>100</v>
      </c>
      <c r="D93" s="677">
        <f>C93-$K19</f>
        <v>98</v>
      </c>
      <c r="E93" s="677">
        <f>D93-$K19</f>
        <v>96</v>
      </c>
      <c r="F93" s="677">
        <f>E93-$K19</f>
        <v>94</v>
      </c>
      <c r="G93" s="677">
        <f>F93-$K19</f>
        <v>92</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75" thickTop="1">
      <c r="A94" s="667"/>
      <c r="B94" s="671" t="s">
        <v>582</v>
      </c>
      <c r="C94" s="706" t="s">
        <v>576</v>
      </c>
      <c r="D94" s="706" t="s">
        <v>577</v>
      </c>
      <c r="E94" s="706" t="s">
        <v>578</v>
      </c>
      <c r="F94" s="706" t="s">
        <v>579</v>
      </c>
      <c r="G94" s="706" t="s">
        <v>580</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75" thickTop="1">
      <c r="A96" s="667"/>
      <c r="B96" s="671" t="s">
        <v>583</v>
      </c>
      <c r="C96" s="706" t="s">
        <v>576</v>
      </c>
      <c r="D96" s="706" t="s">
        <v>577</v>
      </c>
      <c r="E96" s="706" t="s">
        <v>578</v>
      </c>
      <c r="F96" s="706" t="s">
        <v>579</v>
      </c>
      <c r="G96" s="706" t="s">
        <v>580</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77">
        <v>100</v>
      </c>
      <c r="D97" s="677">
        <f>C97-$K23</f>
        <v>98</v>
      </c>
      <c r="E97" s="677">
        <f>D97-$K23</f>
        <v>96</v>
      </c>
      <c r="F97" s="677">
        <f>E97-$K23</f>
        <v>94</v>
      </c>
      <c r="G97" s="677">
        <f>F97-$K23</f>
        <v>92</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7"/>
      <c r="B98" s="671" t="s">
        <v>584</v>
      </c>
      <c r="C98" s="706" t="s">
        <v>576</v>
      </c>
      <c r="D98" s="706" t="s">
        <v>577</v>
      </c>
      <c r="E98" s="706" t="s">
        <v>578</v>
      </c>
      <c r="F98" s="706" t="s">
        <v>579</v>
      </c>
      <c r="G98" s="706" t="s">
        <v>580</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7"/>
      <c r="B100" s="671" t="s">
        <v>585</v>
      </c>
      <c r="C100" s="701" t="s">
        <v>576</v>
      </c>
      <c r="D100" s="701" t="s">
        <v>577</v>
      </c>
      <c r="E100" s="701" t="s">
        <v>578</v>
      </c>
      <c r="F100" s="701" t="s">
        <v>579</v>
      </c>
      <c r="G100" s="701" t="s">
        <v>580</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5"/>
      <c r="B102" s="1892" t="s">
        <v>2540</v>
      </c>
      <c r="C102" s="701" t="s">
        <v>576</v>
      </c>
      <c r="D102" s="701" t="s">
        <v>577</v>
      </c>
      <c r="E102" s="701" t="s">
        <v>578</v>
      </c>
      <c r="F102" s="701" t="s">
        <v>579</v>
      </c>
      <c r="G102" s="701" t="s">
        <v>580</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5"/>
      <c r="B104" s="2593" t="s">
        <v>2542</v>
      </c>
      <c r="C104" s="2594" t="s">
        <v>2543</v>
      </c>
      <c r="D104" s="2594" t="s">
        <v>2544</v>
      </c>
      <c r="E104" s="2594" t="s">
        <v>2545</v>
      </c>
      <c r="F104" s="2594" t="s">
        <v>2546</v>
      </c>
      <c r="G104" s="2594" t="s">
        <v>2547</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7"/>
      <c r="B108" s="671" t="s">
        <v>545</v>
      </c>
      <c r="C108" s="3175" t="s">
        <v>3126</v>
      </c>
      <c r="D108" s="3175" t="s">
        <v>3128</v>
      </c>
      <c r="E108" s="3175" t="s">
        <v>3129</v>
      </c>
      <c r="F108" s="3175" t="s">
        <v>3130</v>
      </c>
      <c r="G108" s="3175" t="s">
        <v>3132</v>
      </c>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7"/>
      <c r="B110" s="671" t="s">
        <v>546</v>
      </c>
      <c r="C110" s="716"/>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7"/>
      <c r="B112" s="679">
        <f>B37</f>
        <v>111</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5" thickTop="1">
      <c r="A114" s="585"/>
      <c r="B114" s="671">
        <f>B38</f>
        <v>111</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6"/>
      <c r="B116" s="727">
        <f>B39</f>
        <v>111</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28.5">
      <c r="A118" s="662" t="s">
        <v>548</v>
      </c>
      <c r="B118" s="663" t="s">
        <v>590</v>
      </c>
      <c r="C118" s="702" t="str">
        <f t="shared" ref="C118:L118" si="25">C119&amp;"(含)"&amp;"-"&amp;D119</f>
        <v>0(含)-20000</v>
      </c>
      <c r="D118" s="702" t="str">
        <f t="shared" si="25"/>
        <v>20000(含)-40000</v>
      </c>
      <c r="E118" s="702" t="str">
        <f t="shared" si="25"/>
        <v>40000(含)-60000</v>
      </c>
      <c r="F118" s="702" t="str">
        <f t="shared" si="25"/>
        <v>60000(含)-80000</v>
      </c>
      <c r="G118" s="702" t="str">
        <f t="shared" si="25"/>
        <v>80000(含)-</v>
      </c>
      <c r="H118" s="702" t="str">
        <f t="shared" si="25"/>
        <v>(含)-</v>
      </c>
      <c r="I118" s="702" t="str">
        <f t="shared" si="25"/>
        <v>(含)-</v>
      </c>
      <c r="J118" s="3082" t="str">
        <f t="shared" si="25"/>
        <v>(含)-</v>
      </c>
      <c r="K118" s="3082" t="str">
        <f t="shared" si="25"/>
        <v>(含)-</v>
      </c>
      <c r="L118" s="3083" t="str">
        <f t="shared" si="25"/>
        <v>(含)-</v>
      </c>
      <c r="M118" s="3084"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7"/>
      <c r="B119" s="679"/>
      <c r="C119" s="728">
        <v>0</v>
      </c>
      <c r="D119" s="728">
        <v>20000</v>
      </c>
      <c r="E119" s="728">
        <v>40000</v>
      </c>
      <c r="F119" s="728">
        <v>60000</v>
      </c>
      <c r="G119" s="728">
        <v>80000</v>
      </c>
      <c r="H119" s="728"/>
      <c r="I119" s="728"/>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7"/>
      <c r="B120" s="676"/>
      <c r="C120" s="698">
        <v>100</v>
      </c>
      <c r="D120" s="724">
        <v>101</v>
      </c>
      <c r="E120" s="724">
        <v>102</v>
      </c>
      <c r="F120" s="698">
        <v>103</v>
      </c>
      <c r="G120" s="724">
        <v>104</v>
      </c>
      <c r="H120" s="724"/>
      <c r="I120" s="698"/>
      <c r="J120" s="724"/>
      <c r="K120" s="724"/>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591</v>
      </c>
      <c r="C121" s="3176" t="s">
        <v>2985</v>
      </c>
      <c r="D121" s="3176" t="s">
        <v>2986</v>
      </c>
      <c r="E121" s="716"/>
      <c r="F121" s="716"/>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592</v>
      </c>
      <c r="C123" s="3175" t="s">
        <v>2987</v>
      </c>
      <c r="D123" s="686"/>
      <c r="E123" s="686"/>
      <c r="F123" s="716"/>
      <c r="G123" s="716"/>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6"/>
      <c r="B125" s="1892" t="s">
        <v>2419</v>
      </c>
      <c r="C125" s="1373" t="s">
        <v>2988</v>
      </c>
      <c r="D125" s="1373" t="s">
        <v>2989</v>
      </c>
      <c r="E125" s="1373" t="s">
        <v>2990</v>
      </c>
      <c r="F125" s="1373" t="s">
        <v>2991</v>
      </c>
      <c r="G125" s="1373" t="s">
        <v>2992</v>
      </c>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593</v>
      </c>
      <c r="C127" s="3175" t="s">
        <v>2993</v>
      </c>
      <c r="D127" s="686"/>
      <c r="E127" s="716"/>
      <c r="F127" s="716"/>
      <c r="G127" s="716"/>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3"/>
      <c r="B129" s="671">
        <f>B45</f>
        <v>111</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5" thickTop="1">
      <c r="A131" s="733"/>
      <c r="B131" s="671">
        <f>B46</f>
        <v>111</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5.75"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6"/>
      <c r="B133" s="671">
        <f>B47</f>
        <v>111</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1898</v>
      </c>
      <c r="B36" s="1651" t="s">
        <v>1899</v>
      </c>
    </row>
    <row r="37" spans="1:9" ht="28.5" customHeight="1">
      <c r="A37" s="1651"/>
      <c r="B37" s="3221" t="str">
        <f>项目基本情况!B1</f>
        <v>河北省石家庄市长安区和平东路以北、东二环北路东侧商业、地下车库、地下仓储用地出让国有建设用地使用权出让国有建设用地使用权抵押价格预评估</v>
      </c>
      <c r="C37" s="3221"/>
      <c r="D37" s="3221"/>
      <c r="E37" s="3221"/>
      <c r="F37" s="3221"/>
      <c r="G37" s="3221"/>
      <c r="H37" s="3221"/>
      <c r="I37" s="3221"/>
    </row>
    <row r="38" spans="1:9">
      <c r="A38" s="1653"/>
      <c r="B38" s="1653"/>
    </row>
    <row r="39" spans="1:9">
      <c r="A39" s="1651" t="s">
        <v>1898</v>
      </c>
      <c r="B39" s="1651" t="s">
        <v>2043</v>
      </c>
    </row>
    <row r="40" spans="1:9">
      <c r="A40" s="1651"/>
      <c r="B40" s="1651" t="str">
        <f>项目基本情况!B5</f>
        <v>石家庄安联房地产开发有限公司</v>
      </c>
    </row>
    <row r="41" spans="1:9">
      <c r="A41" s="1651"/>
      <c r="B41" s="1651"/>
    </row>
    <row r="42" spans="1:9">
      <c r="A42" s="1651" t="s">
        <v>1898</v>
      </c>
      <c r="B42" s="1651" t="s">
        <v>2044</v>
      </c>
    </row>
    <row r="43" spans="1:9">
      <c r="A43" s="1651"/>
      <c r="B43" s="1651" t="s">
        <v>1900</v>
      </c>
    </row>
    <row r="44" spans="1:9">
      <c r="A44" s="1651"/>
      <c r="B44" s="1651"/>
    </row>
    <row r="45" spans="1:9">
      <c r="A45" s="1651" t="s">
        <v>1898</v>
      </c>
      <c r="B45" s="1651" t="s">
        <v>2042</v>
      </c>
    </row>
    <row r="46" spans="1:9" s="1651" customFormat="1" ht="12.75">
      <c r="B46" s="1651" t="str">
        <f>项目基本情况!K4</f>
        <v>土地估价师、郑燚</v>
      </c>
    </row>
    <row r="47" spans="1:9">
      <c r="A47" s="1651"/>
      <c r="B47" s="1651"/>
    </row>
    <row r="48" spans="1:9">
      <c r="A48" s="1651" t="s">
        <v>1898</v>
      </c>
      <c r="B48" s="1651" t="s">
        <v>2045</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463</v>
      </c>
      <c r="B1" s="2805"/>
      <c r="C1" s="2100"/>
      <c r="D1" s="2100"/>
      <c r="E1" s="2100"/>
      <c r="F1" s="2100"/>
      <c r="G1" s="2100"/>
      <c r="H1" s="2100"/>
      <c r="I1" s="2100"/>
      <c r="J1" s="2100"/>
      <c r="K1" s="420">
        <f>MATCH(B1,'数据-取费表'!A6:A16,0)+5</f>
        <v>13</v>
      </c>
    </row>
    <row r="2" spans="1:41" s="2037" customFormat="1" ht="18" customHeight="1">
      <c r="A2" s="421" t="s">
        <v>464</v>
      </c>
      <c r="B2" s="422">
        <f ca="1">C32</f>
        <v>0</v>
      </c>
      <c r="C2" s="2100"/>
      <c r="D2" s="2100"/>
      <c r="E2" s="2100"/>
      <c r="F2" s="2100"/>
      <c r="G2" s="2100"/>
      <c r="H2" s="2100"/>
      <c r="I2" s="2100"/>
      <c r="J2" s="2100"/>
      <c r="K2" s="2100"/>
    </row>
    <row r="3" spans="1:41" s="2037" customFormat="1" ht="18" customHeight="1">
      <c r="A3" s="1377" t="s">
        <v>1681</v>
      </c>
      <c r="B3" s="423">
        <f ca="1">ROUND(B2*10000/IF(B1="",'数据-汇总表'!E3,INDIRECT("'数据-取费表'!K"&amp;$K$1)),0)</f>
        <v>0</v>
      </c>
      <c r="C3" s="2100"/>
      <c r="D3" s="2100"/>
      <c r="E3" s="2100"/>
      <c r="F3" s="2100"/>
      <c r="G3" s="2100"/>
      <c r="H3" s="2100"/>
      <c r="I3" s="2100"/>
      <c r="J3" s="2100"/>
      <c r="K3" s="2100"/>
    </row>
    <row r="4" spans="1:41" s="2037" customFormat="1" ht="18" customHeight="1">
      <c r="A4" s="424" t="s">
        <v>465</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466</v>
      </c>
      <c r="D5" s="2100"/>
      <c r="E5" s="2100"/>
      <c r="F5" s="2100"/>
      <c r="G5" s="2100"/>
      <c r="H5" s="2100"/>
      <c r="I5" s="2100"/>
      <c r="J5" s="2100"/>
      <c r="K5" s="2100"/>
    </row>
    <row r="6" spans="1:41" s="2107" customFormat="1" ht="16.5" customHeight="1">
      <c r="A6" s="430" t="s">
        <v>2644</v>
      </c>
      <c r="B6" s="431"/>
      <c r="C6" s="1620">
        <f>SUM(C10:K10)</f>
        <v>0</v>
      </c>
      <c r="D6" s="2105"/>
      <c r="E6" s="2105"/>
      <c r="F6" s="2105"/>
      <c r="G6" s="2105"/>
      <c r="H6" s="2105"/>
      <c r="I6" s="2105"/>
      <c r="J6" s="2105"/>
      <c r="K6" s="2106"/>
    </row>
    <row r="7" spans="1:41" s="2109" customFormat="1" ht="15">
      <c r="A7" s="432" t="s">
        <v>467</v>
      </c>
      <c r="B7" s="433" t="s">
        <v>468</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1842</v>
      </c>
      <c r="B8" s="436" t="s">
        <v>469</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1844</v>
      </c>
      <c r="B10" s="1621" t="s">
        <v>471</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1861</v>
      </c>
      <c r="B11" s="1618"/>
      <c r="C11" s="1618"/>
      <c r="D11" s="1618"/>
      <c r="E11" s="1618"/>
      <c r="F11" s="1618"/>
      <c r="G11" s="1618"/>
      <c r="H11" s="1618"/>
      <c r="I11" s="1618"/>
      <c r="J11" s="1618"/>
      <c r="K11" s="1619"/>
    </row>
    <row r="12" spans="1:41" s="2081" customFormat="1" ht="13.5" customHeight="1">
      <c r="A12" s="432" t="s">
        <v>467</v>
      </c>
      <c r="B12" s="442" t="s">
        <v>468</v>
      </c>
      <c r="C12" s="443" t="s">
        <v>472</v>
      </c>
      <c r="D12" s="444" t="s">
        <v>473</v>
      </c>
      <c r="E12" s="444" t="s">
        <v>474</v>
      </c>
      <c r="F12" s="444" t="s">
        <v>475</v>
      </c>
      <c r="G12" s="442"/>
      <c r="H12" s="445"/>
      <c r="I12" s="445"/>
      <c r="J12" s="445"/>
      <c r="K12" s="446"/>
    </row>
    <row r="13" spans="1:41" s="2112" customFormat="1" ht="13.5" customHeight="1">
      <c r="A13" s="1630" t="s">
        <v>1845</v>
      </c>
      <c r="B13" s="447" t="s">
        <v>476</v>
      </c>
      <c r="C13" s="448">
        <f ca="1">IF(B1="",'数据-取费表'!M16,INDIRECT("'数据-取费表'!M"&amp;$K$1)+INDIRECT("'数据-取费表'!t"&amp;$K$1))</f>
        <v>44816</v>
      </c>
      <c r="D13" s="449"/>
      <c r="E13" s="363"/>
      <c r="F13" s="450"/>
      <c r="G13" s="442"/>
      <c r="H13" s="445"/>
      <c r="I13" s="445"/>
      <c r="J13" s="445"/>
      <c r="K13" s="446"/>
    </row>
    <row r="14" spans="1:41" s="2112" customFormat="1" ht="13.5" customHeight="1">
      <c r="A14" s="1630" t="s">
        <v>1846</v>
      </c>
      <c r="B14" s="447" t="s">
        <v>477</v>
      </c>
      <c r="C14" s="53">
        <f ca="1">ROUND(C13*F14,0)</f>
        <v>1793</v>
      </c>
      <c r="D14" s="449"/>
      <c r="E14" s="363"/>
      <c r="F14" s="451">
        <f>'数据-取费表'!B33</f>
        <v>0.04</v>
      </c>
      <c r="G14" s="442" t="s">
        <v>499</v>
      </c>
      <c r="H14" s="445"/>
      <c r="I14" s="445"/>
      <c r="J14" s="445"/>
      <c r="K14" s="446"/>
    </row>
    <row r="15" spans="1:41" s="2112" customFormat="1" ht="13.5" customHeight="1">
      <c r="A15" s="1630" t="s">
        <v>1847</v>
      </c>
      <c r="B15" s="447" t="s">
        <v>479</v>
      </c>
      <c r="C15" s="53">
        <f ca="1">ROUND(IF(B1="",SUMIF('数据-取费表'!C:C,"住宅",'数据-取费表'!M:M)*F15,IF(INDIRECT("'数据-取费表'!c"&amp;$K$1)="住宅",INDIRECT("'数据-取费表'!M"&amp;$K$1)*F15,0)),0)</f>
        <v>0</v>
      </c>
      <c r="D15" s="449"/>
      <c r="E15" s="363"/>
      <c r="F15" s="451">
        <f>'数据-取费表'!B34</f>
        <v>0</v>
      </c>
      <c r="G15" s="442" t="s">
        <v>499</v>
      </c>
      <c r="H15" s="445"/>
      <c r="I15" s="445"/>
      <c r="J15" s="445"/>
      <c r="K15" s="446"/>
    </row>
    <row r="16" spans="1:41" s="2113" customFormat="1" ht="13.5" customHeight="1">
      <c r="A16" s="1630" t="s">
        <v>1848</v>
      </c>
      <c r="B16" s="447" t="s">
        <v>481</v>
      </c>
      <c r="C16" s="53">
        <f ca="1">ROUND(D16*E16/10000,0)</f>
        <v>3738</v>
      </c>
      <c r="D16" s="449">
        <f ca="1">IF(B1="",'数据-汇总表'!E3,INDIRECT("'数据-取费表'!K"&amp;$K$1)+INDIRECT("'数据-取费表'!S"&amp;$K$1))</f>
        <v>186890.99</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1849</v>
      </c>
      <c r="B17" s="447" t="s">
        <v>482</v>
      </c>
      <c r="C17" s="452">
        <f ca="1">ROUND(C13*F17,0)</f>
        <v>672</v>
      </c>
      <c r="D17" s="453"/>
      <c r="E17" s="452"/>
      <c r="F17" s="454">
        <f>'数据-取费表'!B36</f>
        <v>1.4999999999999999E-2</v>
      </c>
      <c r="G17" s="442" t="s">
        <v>499</v>
      </c>
      <c r="H17" s="455"/>
      <c r="I17" s="455"/>
      <c r="J17" s="455"/>
      <c r="K17" s="456"/>
    </row>
    <row r="18" spans="1:14" s="2115" customFormat="1" ht="13.5" customHeight="1">
      <c r="A18" s="1631" t="s">
        <v>1850</v>
      </c>
      <c r="B18" s="457" t="s">
        <v>484</v>
      </c>
      <c r="C18" s="458">
        <f ca="1">SUM(C13:C17)</f>
        <v>51019</v>
      </c>
      <c r="D18" s="459"/>
      <c r="E18" s="460"/>
      <c r="F18" s="460"/>
      <c r="G18" s="1325" t="s">
        <v>2426</v>
      </c>
      <c r="H18" s="445"/>
      <c r="I18" s="445"/>
      <c r="J18" s="445"/>
      <c r="K18" s="446"/>
    </row>
    <row r="19" spans="1:14" s="2115" customFormat="1" ht="13.5" customHeight="1">
      <c r="A19" s="1631" t="s">
        <v>1851</v>
      </c>
      <c r="B19" s="457" t="s">
        <v>490</v>
      </c>
      <c r="C19" s="458">
        <f ca="1">ROUND(C18*F19,0)</f>
        <v>1020</v>
      </c>
      <c r="D19" s="460"/>
      <c r="E19" s="460"/>
      <c r="F19" s="464">
        <f>'数据-取费表'!B37</f>
        <v>0.02</v>
      </c>
      <c r="G19" s="442" t="s">
        <v>500</v>
      </c>
      <c r="H19" s="445"/>
      <c r="I19" s="445"/>
      <c r="J19" s="445"/>
      <c r="K19" s="446"/>
      <c r="L19" s="2117"/>
      <c r="M19" s="2117"/>
      <c r="N19" s="2117"/>
    </row>
    <row r="20" spans="1:14" s="2115" customFormat="1" ht="13.5" customHeight="1">
      <c r="A20" s="1631" t="s">
        <v>1852</v>
      </c>
      <c r="B20" s="457" t="s">
        <v>501</v>
      </c>
      <c r="C20" s="3022">
        <f>F20</f>
        <v>0.02</v>
      </c>
      <c r="D20" s="467" t="s">
        <v>502</v>
      </c>
      <c r="E20" s="467"/>
      <c r="F20" s="484">
        <f>'数据-取费表'!B38</f>
        <v>0.02</v>
      </c>
      <c r="G20" s="1325" t="s">
        <v>503</v>
      </c>
      <c r="H20" s="445"/>
      <c r="I20" s="445"/>
      <c r="J20" s="445"/>
      <c r="K20" s="446"/>
      <c r="L20" s="2117"/>
      <c r="M20" s="2117"/>
      <c r="N20" s="2117"/>
    </row>
    <row r="21" spans="1:14" s="2117" customFormat="1" ht="13.5" customHeight="1">
      <c r="A21" s="1631" t="s">
        <v>1855</v>
      </c>
      <c r="B21" s="459" t="s">
        <v>491</v>
      </c>
      <c r="C21" s="468">
        <f ca="1">C22</f>
        <v>2472</v>
      </c>
      <c r="D21" s="465">
        <f ca="1">C23</f>
        <v>1E-3</v>
      </c>
      <c r="E21" s="467" t="s">
        <v>504</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4" t="s">
        <v>2447</v>
      </c>
    </row>
    <row r="22" spans="1:14" s="2116" customFormat="1" ht="13.5" customHeight="1">
      <c r="A22" s="1630" t="s">
        <v>1845</v>
      </c>
      <c r="B22" s="1326" t="s">
        <v>2429</v>
      </c>
      <c r="C22" s="485">
        <f ca="1">ROUND(IF('数据-取费表'!B22&lt;=1,(C18+C19)*F21*'数据-取费表'!B20/2,(C18+C19)*(POWER((1+F21),'数据-取费表'!B20/2)-1)),0)</f>
        <v>2472</v>
      </c>
      <c r="D22" s="470"/>
      <c r="E22" s="471"/>
      <c r="F22" s="472"/>
      <c r="G22" s="2563" t="str">
        <f>IF('数据-取费表'!B22&lt;=1,"((1)+(2))×年利率×建设期÷2","((1)+(2))×((1+年利率)^(建设期÷2)-1)")</f>
        <v>((1)+(2))×((1+年利率)^(建设期÷2)-1)</v>
      </c>
      <c r="H22" s="455"/>
      <c r="I22" s="455"/>
      <c r="J22" s="455"/>
      <c r="K22" s="456"/>
    </row>
    <row r="23" spans="1:14" s="2116" customFormat="1" ht="13.5" customHeight="1">
      <c r="A23" s="1630" t="s">
        <v>1846</v>
      </c>
      <c r="B23" s="1326" t="s">
        <v>505</v>
      </c>
      <c r="C23" s="486">
        <f ca="1">ROUND(IF('数据-取费表'!B22&lt;=1,F20*F21*'数据-取费表'!B20/2,F20*(POWER((1+F21),'数据-取费表'!B20/2)-1)),4)</f>
        <v>1E-3</v>
      </c>
      <c r="D23" s="470"/>
      <c r="E23" s="471"/>
      <c r="F23" s="472"/>
      <c r="G23" s="2563" t="str">
        <f>IF('数据-取费表'!B22&lt;=1,"销售费用率×年利率×建设期÷2","销售费用率×((1+年利率)^(建设期÷2)-1)")</f>
        <v>销售费用率×((1+年利率)^(建设期÷2)-1)</v>
      </c>
      <c r="H23" s="455"/>
      <c r="I23" s="455"/>
      <c r="J23" s="455"/>
      <c r="K23" s="456"/>
    </row>
    <row r="24" spans="1:14" s="2116" customFormat="1" ht="13.5" customHeight="1">
      <c r="A24" s="1631" t="s">
        <v>1856</v>
      </c>
      <c r="B24" s="3024" t="s">
        <v>2824</v>
      </c>
      <c r="C24" s="476">
        <f ca="1">C25</f>
        <v>11449</v>
      </c>
      <c r="D24" s="487">
        <f ca="1">C26</f>
        <v>4.4000000000000003E-3</v>
      </c>
      <c r="E24" s="467" t="s">
        <v>504</v>
      </c>
      <c r="F24" s="477">
        <f ca="1">IF(B1="",'数据-取费表'!Q16,INDIRECT("'数据-取费表'!q"&amp;$K$1))</f>
        <v>0.22</v>
      </c>
      <c r="G24" s="442"/>
      <c r="H24" s="445"/>
      <c r="I24" s="445"/>
      <c r="J24" s="445"/>
      <c r="K24" s="446"/>
    </row>
    <row r="25" spans="1:14" s="2116" customFormat="1" ht="13.5" customHeight="1">
      <c r="A25" s="1630" t="s">
        <v>1845</v>
      </c>
      <c r="B25" s="1326" t="s">
        <v>2430</v>
      </c>
      <c r="C25" s="488">
        <f ca="1">ROUND((C18+C19)*F24,0)</f>
        <v>11449</v>
      </c>
      <c r="D25" s="470"/>
      <c r="E25" s="471"/>
      <c r="F25" s="478"/>
      <c r="G25" s="1324" t="s">
        <v>2427</v>
      </c>
      <c r="H25" s="455"/>
      <c r="I25" s="455"/>
      <c r="J25" s="455"/>
      <c r="K25" s="456"/>
    </row>
    <row r="26" spans="1:14" s="2116" customFormat="1" ht="13.5" customHeight="1">
      <c r="A26" s="1630" t="s">
        <v>1846</v>
      </c>
      <c r="B26" s="1326" t="s">
        <v>506</v>
      </c>
      <c r="C26" s="489">
        <f ca="1">ROUND(F20*F24,4)</f>
        <v>4.4000000000000003E-3</v>
      </c>
      <c r="D26" s="470"/>
      <c r="E26" s="479"/>
      <c r="F26" s="478"/>
      <c r="G26" s="1324" t="s">
        <v>507</v>
      </c>
      <c r="H26" s="455"/>
      <c r="I26" s="455"/>
      <c r="J26" s="455"/>
      <c r="K26" s="456"/>
    </row>
    <row r="27" spans="1:14" s="2116" customFormat="1" ht="13.5" customHeight="1">
      <c r="A27" s="1634" t="s">
        <v>1864</v>
      </c>
      <c r="B27" s="457" t="s">
        <v>508</v>
      </c>
      <c r="C27" s="3023">
        <f>ROUND(F27/(1+'数据-取费表'!C42),4)</f>
        <v>5.33E-2</v>
      </c>
      <c r="D27" s="460" t="s">
        <v>2822</v>
      </c>
      <c r="E27" s="460"/>
      <c r="F27" s="464">
        <f>'数据-取费表'!B41</f>
        <v>5.6000000000000001E-2</v>
      </c>
      <c r="G27" s="1956" t="s">
        <v>2287</v>
      </c>
      <c r="H27" s="445"/>
      <c r="I27" s="445"/>
      <c r="J27" s="445"/>
      <c r="K27" s="446"/>
    </row>
    <row r="28" spans="1:14" s="2117" customFormat="1" ht="13.5" customHeight="1">
      <c r="A28" s="1634" t="s">
        <v>1865</v>
      </c>
      <c r="B28" s="474" t="s">
        <v>509</v>
      </c>
      <c r="C28" s="468">
        <f ca="1">ROUND((C18+C19+C21+C24)/(1-C20-D21-D24-C27),0)</f>
        <v>71594</v>
      </c>
      <c r="D28" s="475"/>
      <c r="E28" s="467"/>
      <c r="F28" s="469"/>
      <c r="G28" s="1325" t="s">
        <v>2428</v>
      </c>
      <c r="H28" s="445"/>
      <c r="I28" s="445"/>
      <c r="J28" s="445"/>
      <c r="K28" s="446"/>
    </row>
    <row r="29" spans="1:14" s="2117" customFormat="1" ht="13.5" customHeight="1">
      <c r="A29" s="1634" t="s">
        <v>1866</v>
      </c>
      <c r="B29" s="474" t="s">
        <v>510</v>
      </c>
      <c r="C29" s="490">
        <f ca="1">IF(B1="",'数据-取费表'!N16,INDIRECT("'数据-取费表'!N"&amp;$K$1))</f>
        <v>0</v>
      </c>
      <c r="D29" s="491"/>
      <c r="E29" s="492"/>
      <c r="F29" s="493"/>
      <c r="G29" s="442"/>
      <c r="H29" s="445"/>
      <c r="I29" s="445"/>
      <c r="J29" s="445"/>
      <c r="K29" s="446"/>
    </row>
    <row r="30" spans="1:14" s="2117" customFormat="1" ht="13.5" customHeight="1">
      <c r="A30" s="441">
        <v>2</v>
      </c>
      <c r="B30" s="474" t="s">
        <v>511</v>
      </c>
      <c r="C30" s="495">
        <f ca="1">ROUND(C28*C29,0)</f>
        <v>0</v>
      </c>
      <c r="D30" s="491"/>
      <c r="E30" s="496"/>
      <c r="F30" s="497"/>
      <c r="G30" s="1327" t="s">
        <v>512</v>
      </c>
      <c r="H30" s="494"/>
      <c r="I30" s="494"/>
      <c r="J30" s="445"/>
      <c r="K30" s="446"/>
    </row>
    <row r="31" spans="1:14" s="2122" customFormat="1" ht="13.5" customHeight="1">
      <c r="A31" s="2478" t="s">
        <v>1862</v>
      </c>
      <c r="B31" s="1328"/>
      <c r="C31" s="498">
        <f>ROUND(C6*F31/(1+'数据-取费表'!C42),0)</f>
        <v>0</v>
      </c>
      <c r="D31" s="1329"/>
      <c r="E31" s="1329"/>
      <c r="F31" s="499">
        <f>'数据-取费表'!B41</f>
        <v>5.6000000000000001E-2</v>
      </c>
      <c r="G31" s="1330"/>
      <c r="H31" s="1330"/>
      <c r="I31" s="1330"/>
      <c r="J31" s="1331"/>
      <c r="K31" s="1332"/>
    </row>
    <row r="32" spans="1:14" s="2081"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79"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513</v>
      </c>
      <c r="B1" s="501"/>
      <c r="C1" s="502" t="s">
        <v>594</v>
      </c>
      <c r="D1" s="503" t="s">
        <v>515</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464</v>
      </c>
      <c r="B2" s="506"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8" t="s">
        <v>1682</v>
      </c>
      <c r="B3" s="508"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6"/>
      <c r="AC3" s="426"/>
    </row>
    <row r="4" spans="1:29" s="1334" customFormat="1" ht="28.5" customHeight="1">
      <c r="A4" s="509" t="s">
        <v>517</v>
      </c>
      <c r="B4" s="425"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466</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6"/>
    </row>
    <row r="6" spans="1:29" ht="15">
      <c r="A6" s="510" t="s">
        <v>518</v>
      </c>
      <c r="B6" s="511"/>
      <c r="C6" s="3403" t="s">
        <v>519</v>
      </c>
      <c r="D6" s="3404"/>
      <c r="E6" s="3438" t="s">
        <v>520</v>
      </c>
      <c r="F6" s="3439"/>
      <c r="G6" s="3403" t="s">
        <v>521</v>
      </c>
      <c r="H6" s="3404"/>
      <c r="I6" s="3403" t="s">
        <v>522</v>
      </c>
      <c r="J6" s="3404"/>
      <c r="K6" s="512" t="s">
        <v>523</v>
      </c>
      <c r="L6" s="2129"/>
      <c r="M6" s="2130"/>
      <c r="N6" s="2130"/>
      <c r="O6" s="2130"/>
      <c r="P6" s="3405" t="s">
        <v>524</v>
      </c>
      <c r="Q6" s="3406"/>
      <c r="R6" s="3411" t="s">
        <v>520</v>
      </c>
      <c r="S6" s="3412"/>
      <c r="T6" s="3411" t="s">
        <v>521</v>
      </c>
      <c r="U6" s="3412"/>
      <c r="V6" s="3398" t="s">
        <v>522</v>
      </c>
      <c r="W6" s="3398"/>
      <c r="X6" s="1564"/>
      <c r="Y6" s="3411" t="s">
        <v>524</v>
      </c>
      <c r="Z6" s="3412"/>
      <c r="AA6" s="3400" t="s">
        <v>520</v>
      </c>
      <c r="AB6" s="3401" t="s">
        <v>521</v>
      </c>
      <c r="AC6" s="3400" t="s">
        <v>522</v>
      </c>
    </row>
    <row r="7" spans="1:29" ht="15">
      <c r="A7" s="513"/>
      <c r="B7" s="514"/>
      <c r="C7" s="3419" t="s">
        <v>2915</v>
      </c>
      <c r="D7" s="3420"/>
      <c r="E7" s="3440" t="s">
        <v>2916</v>
      </c>
      <c r="F7" s="3441"/>
      <c r="G7" s="3419" t="s">
        <v>2917</v>
      </c>
      <c r="H7" s="3420"/>
      <c r="I7" s="3419" t="s">
        <v>2918</v>
      </c>
      <c r="J7" s="3420"/>
      <c r="K7" s="512"/>
      <c r="L7" s="2129"/>
      <c r="M7" s="2130"/>
      <c r="N7" s="2130"/>
      <c r="O7" s="2130"/>
      <c r="P7" s="3407"/>
      <c r="Q7" s="3408"/>
      <c r="R7" s="3413"/>
      <c r="S7" s="3414"/>
      <c r="T7" s="3413"/>
      <c r="U7" s="3414"/>
      <c r="V7" s="3398"/>
      <c r="W7" s="3398"/>
      <c r="X7" s="1564"/>
      <c r="Y7" s="3413"/>
      <c r="Z7" s="3414"/>
      <c r="AA7" s="3401"/>
      <c r="AB7" s="3401"/>
      <c r="AC7" s="3401"/>
    </row>
    <row r="8" spans="1:29" ht="15.75" thickBot="1">
      <c r="A8" s="515"/>
      <c r="B8" s="516"/>
      <c r="C8" s="3417" t="s">
        <v>2919</v>
      </c>
      <c r="D8" s="3418"/>
      <c r="E8" s="3436" t="s">
        <v>2919</v>
      </c>
      <c r="F8" s="3437"/>
      <c r="G8" s="3417" t="s">
        <v>2919</v>
      </c>
      <c r="H8" s="3418"/>
      <c r="I8" s="3417" t="s">
        <v>2919</v>
      </c>
      <c r="J8" s="3418"/>
      <c r="K8" s="512" t="s">
        <v>525</v>
      </c>
      <c r="L8" s="2129"/>
      <c r="M8" s="2130"/>
      <c r="N8" s="2130"/>
      <c r="O8" s="2130"/>
      <c r="P8" s="3409"/>
      <c r="Q8" s="3410"/>
      <c r="R8" s="3413"/>
      <c r="S8" s="3414"/>
      <c r="T8" s="3415"/>
      <c r="U8" s="3416"/>
      <c r="V8" s="3398"/>
      <c r="W8" s="3398"/>
      <c r="X8" s="1564"/>
      <c r="Y8" s="3415"/>
      <c r="Z8" s="3416"/>
      <c r="AA8" s="3402"/>
      <c r="AB8" s="3402"/>
      <c r="AC8" s="3402"/>
    </row>
    <row r="9" spans="1:29" s="1218" customFormat="1" ht="15.75" thickBot="1">
      <c r="A9" s="2908"/>
      <c r="B9" s="2915" t="s">
        <v>526</v>
      </c>
      <c r="C9" s="517">
        <f>'数据-取费表'!B2</f>
        <v>43447</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429" t="s">
        <v>527</v>
      </c>
      <c r="Q9" s="3431"/>
      <c r="R9" s="1565" t="s">
        <v>8</v>
      </c>
      <c r="S9" s="1566">
        <f t="shared" ref="S9:S17" si="0">F9</f>
        <v>0</v>
      </c>
      <c r="T9" s="1565" t="s">
        <v>8</v>
      </c>
      <c r="U9" s="1566">
        <f t="shared" ref="U9:U17" si="1">H9</f>
        <v>0</v>
      </c>
      <c r="V9" s="1565" t="s">
        <v>8</v>
      </c>
      <c r="W9" s="1566">
        <f t="shared" ref="W9:W17" si="2">J9</f>
        <v>0</v>
      </c>
      <c r="X9" s="1567"/>
      <c r="Y9" s="3429" t="s">
        <v>527</v>
      </c>
      <c r="Z9" s="3430"/>
      <c r="AA9" s="1568" t="e">
        <f>D9/F9</f>
        <v>#DIV/0!</v>
      </c>
      <c r="AB9" s="1568" t="e">
        <f>D9/H9</f>
        <v>#DIV/0!</v>
      </c>
      <c r="AC9" s="1568" t="e">
        <f>D9/J9</f>
        <v>#DIV/0!</v>
      </c>
    </row>
    <row r="10" spans="1:29" s="1218" customFormat="1" ht="15.75" thickBot="1">
      <c r="A10" s="2909"/>
      <c r="B10" s="2916"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429" t="s">
        <v>530</v>
      </c>
      <c r="Q10" s="3430"/>
      <c r="R10" s="1565" t="s">
        <v>8</v>
      </c>
      <c r="S10" s="1566">
        <f t="shared" si="0"/>
        <v>0</v>
      </c>
      <c r="T10" s="1565" t="s">
        <v>8</v>
      </c>
      <c r="U10" s="1566">
        <f t="shared" si="1"/>
        <v>0</v>
      </c>
      <c r="V10" s="1565" t="s">
        <v>8</v>
      </c>
      <c r="W10" s="1566">
        <f t="shared" si="2"/>
        <v>0</v>
      </c>
      <c r="X10" s="1567"/>
      <c r="Y10" s="3429" t="s">
        <v>530</v>
      </c>
      <c r="Z10" s="3430"/>
      <c r="AA10" s="1568" t="e">
        <f t="shared" ref="AA10:AA42" si="3">D10/F10</f>
        <v>#DIV/0!</v>
      </c>
      <c r="AB10" s="1568" t="e">
        <f t="shared" ref="AB10:AB42" si="4">D10/H10</f>
        <v>#DIV/0!</v>
      </c>
      <c r="AC10" s="1568" t="e">
        <f t="shared" ref="AC10:AC42" si="5">D10/J10</f>
        <v>#DIV/0!</v>
      </c>
    </row>
    <row r="11" spans="1:29" s="1218" customFormat="1" ht="15">
      <c r="A11" s="2910"/>
      <c r="B11" s="2917" t="s">
        <v>2748</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397" t="s">
        <v>532</v>
      </c>
      <c r="Q11" s="1149" t="str">
        <f t="shared" ref="Q11:Q17" si="6">B11</f>
        <v>用途</v>
      </c>
      <c r="R11" s="1565" t="s">
        <v>8</v>
      </c>
      <c r="S11" s="1566">
        <f t="shared" si="0"/>
        <v>100</v>
      </c>
      <c r="T11" s="1565" t="s">
        <v>8</v>
      </c>
      <c r="U11" s="1566">
        <f t="shared" si="1"/>
        <v>100</v>
      </c>
      <c r="V11" s="1565" t="s">
        <v>8</v>
      </c>
      <c r="W11" s="1566">
        <f t="shared" si="2"/>
        <v>100</v>
      </c>
      <c r="X11" s="1567"/>
      <c r="Y11" s="3343" t="s">
        <v>533</v>
      </c>
      <c r="Z11" s="1148" t="str">
        <f t="shared" ref="Z11:Z17" si="7">Q11</f>
        <v>用途</v>
      </c>
      <c r="AA11" s="1568">
        <f t="shared" si="3"/>
        <v>1</v>
      </c>
      <c r="AB11" s="1568">
        <f t="shared" si="4"/>
        <v>1</v>
      </c>
      <c r="AC11" s="1568">
        <f t="shared" si="5"/>
        <v>1</v>
      </c>
    </row>
    <row r="12" spans="1:29" s="1336" customFormat="1" ht="27">
      <c r="A12" s="2911"/>
      <c r="B12" s="2916" t="s">
        <v>2749</v>
      </c>
      <c r="C12" s="526"/>
      <c r="D12" s="253">
        <v>100</v>
      </c>
      <c r="E12" s="526"/>
      <c r="F12" s="253">
        <f>ROUND(100/'数据-取费表'!G16,0)</f>
        <v>104</v>
      </c>
      <c r="G12" s="526"/>
      <c r="H12" s="253">
        <f>ROUND(100/'数据-取费表'!G16,0)</f>
        <v>104</v>
      </c>
      <c r="I12" s="526"/>
      <c r="J12" s="253">
        <f>ROUND(100/'数据-取费表'!G16,0)</f>
        <v>104</v>
      </c>
      <c r="K12" s="529"/>
      <c r="L12" s="2134"/>
      <c r="M12" s="2174"/>
      <c r="N12" s="2174"/>
      <c r="O12" s="2135"/>
      <c r="P12" s="3397"/>
      <c r="Q12" s="1149" t="str">
        <f t="shared" si="6"/>
        <v>土地使用年限（年）</v>
      </c>
      <c r="R12" s="1565" t="s">
        <v>8</v>
      </c>
      <c r="S12" s="1566">
        <f t="shared" si="0"/>
        <v>104</v>
      </c>
      <c r="T12" s="1565" t="s">
        <v>8</v>
      </c>
      <c r="U12" s="1566">
        <f t="shared" si="1"/>
        <v>104</v>
      </c>
      <c r="V12" s="1565" t="s">
        <v>8</v>
      </c>
      <c r="W12" s="1566">
        <f t="shared" si="2"/>
        <v>104</v>
      </c>
      <c r="X12" s="1567"/>
      <c r="Y12" s="3343"/>
      <c r="Z12" s="1148" t="str">
        <f t="shared" si="7"/>
        <v>土地使用年限（年）</v>
      </c>
      <c r="AA12" s="1568">
        <f t="shared" si="3"/>
        <v>0.96153846153846156</v>
      </c>
      <c r="AB12" s="1568">
        <f t="shared" si="4"/>
        <v>0.96153846153846156</v>
      </c>
      <c r="AC12" s="1568">
        <f t="shared" si="5"/>
        <v>0.96153846153846156</v>
      </c>
    </row>
    <row r="13" spans="1:29" ht="15">
      <c r="A13" s="2912"/>
      <c r="B13" s="2916" t="s">
        <v>2750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397"/>
      <c r="Q13" s="1149" t="str">
        <f t="shared" si="6"/>
        <v>容积率</v>
      </c>
      <c r="R13" s="1565" t="s">
        <v>8</v>
      </c>
      <c r="S13" s="1566" t="e">
        <f t="shared" si="0"/>
        <v>#N/A</v>
      </c>
      <c r="T13" s="1565" t="s">
        <v>8</v>
      </c>
      <c r="U13" s="1566" t="e">
        <f t="shared" si="1"/>
        <v>#N/A</v>
      </c>
      <c r="V13" s="1565" t="s">
        <v>8</v>
      </c>
      <c r="W13" s="1566" t="e">
        <f t="shared" si="2"/>
        <v>#N/A</v>
      </c>
      <c r="X13" s="1567"/>
      <c r="Y13" s="3343"/>
      <c r="Z13" s="1148" t="str">
        <f t="shared" si="7"/>
        <v>容积率</v>
      </c>
      <c r="AA13" s="1568" t="e">
        <f t="shared" si="3"/>
        <v>#N/A</v>
      </c>
      <c r="AB13" s="1568" t="e">
        <f t="shared" si="4"/>
        <v>#N/A</v>
      </c>
      <c r="AC13" s="1568" t="e">
        <f t="shared" si="5"/>
        <v>#N/A</v>
      </c>
    </row>
    <row r="14" spans="1:29" s="1218" customFormat="1" ht="15">
      <c r="A14" s="2913"/>
      <c r="B14" s="2919">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397"/>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D14/F14</f>
        <v>1</v>
      </c>
      <c r="AB14" s="1568">
        <f>D14/H14</f>
        <v>1</v>
      </c>
      <c r="AC14" s="1568">
        <f>D14/J14</f>
        <v>1</v>
      </c>
    </row>
    <row r="15" spans="1:29" ht="15">
      <c r="A15" s="2913"/>
      <c r="B15" s="2919">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397"/>
      <c r="Q15" s="1149">
        <f t="shared" si="6"/>
        <v>111</v>
      </c>
      <c r="R15" s="1565" t="s">
        <v>8</v>
      </c>
      <c r="S15" s="1566">
        <f t="shared" si="0"/>
        <v>100</v>
      </c>
      <c r="T15" s="1565" t="s">
        <v>8</v>
      </c>
      <c r="U15" s="1566">
        <f t="shared" si="1"/>
        <v>100</v>
      </c>
      <c r="V15" s="1565" t="s">
        <v>8</v>
      </c>
      <c r="W15" s="1566">
        <f t="shared" si="2"/>
        <v>100</v>
      </c>
      <c r="X15" s="1567"/>
      <c r="Y15" s="3343"/>
      <c r="Z15" s="1148">
        <f t="shared" si="7"/>
        <v>111</v>
      </c>
      <c r="AA15" s="1568">
        <f t="shared" si="3"/>
        <v>1</v>
      </c>
      <c r="AB15" s="1568">
        <f t="shared" si="4"/>
        <v>1</v>
      </c>
      <c r="AC15" s="1568">
        <f t="shared" si="5"/>
        <v>1</v>
      </c>
    </row>
    <row r="16" spans="1:29" ht="15.75" thickBot="1">
      <c r="A16" s="2914"/>
      <c r="B16" s="2920">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397"/>
      <c r="Q16" s="1149">
        <f t="shared" si="6"/>
        <v>111</v>
      </c>
      <c r="R16" s="1565" t="s">
        <v>8</v>
      </c>
      <c r="S16" s="1566">
        <f t="shared" si="0"/>
        <v>100</v>
      </c>
      <c r="T16" s="1565" t="s">
        <v>8</v>
      </c>
      <c r="U16" s="1566">
        <f t="shared" si="1"/>
        <v>100</v>
      </c>
      <c r="V16" s="1565" t="s">
        <v>8</v>
      </c>
      <c r="W16" s="1566">
        <f t="shared" si="2"/>
        <v>100</v>
      </c>
      <c r="X16" s="1567"/>
      <c r="Y16" s="3343"/>
      <c r="Z16" s="1148">
        <f t="shared" si="7"/>
        <v>111</v>
      </c>
      <c r="AA16" s="1568">
        <f t="shared" si="3"/>
        <v>1</v>
      </c>
      <c r="AB16" s="1568">
        <f t="shared" si="4"/>
        <v>1</v>
      </c>
      <c r="AC16" s="1568">
        <f t="shared" si="5"/>
        <v>1</v>
      </c>
    </row>
    <row r="17" spans="1:29" ht="57">
      <c r="A17" s="2906" t="s">
        <v>2746</v>
      </c>
      <c r="B17" s="164"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432" t="s">
        <v>537</v>
      </c>
      <c r="Q17" s="1569" t="str">
        <f t="shared" si="6"/>
        <v>产业集聚程度</v>
      </c>
      <c r="R17" s="1570" t="s">
        <v>8</v>
      </c>
      <c r="S17" s="1571">
        <f t="shared" si="0"/>
        <v>100</v>
      </c>
      <c r="T17" s="1570" t="s">
        <v>8</v>
      </c>
      <c r="U17" s="1571">
        <f t="shared" si="1"/>
        <v>100</v>
      </c>
      <c r="V17" s="1570" t="s">
        <v>8</v>
      </c>
      <c r="W17" s="1571">
        <f t="shared" si="2"/>
        <v>100</v>
      </c>
      <c r="X17" s="1564"/>
      <c r="Y17" s="3432" t="s">
        <v>537</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8"/>
      <c r="M18" s="2130"/>
      <c r="N18" s="2130"/>
      <c r="O18" s="2137"/>
      <c r="P18" s="3433"/>
      <c r="Q18" s="1569"/>
      <c r="R18" s="1570"/>
      <c r="S18" s="1571"/>
      <c r="T18" s="1570"/>
      <c r="U18" s="1571"/>
      <c r="V18" s="1570"/>
      <c r="W18" s="1571"/>
      <c r="X18" s="1564"/>
      <c r="Y18" s="3433"/>
      <c r="Z18" s="1572"/>
      <c r="AA18" s="1573">
        <v>1</v>
      </c>
      <c r="AB18" s="1573">
        <v>1</v>
      </c>
      <c r="AC18" s="1573">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433"/>
      <c r="Q19" s="1569" t="str">
        <f>B19</f>
        <v>交通便捷度</v>
      </c>
      <c r="R19" s="1570" t="s">
        <v>8</v>
      </c>
      <c r="S19" s="1571">
        <f>F19</f>
        <v>100</v>
      </c>
      <c r="T19" s="1570" t="s">
        <v>8</v>
      </c>
      <c r="U19" s="1571">
        <f>H19</f>
        <v>100</v>
      </c>
      <c r="V19" s="1570" t="s">
        <v>8</v>
      </c>
      <c r="W19" s="1571">
        <f>J19</f>
        <v>100</v>
      </c>
      <c r="X19" s="1564"/>
      <c r="Y19" s="3433"/>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8"/>
      <c r="M20" s="2130"/>
      <c r="N20" s="2130"/>
      <c r="O20" s="2137"/>
      <c r="P20" s="3433"/>
      <c r="Q20" s="1569"/>
      <c r="R20" s="1570"/>
      <c r="S20" s="1571"/>
      <c r="T20" s="1570"/>
      <c r="U20" s="1571"/>
      <c r="V20" s="1570"/>
      <c r="W20" s="1571"/>
      <c r="X20" s="1564"/>
      <c r="Y20" s="3433"/>
      <c r="Z20" s="1572"/>
      <c r="AA20" s="1573">
        <v>1</v>
      </c>
      <c r="AB20" s="1573">
        <v>1</v>
      </c>
      <c r="AC20" s="1573">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8"/>
      <c r="M21" s="2130"/>
      <c r="N21" s="2130"/>
      <c r="O21" s="2137"/>
      <c r="P21" s="3433"/>
      <c r="Q21" s="1569" t="str">
        <f t="shared" ref="Q21:Q35" si="8">B21</f>
        <v>区域土地利用方向</v>
      </c>
      <c r="R21" s="1570" t="s">
        <v>8</v>
      </c>
      <c r="S21" s="1571">
        <f>F21</f>
        <v>100</v>
      </c>
      <c r="T21" s="1570" t="s">
        <v>8</v>
      </c>
      <c r="U21" s="1571">
        <f>H21</f>
        <v>100</v>
      </c>
      <c r="V21" s="1570" t="s">
        <v>8</v>
      </c>
      <c r="W21" s="1571">
        <f>J21</f>
        <v>100</v>
      </c>
      <c r="X21" s="1564"/>
      <c r="Y21" s="3433"/>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8"/>
      <c r="M22" s="2130"/>
      <c r="N22" s="2130"/>
      <c r="O22" s="2137"/>
      <c r="P22" s="3433"/>
      <c r="Q22" s="1569"/>
      <c r="R22" s="1570"/>
      <c r="S22" s="1571"/>
      <c r="T22" s="1570"/>
      <c r="U22" s="1571"/>
      <c r="V22" s="1570"/>
      <c r="W22" s="1571"/>
      <c r="X22" s="1564"/>
      <c r="Y22" s="3433"/>
      <c r="Z22" s="1572"/>
      <c r="AA22" s="1573"/>
      <c r="AB22" s="1573"/>
      <c r="AC22" s="1573"/>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433"/>
      <c r="Q23" s="1569" t="str">
        <f t="shared" si="8"/>
        <v>环境状况</v>
      </c>
      <c r="R23" s="1570" t="s">
        <v>8</v>
      </c>
      <c r="S23" s="1571">
        <f>F23</f>
        <v>100</v>
      </c>
      <c r="T23" s="1570" t="s">
        <v>8</v>
      </c>
      <c r="U23" s="1571">
        <f>H23</f>
        <v>100</v>
      </c>
      <c r="V23" s="1570" t="s">
        <v>8</v>
      </c>
      <c r="W23" s="1571">
        <f>J23</f>
        <v>100</v>
      </c>
      <c r="X23" s="1564"/>
      <c r="Y23" s="3433"/>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8"/>
      <c r="M24" s="2130"/>
      <c r="N24" s="2130"/>
      <c r="O24" s="2137"/>
      <c r="P24" s="3433"/>
      <c r="Q24" s="1569"/>
      <c r="R24" s="1570"/>
      <c r="S24" s="1571"/>
      <c r="T24" s="1570"/>
      <c r="U24" s="1571"/>
      <c r="V24" s="1570"/>
      <c r="W24" s="1571"/>
      <c r="X24" s="1564"/>
      <c r="Y24" s="3433"/>
      <c r="Z24" s="1572"/>
      <c r="AA24" s="1573">
        <v>1</v>
      </c>
      <c r="AB24" s="1573">
        <v>1</v>
      </c>
      <c r="AC24" s="1573">
        <v>1</v>
      </c>
    </row>
    <row r="25" spans="1:29" s="1218" customFormat="1" ht="42.75">
      <c r="A25" s="575"/>
      <c r="B25" s="2589" t="s">
        <v>2540</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433"/>
      <c r="Q25" s="1149" t="str">
        <f t="shared" si="8"/>
        <v>公共配套设施</v>
      </c>
      <c r="R25" s="1565" t="s">
        <v>8</v>
      </c>
      <c r="S25" s="1566">
        <f>F25</f>
        <v>100</v>
      </c>
      <c r="T25" s="1565" t="s">
        <v>8</v>
      </c>
      <c r="U25" s="1566">
        <f>H25</f>
        <v>100</v>
      </c>
      <c r="V25" s="1565" t="s">
        <v>8</v>
      </c>
      <c r="W25" s="1566">
        <f>J25</f>
        <v>100</v>
      </c>
      <c r="X25" s="1567"/>
      <c r="Y25" s="3433"/>
      <c r="Z25" s="1148" t="str">
        <f>Q25</f>
        <v>公共配套设施</v>
      </c>
      <c r="AA25" s="1573">
        <f>D25/F25</f>
        <v>1</v>
      </c>
      <c r="AB25" s="1573">
        <f>D25/H25</f>
        <v>1</v>
      </c>
      <c r="AC25" s="1573">
        <f>D25/J25</f>
        <v>1</v>
      </c>
    </row>
    <row r="26" spans="1:29" s="1218" customFormat="1" ht="15">
      <c r="A26" s="575"/>
      <c r="B26" s="593"/>
      <c r="C26" s="2588"/>
      <c r="D26" s="553"/>
      <c r="E26" s="552"/>
      <c r="F26" s="553"/>
      <c r="G26" s="552"/>
      <c r="H26" s="553"/>
      <c r="I26" s="574"/>
      <c r="J26" s="553"/>
      <c r="K26" s="529"/>
      <c r="L26" s="2131"/>
      <c r="M26" s="2132"/>
      <c r="N26" s="2132"/>
      <c r="O26" s="2133"/>
      <c r="P26" s="3433"/>
      <c r="Q26" s="1149"/>
      <c r="R26" s="1565"/>
      <c r="S26" s="1566"/>
      <c r="T26" s="1565"/>
      <c r="U26" s="1566"/>
      <c r="V26" s="1565"/>
      <c r="W26" s="1566"/>
      <c r="X26" s="1567"/>
      <c r="Y26" s="3433"/>
      <c r="Z26" s="1148"/>
      <c r="AA26" s="1568">
        <v>1</v>
      </c>
      <c r="AB26" s="1568">
        <v>1</v>
      </c>
      <c r="AC26" s="1568">
        <v>1</v>
      </c>
    </row>
    <row r="27" spans="1:29" s="1218" customFormat="1" ht="28.5">
      <c r="A27" s="575"/>
      <c r="B27" s="2589" t="s">
        <v>2541</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433"/>
      <c r="Q27" s="2574" t="str">
        <f t="shared" ref="Q27" si="9">B27</f>
        <v>基础设施水平</v>
      </c>
      <c r="R27" s="1565" t="s">
        <v>8</v>
      </c>
      <c r="S27" s="1566">
        <f>F27</f>
        <v>100</v>
      </c>
      <c r="T27" s="1565" t="s">
        <v>8</v>
      </c>
      <c r="U27" s="1566">
        <f>H27</f>
        <v>100</v>
      </c>
      <c r="V27" s="1565" t="s">
        <v>8</v>
      </c>
      <c r="W27" s="1566">
        <f>J27</f>
        <v>100</v>
      </c>
      <c r="X27" s="1567"/>
      <c r="Y27" s="3433"/>
      <c r="Z27" s="2571" t="str">
        <f>Q27</f>
        <v>基础设施水平</v>
      </c>
      <c r="AA27" s="1573">
        <f>D27/F27</f>
        <v>1</v>
      </c>
      <c r="AB27" s="1573">
        <f>D27/H27</f>
        <v>1</v>
      </c>
      <c r="AC27" s="1573">
        <f>D27/J27</f>
        <v>1</v>
      </c>
    </row>
    <row r="28" spans="1:29" s="1218" customFormat="1" ht="15">
      <c r="A28" s="575"/>
      <c r="B28" s="593"/>
      <c r="C28" s="2588"/>
      <c r="D28" s="553"/>
      <c r="E28" s="577"/>
      <c r="F28" s="553"/>
      <c r="G28" s="577"/>
      <c r="H28" s="553"/>
      <c r="I28" s="577"/>
      <c r="J28" s="553"/>
      <c r="K28" s="529"/>
      <c r="L28" s="2131"/>
      <c r="M28" s="2132"/>
      <c r="N28" s="2132"/>
      <c r="O28" s="2133"/>
      <c r="P28" s="3433"/>
      <c r="Q28" s="2574"/>
      <c r="R28" s="1565"/>
      <c r="S28" s="1566"/>
      <c r="T28" s="1565"/>
      <c r="U28" s="1566"/>
      <c r="V28" s="1565"/>
      <c r="W28" s="1566"/>
      <c r="X28" s="1567"/>
      <c r="Y28" s="3433"/>
      <c r="Z28" s="2571"/>
      <c r="AA28" s="1568">
        <v>1</v>
      </c>
      <c r="AB28" s="1568">
        <v>1</v>
      </c>
      <c r="AC28" s="1568">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433"/>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3"/>
      <c r="Z29" s="1572" t="str">
        <f t="shared" ref="Z29:Z42" si="13">Q29</f>
        <v>临街状况</v>
      </c>
      <c r="AA29" s="1573">
        <f t="shared" si="3"/>
        <v>1</v>
      </c>
      <c r="AB29" s="1573">
        <f t="shared" si="4"/>
        <v>1</v>
      </c>
      <c r="AC29" s="1573">
        <f t="shared" si="5"/>
        <v>1</v>
      </c>
    </row>
    <row r="30" spans="1:29" ht="27">
      <c r="A30" s="530"/>
      <c r="B30" s="920" t="s">
        <v>545</v>
      </c>
      <c r="C30" s="259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433"/>
      <c r="Q30" s="1569" t="str">
        <f t="shared" si="8"/>
        <v>毗邻道路的类型与等级</v>
      </c>
      <c r="R30" s="1570" t="s">
        <v>8</v>
      </c>
      <c r="S30" s="1571">
        <f t="shared" si="10"/>
        <v>100</v>
      </c>
      <c r="T30" s="1570" t="s">
        <v>8</v>
      </c>
      <c r="U30" s="1571">
        <f t="shared" si="11"/>
        <v>100</v>
      </c>
      <c r="V30" s="1570" t="s">
        <v>8</v>
      </c>
      <c r="W30" s="1571">
        <f t="shared" si="12"/>
        <v>100</v>
      </c>
      <c r="X30" s="1564"/>
      <c r="Y30" s="3433"/>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8"/>
      <c r="M31" s="2130"/>
      <c r="N31" s="2130"/>
      <c r="O31" s="2137"/>
      <c r="P31" s="3433"/>
      <c r="Q31" s="1569"/>
      <c r="R31" s="1570"/>
      <c r="S31" s="1571"/>
      <c r="T31" s="1570"/>
      <c r="U31" s="1571"/>
      <c r="V31" s="1570"/>
      <c r="W31" s="1571"/>
      <c r="X31" s="1564"/>
      <c r="Y31" s="3433"/>
      <c r="Z31" s="1572"/>
      <c r="AA31" s="1573">
        <v>1</v>
      </c>
      <c r="AB31" s="1573">
        <v>1</v>
      </c>
      <c r="AC31" s="1573">
        <v>1</v>
      </c>
    </row>
    <row r="32" spans="1:29" ht="15">
      <c r="A32" s="530"/>
      <c r="B32" s="525" t="s">
        <v>546</v>
      </c>
      <c r="C32" s="259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433"/>
      <c r="Q32" s="1569" t="str">
        <f t="shared" si="8"/>
        <v>土地级别</v>
      </c>
      <c r="R32" s="1570" t="s">
        <v>8</v>
      </c>
      <c r="S32" s="1571">
        <f t="shared" si="10"/>
        <v>100</v>
      </c>
      <c r="T32" s="1570" t="s">
        <v>8</v>
      </c>
      <c r="U32" s="1571">
        <f t="shared" si="11"/>
        <v>100</v>
      </c>
      <c r="V32" s="1570" t="s">
        <v>8</v>
      </c>
      <c r="W32" s="1571">
        <f t="shared" si="12"/>
        <v>100</v>
      </c>
      <c r="X32" s="1564"/>
      <c r="Y32" s="3433"/>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433"/>
      <c r="Q33" s="1569">
        <f t="shared" si="8"/>
        <v>111</v>
      </c>
      <c r="R33" s="1570" t="s">
        <v>8</v>
      </c>
      <c r="S33" s="1571">
        <f t="shared" si="10"/>
        <v>100</v>
      </c>
      <c r="T33" s="1570" t="s">
        <v>8</v>
      </c>
      <c r="U33" s="1571">
        <f t="shared" si="11"/>
        <v>100</v>
      </c>
      <c r="V33" s="1570" t="s">
        <v>8</v>
      </c>
      <c r="W33" s="1571">
        <f t="shared" si="12"/>
        <v>100</v>
      </c>
      <c r="X33" s="1564"/>
      <c r="Y33" s="3433"/>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434" t="s">
        <v>547</v>
      </c>
      <c r="Q34" s="1569">
        <f t="shared" si="8"/>
        <v>111</v>
      </c>
      <c r="R34" s="1570" t="s">
        <v>8</v>
      </c>
      <c r="S34" s="1571">
        <f t="shared" si="10"/>
        <v>100</v>
      </c>
      <c r="T34" s="1570" t="s">
        <v>8</v>
      </c>
      <c r="U34" s="1571">
        <f t="shared" si="11"/>
        <v>100</v>
      </c>
      <c r="V34" s="1570" t="s">
        <v>8</v>
      </c>
      <c r="W34" s="1571">
        <f t="shared" si="12"/>
        <v>100</v>
      </c>
      <c r="X34" s="1564"/>
      <c r="Y34" s="3435" t="s">
        <v>547</v>
      </c>
      <c r="Z34" s="1572">
        <f t="shared" si="13"/>
        <v>111</v>
      </c>
      <c r="AA34" s="1573">
        <f t="shared" si="3"/>
        <v>1</v>
      </c>
      <c r="AB34" s="1573">
        <f t="shared" si="4"/>
        <v>1</v>
      </c>
      <c r="AC34" s="1573">
        <f t="shared" si="5"/>
        <v>1</v>
      </c>
    </row>
    <row r="35" spans="1:29" s="1337" customFormat="1" ht="15.75" thickBot="1">
      <c r="A35" s="587"/>
      <c r="B35" s="259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435"/>
      <c r="Q35" s="1569">
        <f t="shared" si="8"/>
        <v>111</v>
      </c>
      <c r="R35" s="1574" t="s">
        <v>8</v>
      </c>
      <c r="S35" s="1575">
        <f t="shared" si="10"/>
        <v>100</v>
      </c>
      <c r="T35" s="1574" t="s">
        <v>8</v>
      </c>
      <c r="U35" s="1575">
        <f t="shared" si="11"/>
        <v>100</v>
      </c>
      <c r="V35" s="1574" t="s">
        <v>8</v>
      </c>
      <c r="W35" s="1575">
        <f t="shared" si="12"/>
        <v>100</v>
      </c>
      <c r="X35" s="1576"/>
      <c r="Y35" s="3435"/>
      <c r="Z35" s="1577">
        <f t="shared" si="13"/>
        <v>111</v>
      </c>
      <c r="AA35" s="1573">
        <f t="shared" si="3"/>
        <v>1</v>
      </c>
      <c r="AB35" s="1573">
        <f t="shared" si="4"/>
        <v>1</v>
      </c>
      <c r="AC35" s="1573">
        <f t="shared" si="5"/>
        <v>1</v>
      </c>
    </row>
    <row r="36" spans="1:29" ht="15">
      <c r="A36" s="2903" t="s">
        <v>2747</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435"/>
      <c r="Q36" s="1569" t="str">
        <f>B36</f>
        <v>宗地面积</v>
      </c>
      <c r="R36" s="1570" t="s">
        <v>8</v>
      </c>
      <c r="S36" s="1571" t="e">
        <f t="shared" si="10"/>
        <v>#N/A</v>
      </c>
      <c r="T36" s="1570" t="s">
        <v>8</v>
      </c>
      <c r="U36" s="1571" t="e">
        <f t="shared" si="11"/>
        <v>#N/A</v>
      </c>
      <c r="V36" s="1570" t="s">
        <v>8</v>
      </c>
      <c r="W36" s="1571" t="e">
        <f t="shared" si="12"/>
        <v>#N/A</v>
      </c>
      <c r="X36" s="1564"/>
      <c r="Y36" s="3435"/>
      <c r="Z36" s="1572" t="str">
        <f t="shared" si="13"/>
        <v>宗地面积</v>
      </c>
      <c r="AA36" s="1573" t="e">
        <f t="shared" si="3"/>
        <v>#N/A</v>
      </c>
      <c r="AB36" s="1573" t="e">
        <f t="shared" si="4"/>
        <v>#N/A</v>
      </c>
      <c r="AC36" s="1573"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435"/>
      <c r="Q37" s="1569" t="str">
        <f t="shared" ref="Q37:Q42" si="14">B37</f>
        <v>宗地形状</v>
      </c>
      <c r="R37" s="1570" t="s">
        <v>8</v>
      </c>
      <c r="S37" s="1571">
        <f t="shared" si="10"/>
        <v>100</v>
      </c>
      <c r="T37" s="1570" t="s">
        <v>8</v>
      </c>
      <c r="U37" s="1571">
        <f t="shared" si="11"/>
        <v>100</v>
      </c>
      <c r="V37" s="1570" t="s">
        <v>8</v>
      </c>
      <c r="W37" s="1571">
        <f t="shared" si="12"/>
        <v>100</v>
      </c>
      <c r="X37" s="1564"/>
      <c r="Y37" s="3435"/>
      <c r="Z37" s="1572" t="str">
        <f t="shared" si="13"/>
        <v>宗地形状</v>
      </c>
      <c r="AA37" s="1573">
        <f t="shared" si="3"/>
        <v>1</v>
      </c>
      <c r="AB37" s="1573">
        <f t="shared" si="4"/>
        <v>1</v>
      </c>
      <c r="AC37" s="1573">
        <f t="shared" si="5"/>
        <v>1</v>
      </c>
    </row>
    <row r="38" spans="1:29" s="1218" customFormat="1" ht="15">
      <c r="A38" s="598"/>
      <c r="B38" s="1891"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435"/>
      <c r="Q38" s="1569" t="str">
        <f t="shared" si="14"/>
        <v>宗地开发程度</v>
      </c>
      <c r="R38" s="1565" t="s">
        <v>8</v>
      </c>
      <c r="S38" s="1566">
        <f t="shared" si="10"/>
        <v>100</v>
      </c>
      <c r="T38" s="1565" t="s">
        <v>8</v>
      </c>
      <c r="U38" s="1566">
        <f t="shared" si="11"/>
        <v>100</v>
      </c>
      <c r="V38" s="1565" t="s">
        <v>8</v>
      </c>
      <c r="W38" s="1566">
        <f t="shared" si="12"/>
        <v>100</v>
      </c>
      <c r="X38" s="1567"/>
      <c r="Y38" s="3435"/>
      <c r="Z38" s="1148" t="str">
        <f t="shared" si="13"/>
        <v>宗地开发程度</v>
      </c>
      <c r="AA38" s="1568">
        <f t="shared" si="3"/>
        <v>1</v>
      </c>
      <c r="AB38" s="1568">
        <f t="shared" si="4"/>
        <v>1</v>
      </c>
      <c r="AC38" s="1568">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35" t="s">
        <v>598</v>
      </c>
      <c r="Q39" s="1569" t="str">
        <f t="shared" si="14"/>
        <v>工程地质条件</v>
      </c>
      <c r="R39" s="1570" t="s">
        <v>8</v>
      </c>
      <c r="S39" s="1571">
        <f t="shared" si="10"/>
        <v>100</v>
      </c>
      <c r="T39" s="1570" t="s">
        <v>8</v>
      </c>
      <c r="U39" s="1571">
        <f t="shared" si="11"/>
        <v>100</v>
      </c>
      <c r="V39" s="1570" t="s">
        <v>8</v>
      </c>
      <c r="W39" s="1571">
        <f t="shared" si="12"/>
        <v>100</v>
      </c>
      <c r="X39" s="1564"/>
      <c r="Y39" s="3435" t="s">
        <v>598</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435"/>
      <c r="Q40" s="1569">
        <f t="shared" si="14"/>
        <v>111</v>
      </c>
      <c r="R40" s="1570" t="s">
        <v>8</v>
      </c>
      <c r="S40" s="1571">
        <f t="shared" si="10"/>
        <v>100</v>
      </c>
      <c r="T40" s="1570" t="s">
        <v>8</v>
      </c>
      <c r="U40" s="1571">
        <f t="shared" si="11"/>
        <v>100</v>
      </c>
      <c r="V40" s="1570" t="s">
        <v>8</v>
      </c>
      <c r="W40" s="1571">
        <f t="shared" si="12"/>
        <v>100</v>
      </c>
      <c r="X40" s="1564"/>
      <c r="Y40" s="3435"/>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435"/>
      <c r="Q41" s="1569">
        <f t="shared" si="14"/>
        <v>111</v>
      </c>
      <c r="R41" s="1570" t="s">
        <v>8</v>
      </c>
      <c r="S41" s="1571">
        <f t="shared" si="10"/>
        <v>100</v>
      </c>
      <c r="T41" s="1570" t="s">
        <v>8</v>
      </c>
      <c r="U41" s="1571">
        <f t="shared" si="11"/>
        <v>100</v>
      </c>
      <c r="V41" s="1570" t="s">
        <v>8</v>
      </c>
      <c r="W41" s="1571">
        <f t="shared" si="12"/>
        <v>100</v>
      </c>
      <c r="X41" s="1564"/>
      <c r="Y41" s="3435"/>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435"/>
      <c r="Q42" s="1569">
        <f t="shared" si="14"/>
        <v>111</v>
      </c>
      <c r="R42" s="1574" t="s">
        <v>8</v>
      </c>
      <c r="S42" s="1575">
        <f t="shared" si="10"/>
        <v>100</v>
      </c>
      <c r="T42" s="1574" t="s">
        <v>8</v>
      </c>
      <c r="U42" s="1575">
        <f t="shared" si="11"/>
        <v>100</v>
      </c>
      <c r="V42" s="1574" t="s">
        <v>8</v>
      </c>
      <c r="W42" s="1575">
        <f t="shared" si="12"/>
        <v>100</v>
      </c>
      <c r="X42" s="1576"/>
      <c r="Y42" s="3435"/>
      <c r="Z42" s="1577">
        <f t="shared" si="13"/>
        <v>111</v>
      </c>
      <c r="AA42" s="1573">
        <f t="shared" si="3"/>
        <v>1</v>
      </c>
      <c r="AB42" s="1573">
        <f t="shared" si="4"/>
        <v>1</v>
      </c>
      <c r="AC42" s="1573">
        <f t="shared" si="5"/>
        <v>1</v>
      </c>
    </row>
    <row r="43" spans="1:29" ht="15">
      <c r="A43" s="605" t="s">
        <v>553</v>
      </c>
      <c r="B43" s="606" t="s">
        <v>2920</v>
      </c>
      <c r="C43" s="607" t="s">
        <v>1</v>
      </c>
      <c r="D43" s="608"/>
      <c r="E43" s="609"/>
      <c r="F43" s="610"/>
      <c r="G43" s="611"/>
      <c r="H43" s="612"/>
      <c r="I43" s="609"/>
      <c r="J43" s="612"/>
      <c r="K43" s="1338"/>
      <c r="L43" s="2140"/>
      <c r="M43" s="2130"/>
      <c r="N43" s="2130"/>
      <c r="O43" s="2141"/>
      <c r="P43" s="3397" t="str">
        <f>A43</f>
        <v>成交单价</v>
      </c>
      <c r="Q43" s="3397"/>
      <c r="R43" s="3398">
        <f>E43</f>
        <v>0</v>
      </c>
      <c r="S43" s="3398"/>
      <c r="T43" s="3398">
        <f>G43</f>
        <v>0</v>
      </c>
      <c r="U43" s="3398"/>
      <c r="V43" s="3398">
        <f>I43</f>
        <v>0</v>
      </c>
      <c r="W43" s="3398"/>
      <c r="X43" s="1556"/>
      <c r="Y43" s="1578"/>
      <c r="Z43" s="1556"/>
      <c r="AA43" s="1556"/>
      <c r="AB43" s="1556"/>
      <c r="AC43" s="1556"/>
    </row>
    <row r="44" spans="1:29" ht="15.75" thickBot="1">
      <c r="A44" s="613" t="s">
        <v>2685</v>
      </c>
      <c r="B44" s="614"/>
      <c r="C44" s="615" t="e">
        <f>R45</f>
        <v>#DIV/0!</v>
      </c>
      <c r="D44" s="616"/>
      <c r="E44" s="615" t="e">
        <f>R44</f>
        <v>#DIV/0!</v>
      </c>
      <c r="F44" s="617"/>
      <c r="G44" s="618" t="e">
        <f>T44</f>
        <v>#DIV/0!</v>
      </c>
      <c r="H44" s="616"/>
      <c r="I44" s="615" t="e">
        <f>V44</f>
        <v>#DIV/0!</v>
      </c>
      <c r="J44" s="616"/>
      <c r="K44" s="1339"/>
      <c r="L44" s="2140"/>
      <c r="M44" s="2130"/>
      <c r="N44" s="2130"/>
      <c r="O44" s="2141"/>
      <c r="P44" s="3397" t="str">
        <f>A44</f>
        <v>比较价格（元/平方米）</v>
      </c>
      <c r="Q44" s="3397"/>
      <c r="R44" s="3399" t="e">
        <f>ROUND(PRODUCT(R43,AA9:AA42),0)</f>
        <v>#DIV/0!</v>
      </c>
      <c r="S44" s="3399"/>
      <c r="T44" s="3399" t="e">
        <f>ROUND(PRODUCT(T43,AB9:AB42),0)</f>
        <v>#DIV/0!</v>
      </c>
      <c r="U44" s="3399"/>
      <c r="V44" s="3399" t="e">
        <f>ROUND(PRODUCT(V43,AC9:AC42),0)</f>
        <v>#DIV/0!</v>
      </c>
      <c r="W44" s="3399"/>
      <c r="X44" s="1556"/>
      <c r="Y44" s="1556"/>
      <c r="Z44" s="1556"/>
      <c r="AA44" s="1556"/>
      <c r="AB44" s="1556"/>
      <c r="AC44" s="1556"/>
    </row>
    <row r="45" spans="1:29" ht="15.75" thickBot="1">
      <c r="A45" s="619" t="s">
        <v>2921</v>
      </c>
      <c r="B45" s="620"/>
      <c r="C45" s="621" t="e">
        <f>R45</f>
        <v>#DIV/0!</v>
      </c>
      <c r="D45" s="621"/>
      <c r="E45" s="621"/>
      <c r="F45" s="621"/>
      <c r="G45" s="621"/>
      <c r="H45" s="621"/>
      <c r="I45" s="621"/>
      <c r="J45" s="621"/>
      <c r="K45" s="1340"/>
      <c r="L45" s="2140"/>
      <c r="M45" s="2130"/>
      <c r="N45" s="2130"/>
      <c r="O45" s="2141"/>
      <c r="P45" s="3394" t="str">
        <f>A45</f>
        <v>估价对象XX用房的比较价格（楼面单价，元/平方米）</v>
      </c>
      <c r="Q45" s="3395"/>
      <c r="R45" s="3396" t="e">
        <f>ROUND(AVERAGE(R44:V44),0)</f>
        <v>#DIV/0!</v>
      </c>
      <c r="S45" s="3396"/>
      <c r="T45" s="3396"/>
      <c r="U45" s="3396"/>
      <c r="V45" s="3396"/>
      <c r="W45" s="3396"/>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7" t="s">
        <v>557</v>
      </c>
      <c r="B52" s="628" t="s">
        <v>558</v>
      </c>
      <c r="C52" s="1557" t="s">
        <v>1721</v>
      </c>
      <c r="D52" s="2223" t="s">
        <v>2289</v>
      </c>
      <c r="E52" s="629" t="s">
        <v>559</v>
      </c>
      <c r="F52" s="1947" t="s">
        <v>560</v>
      </c>
      <c r="G52" s="3442" t="s">
        <v>2280</v>
      </c>
      <c r="H52" s="3443"/>
      <c r="I52" s="1948" t="s">
        <v>1944</v>
      </c>
      <c r="J52" s="1552" t="str">
        <f>项目基本情况!F41</f>
        <v>河北省石家庄市</v>
      </c>
      <c r="K52" s="2150" t="s">
        <v>1720</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1" t="s">
        <v>561</v>
      </c>
      <c r="B53" s="632" t="e">
        <f>C45</f>
        <v>#DIV/0!</v>
      </c>
      <c r="C53" s="633">
        <v>1</v>
      </c>
      <c r="D53" s="2224">
        <v>1</v>
      </c>
      <c r="E53" s="633">
        <f>'数据-汇总表'!E8+'数据-汇总表'!E9</f>
        <v>154682.24999999997</v>
      </c>
      <c r="F53" s="1946" t="e">
        <f t="shared" ref="F53:F62" si="15">ROUND(B53*E53/10000,0)</f>
        <v>#DIV/0!</v>
      </c>
      <c r="G53" s="3444"/>
      <c r="H53" s="3445"/>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5" t="s">
        <v>562</v>
      </c>
      <c r="B54" s="636" t="e">
        <f>ROUND($C$45*C54*D54,0)</f>
        <v>#DIV/0!</v>
      </c>
      <c r="C54" s="376">
        <f t="shared" ref="C54:C62" si="16">IF($C$52="北京市系数",I54,J54)</f>
        <v>0</v>
      </c>
      <c r="D54" s="2225">
        <v>0.25</v>
      </c>
      <c r="E54" s="637"/>
      <c r="F54" s="1946" t="e">
        <f t="shared" si="15"/>
        <v>#DIV/0!</v>
      </c>
      <c r="G54" s="3446" t="s">
        <v>2281</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5" t="s">
        <v>563</v>
      </c>
      <c r="B55" s="636" t="e">
        <f t="shared" ref="B55:B62" si="17">ROUND($C$45*C55*D55,0)</f>
        <v>#DIV/0!</v>
      </c>
      <c r="C55" s="376">
        <f t="shared" si="16"/>
        <v>0</v>
      </c>
      <c r="D55" s="2225">
        <v>0.25</v>
      </c>
      <c r="E55" s="637"/>
      <c r="F55" s="1946" t="e">
        <f t="shared" si="15"/>
        <v>#DIV/0!</v>
      </c>
      <c r="G55" s="3446"/>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5" t="s">
        <v>564</v>
      </c>
      <c r="B56" s="636" t="e">
        <f t="shared" si="17"/>
        <v>#DIV/0!</v>
      </c>
      <c r="C56" s="376">
        <f t="shared" si="16"/>
        <v>0</v>
      </c>
      <c r="D56" s="2225">
        <v>0.25</v>
      </c>
      <c r="E56" s="637"/>
      <c r="F56" s="1946" t="e">
        <f t="shared" si="15"/>
        <v>#DIV/0!</v>
      </c>
      <c r="G56" s="3446"/>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5" t="s">
        <v>565</v>
      </c>
      <c r="B57" s="636" t="e">
        <f t="shared" si="17"/>
        <v>#DIV/0!</v>
      </c>
      <c r="C57" s="376">
        <f t="shared" si="16"/>
        <v>0</v>
      </c>
      <c r="D57" s="2225">
        <v>0.25</v>
      </c>
      <c r="E57" s="637"/>
      <c r="F57" s="1946" t="e">
        <f t="shared" si="15"/>
        <v>#DIV/0!</v>
      </c>
      <c r="G57" s="3446"/>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2322</v>
      </c>
      <c r="B58" s="636" t="e">
        <f t="shared" si="17"/>
        <v>#DIV/0!</v>
      </c>
      <c r="C58" s="376">
        <f t="shared" si="16"/>
        <v>0</v>
      </c>
      <c r="D58" s="2225">
        <v>0.25</v>
      </c>
      <c r="E58" s="639">
        <f>'数据-汇总表'!E11</f>
        <v>0</v>
      </c>
      <c r="F58" s="1946" t="e">
        <f t="shared" si="15"/>
        <v>#DIV/0!</v>
      </c>
      <c r="G58" s="1952" t="s">
        <v>2282</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5" t="s">
        <v>566</v>
      </c>
      <c r="B59" s="636" t="e">
        <f t="shared" si="17"/>
        <v>#DIV/0!</v>
      </c>
      <c r="C59" s="376">
        <f t="shared" si="16"/>
        <v>0</v>
      </c>
      <c r="D59" s="2225">
        <v>0.25</v>
      </c>
      <c r="E59" s="639">
        <f>'数据-汇总表'!E12</f>
        <v>6650.08</v>
      </c>
      <c r="F59" s="1946" t="e">
        <f t="shared" si="15"/>
        <v>#DIV/0!</v>
      </c>
      <c r="G59" s="1942" t="s">
        <v>1675</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5" t="s">
        <v>567</v>
      </c>
      <c r="B60" s="636" t="e">
        <f t="shared" si="17"/>
        <v>#DIV/0!</v>
      </c>
      <c r="C60" s="376">
        <f t="shared" si="16"/>
        <v>0</v>
      </c>
      <c r="D60" s="2225">
        <v>0.25</v>
      </c>
      <c r="E60" s="639">
        <f>'数据-汇总表'!E13</f>
        <v>23721.78</v>
      </c>
      <c r="F60" s="1946" t="e">
        <f t="shared" si="15"/>
        <v>#DIV/0!</v>
      </c>
      <c r="G60" s="1942" t="s">
        <v>920</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5" t="s">
        <v>568</v>
      </c>
      <c r="B61" s="636" t="e">
        <f t="shared" si="17"/>
        <v>#DIV/0!</v>
      </c>
      <c r="C61" s="376">
        <f t="shared" si="16"/>
        <v>0</v>
      </c>
      <c r="D61" s="2225">
        <v>0.25</v>
      </c>
      <c r="E61" s="639">
        <f>'数据-汇总表'!E14</f>
        <v>0</v>
      </c>
      <c r="F61" s="1946" t="e">
        <f t="shared" si="15"/>
        <v>#DIV/0!</v>
      </c>
      <c r="G61" s="1952" t="s">
        <v>2281</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5" t="s">
        <v>569</v>
      </c>
      <c r="B62" s="636" t="e">
        <f t="shared" si="17"/>
        <v>#DIV/0!</v>
      </c>
      <c r="C62" s="376">
        <f t="shared" si="16"/>
        <v>0</v>
      </c>
      <c r="D62" s="2225">
        <v>0.25</v>
      </c>
      <c r="E62" s="639">
        <f>'数据-汇总表'!E15</f>
        <v>0</v>
      </c>
      <c r="F62" s="1946" t="e">
        <f t="shared" si="15"/>
        <v>#DIV/0!</v>
      </c>
      <c r="G62" s="1953" t="s">
        <v>2282</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0" t="s">
        <v>570</v>
      </c>
      <c r="B63" s="641" t="s">
        <v>17</v>
      </c>
      <c r="C63" s="641" t="s">
        <v>18</v>
      </c>
      <c r="D63" s="641" t="s">
        <v>2290</v>
      </c>
      <c r="E63" s="641">
        <f>IF(B43="楼面地价",SUM(E53:E62),'数据-汇总表'!D3)</f>
        <v>32181.54</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2018-12-1</v>
      </c>
      <c r="D65" s="2795">
        <f>EDATE(C65,-3)</f>
        <v>43344</v>
      </c>
      <c r="E65" s="2795">
        <f t="shared" ref="E65:N65" si="18">EDATE(D65,-3)</f>
        <v>43252</v>
      </c>
      <c r="F65" s="2795">
        <f t="shared" si="18"/>
        <v>43160</v>
      </c>
      <c r="G65" s="2795">
        <f t="shared" si="18"/>
        <v>43070</v>
      </c>
      <c r="H65" s="2795">
        <f t="shared" si="18"/>
        <v>42979</v>
      </c>
      <c r="I65" s="2795">
        <f t="shared" si="18"/>
        <v>42887</v>
      </c>
      <c r="J65" s="2795">
        <f t="shared" si="18"/>
        <v>42795</v>
      </c>
      <c r="K65" s="2795">
        <f t="shared" si="18"/>
        <v>42705</v>
      </c>
      <c r="L65" s="2795">
        <f t="shared" si="18"/>
        <v>42614</v>
      </c>
      <c r="M65" s="2795">
        <f t="shared" si="18"/>
        <v>42522</v>
      </c>
      <c r="N65" s="2795">
        <f t="shared" si="18"/>
        <v>42430</v>
      </c>
      <c r="O65" s="2141"/>
      <c r="P65" s="2141"/>
      <c r="Q65" s="2141"/>
      <c r="R65" s="2141"/>
      <c r="S65" s="2141"/>
      <c r="T65" s="2141"/>
      <c r="U65" s="2141"/>
      <c r="V65" s="2141"/>
      <c r="W65" s="2141"/>
      <c r="X65" s="2141"/>
      <c r="Y65" s="2141"/>
      <c r="Z65" s="2141"/>
      <c r="AA65" s="2141"/>
      <c r="AB65" s="2141"/>
      <c r="AC65" s="2141"/>
    </row>
    <row r="66" spans="1:29" ht="21.75" thickBot="1">
      <c r="A66" s="1581" t="s">
        <v>571</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64" t="s">
        <v>2525</v>
      </c>
      <c r="B67" s="644"/>
      <c r="C67" s="2790" t="str">
        <f>YEAR(C65)&amp;"-"&amp;ROUNDUP(MONTH(C65)/3,0)</f>
        <v>2018-4</v>
      </c>
      <c r="D67" s="2797" t="str">
        <f t="shared" ref="D67:N67" si="19">YEAR(D65)&amp;"-"&amp;ROUNDUP(MONTH(D65)/3,0)</f>
        <v>2018-3</v>
      </c>
      <c r="E67" s="2797" t="str">
        <f t="shared" si="19"/>
        <v>2018-2</v>
      </c>
      <c r="F67" s="2797" t="str">
        <f t="shared" si="19"/>
        <v>2018-1</v>
      </c>
      <c r="G67" s="2797" t="str">
        <f t="shared" si="19"/>
        <v>2017-4</v>
      </c>
      <c r="H67" s="2797" t="str">
        <f t="shared" si="19"/>
        <v>2017-3</v>
      </c>
      <c r="I67" s="2797" t="str">
        <f t="shared" si="19"/>
        <v>2017-2</v>
      </c>
      <c r="J67" s="2797" t="str">
        <f t="shared" si="19"/>
        <v>2017-1</v>
      </c>
      <c r="K67" s="2797" t="str">
        <f t="shared" si="19"/>
        <v>2016-4</v>
      </c>
      <c r="L67" s="2797" t="str">
        <f t="shared" si="19"/>
        <v>2016-3</v>
      </c>
      <c r="M67" s="2797" t="str">
        <f t="shared" si="19"/>
        <v>2016-2</v>
      </c>
      <c r="N67" s="2797" t="str">
        <f t="shared" si="19"/>
        <v>2016-1</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2641</v>
      </c>
      <c r="B68" s="477" t="str">
        <f>"北京市平均增长率"&amp;TEXT(基准地价!P24,"0.00%")</f>
        <v>北京市平均增长率1.42%</v>
      </c>
      <c r="C68" s="892">
        <v>100</v>
      </c>
      <c r="D68" s="728"/>
      <c r="E68" s="728"/>
      <c r="F68" s="728"/>
      <c r="G68" s="728"/>
      <c r="H68" s="728"/>
      <c r="I68" s="728"/>
      <c r="J68" s="728"/>
      <c r="K68" s="728"/>
      <c r="L68" s="728"/>
      <c r="M68" s="2788"/>
      <c r="N68" s="2789"/>
      <c r="O68" s="2158"/>
      <c r="P68" s="2154"/>
      <c r="Q68" s="1989"/>
      <c r="R68" s="1989"/>
      <c r="S68" s="1989"/>
      <c r="T68" s="1989"/>
      <c r="U68" s="1989"/>
      <c r="V68" s="1989"/>
      <c r="W68" s="1989"/>
      <c r="X68" s="1989"/>
      <c r="Y68" s="1989"/>
      <c r="Z68" s="1989"/>
      <c r="AA68" s="1989"/>
      <c r="AB68" s="1989"/>
      <c r="AC68" s="1989"/>
    </row>
    <row r="69" spans="1:29" s="1218" customFormat="1" ht="15.75" thickBot="1">
      <c r="A69" s="651" t="s">
        <v>572</v>
      </c>
      <c r="B69" s="652"/>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5">
      <c r="A70" s="657" t="s">
        <v>528</v>
      </c>
      <c r="B70" s="646"/>
      <c r="C70" s="658" t="s">
        <v>573</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c r="A72" s="662" t="s">
        <v>574</v>
      </c>
      <c r="B72" s="663" t="s">
        <v>531</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5.75"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7.75" thickTop="1">
      <c r="A74" s="667"/>
      <c r="B74" s="671" t="s">
        <v>534</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c r="A85" s="662" t="s">
        <v>536</v>
      </c>
      <c r="B85" s="663" t="s">
        <v>599</v>
      </c>
      <c r="C85" s="701" t="s">
        <v>576</v>
      </c>
      <c r="D85" s="701" t="s">
        <v>577</v>
      </c>
      <c r="E85" s="701" t="s">
        <v>578</v>
      </c>
      <c r="F85" s="701" t="s">
        <v>579</v>
      </c>
      <c r="G85" s="701" t="s">
        <v>580</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75" thickTop="1">
      <c r="A87" s="667"/>
      <c r="B87" s="671" t="s">
        <v>583</v>
      </c>
      <c r="C87" s="706" t="s">
        <v>576</v>
      </c>
      <c r="D87" s="706" t="s">
        <v>577</v>
      </c>
      <c r="E87" s="706" t="s">
        <v>578</v>
      </c>
      <c r="F87" s="706" t="s">
        <v>579</v>
      </c>
      <c r="G87" s="706" t="s">
        <v>580</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7"/>
      <c r="B89" s="671" t="s">
        <v>584</v>
      </c>
      <c r="C89" s="706" t="s">
        <v>576</v>
      </c>
      <c r="D89" s="706" t="s">
        <v>577</v>
      </c>
      <c r="E89" s="706" t="s">
        <v>578</v>
      </c>
      <c r="F89" s="706" t="s">
        <v>579</v>
      </c>
      <c r="G89" s="706" t="s">
        <v>580</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7"/>
      <c r="B91" s="671" t="s">
        <v>585</v>
      </c>
      <c r="C91" s="701" t="s">
        <v>576</v>
      </c>
      <c r="D91" s="701" t="s">
        <v>577</v>
      </c>
      <c r="E91" s="701" t="s">
        <v>578</v>
      </c>
      <c r="F91" s="701" t="s">
        <v>579</v>
      </c>
      <c r="G91" s="701" t="s">
        <v>580</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5"/>
      <c r="B93" s="1892" t="s">
        <v>2540</v>
      </c>
      <c r="C93" s="701" t="s">
        <v>576</v>
      </c>
      <c r="D93" s="701" t="s">
        <v>577</v>
      </c>
      <c r="E93" s="701" t="s">
        <v>578</v>
      </c>
      <c r="F93" s="701" t="s">
        <v>579</v>
      </c>
      <c r="G93" s="701" t="s">
        <v>580</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5"/>
      <c r="B95" s="2593" t="s">
        <v>2542</v>
      </c>
      <c r="C95" s="2594" t="s">
        <v>2543</v>
      </c>
      <c r="D95" s="2594" t="s">
        <v>2544</v>
      </c>
      <c r="E95" s="2594" t="s">
        <v>2545</v>
      </c>
      <c r="F95" s="2594" t="s">
        <v>2546</v>
      </c>
      <c r="G95" s="2594" t="s">
        <v>2547</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6"/>
      <c r="N96" s="2163"/>
      <c r="O96" s="2163"/>
      <c r="P96" s="2164"/>
      <c r="Q96" s="2165"/>
      <c r="R96" s="2166"/>
      <c r="S96" s="2166"/>
      <c r="T96" s="2166"/>
      <c r="U96" s="2166"/>
      <c r="V96" s="2166"/>
      <c r="W96" s="2166"/>
      <c r="X96" s="2166"/>
      <c r="Y96" s="2166"/>
      <c r="Z96" s="2166"/>
      <c r="AA96" s="2166"/>
      <c r="AB96" s="2166"/>
      <c r="AC96" s="2166"/>
    </row>
    <row r="97" spans="1:29" ht="15.75" thickTop="1">
      <c r="A97" s="667"/>
      <c r="B97" s="671" t="str">
        <f>B29</f>
        <v>临街状况</v>
      </c>
      <c r="C97" s="672" t="s">
        <v>586</v>
      </c>
      <c r="D97" s="672" t="s">
        <v>587</v>
      </c>
      <c r="E97" s="672" t="s">
        <v>588</v>
      </c>
      <c r="F97" s="672" t="s">
        <v>589</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7"/>
      <c r="B99" s="671" t="s">
        <v>545</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7"/>
      <c r="B101" s="671" t="s">
        <v>546</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5.75"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5"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2" t="str">
        <f t="shared" si="25"/>
        <v>(含)-</v>
      </c>
      <c r="L109" s="3083" t="str">
        <f t="shared" si="25"/>
        <v>(含)-</v>
      </c>
      <c r="M109" s="3084"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591</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6"/>
      <c r="B114" s="1892" t="s">
        <v>2419</v>
      </c>
      <c r="C114" s="1373"/>
      <c r="D114" s="1373"/>
      <c r="E114" s="1373"/>
      <c r="F114" s="1373"/>
      <c r="G114" s="1373"/>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593</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5"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5.75"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2420</v>
      </c>
      <c r="D1" s="1518">
        <f>SUM(D29:D30,D33:D39)</f>
        <v>0</v>
      </c>
      <c r="E1" s="1403" t="s">
        <v>2421</v>
      </c>
      <c r="F1" s="2448"/>
      <c r="G1" s="1398"/>
      <c r="H1" s="1398"/>
      <c r="I1" s="1398"/>
      <c r="J1" s="1398"/>
      <c r="K1" s="1398"/>
      <c r="L1" s="1878" t="s">
        <v>2235</v>
      </c>
      <c r="M1" s="1879">
        <f>SUMPRODUCT((区片价!B5:B9=I2)*(区片价!C3:F3=E2)*(区片价!C5:F9))</f>
        <v>0</v>
      </c>
      <c r="N1" s="1880">
        <f>SUMPRODUCT((因素修正幅度!B5:B9=I2)*(因素修正幅度!C3:F3=E2)*(因素修正幅度!C5:F9))</f>
        <v>0</v>
      </c>
      <c r="O1" s="2185"/>
      <c r="P1" s="2185"/>
      <c r="Q1" s="2185"/>
      <c r="R1" s="2932" t="s">
        <v>2754</v>
      </c>
      <c r="S1" s="2932" t="s">
        <v>2755</v>
      </c>
      <c r="T1" s="2932" t="s">
        <v>2776</v>
      </c>
      <c r="U1" s="2932" t="s">
        <v>2777</v>
      </c>
      <c r="V1" s="2932" t="s">
        <v>2778</v>
      </c>
      <c r="W1" s="2185"/>
      <c r="X1" s="2185"/>
      <c r="Y1" s="2185"/>
      <c r="Z1" s="2185"/>
      <c r="AA1" s="2185"/>
      <c r="AB1" s="2185"/>
      <c r="AC1" s="2186"/>
    </row>
    <row r="2" spans="1:39" ht="15.75">
      <c r="A2" s="1403" t="s">
        <v>917</v>
      </c>
      <c r="B2" s="1036" t="e">
        <f>C26</f>
        <v>#DIV/0!</v>
      </c>
      <c r="C2" s="1404" t="s">
        <v>918</v>
      </c>
      <c r="D2" s="1405" t="s">
        <v>919</v>
      </c>
      <c r="E2" s="1406"/>
      <c r="F2" s="1405" t="s">
        <v>921</v>
      </c>
      <c r="G2" s="1649">
        <f>IF(E2="商业",项目基本情况!B43,IF(E2="办公",项目基本情况!C43,IF(E2="住宅",项目基本情况!D43,项目基本情况!E43)))</f>
        <v>0</v>
      </c>
      <c r="H2" s="1405" t="s">
        <v>923</v>
      </c>
      <c r="I2" s="1650">
        <f>IF(E2="商业",项目基本情况!B44,IF(E2="办公",项目基本情况!C44,IF(E2="住宅",项目基本情况!D44,项目基本情况!E44)))</f>
        <v>0</v>
      </c>
      <c r="J2" s="1407"/>
      <c r="K2" s="1398"/>
      <c r="L2" s="1881" t="s">
        <v>2236</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8" t="s">
        <v>1684</v>
      </c>
      <c r="B3" s="1036" t="e">
        <f>ROUND(B2*10000/D1,0)</f>
        <v>#DIV/0!</v>
      </c>
      <c r="C3" s="1404" t="s">
        <v>924</v>
      </c>
      <c r="D3" s="1405" t="s">
        <v>925</v>
      </c>
      <c r="E3" s="1409"/>
      <c r="F3" s="1410" t="s">
        <v>2922</v>
      </c>
      <c r="G3" s="1037">
        <f>IF(F3="宗地容积率",'数据-汇总表'!I4,IF(F3="估价对象容积率",'数据-汇总表'!I6,'数据-汇总表'!I7))</f>
        <v>4.8499999999999996</v>
      </c>
      <c r="H3" s="1411" t="s">
        <v>926</v>
      </c>
      <c r="I3" s="1038">
        <v>8</v>
      </c>
      <c r="J3" s="1407" t="s">
        <v>927</v>
      </c>
      <c r="K3" s="1398"/>
      <c r="L3" s="1881" t="s">
        <v>2237</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2276</v>
      </c>
      <c r="B4" s="2449" t="e">
        <f>ROUND(B2*10000/F1,0)</f>
        <v>#DIV/0!</v>
      </c>
      <c r="C4" s="1890" t="s">
        <v>2251</v>
      </c>
      <c r="D4" s="1890" t="e">
        <f>ROUND(B2/(F1/666.67),0)</f>
        <v>#DIV/0!</v>
      </c>
      <c r="E4" s="1890" t="s">
        <v>2252</v>
      </c>
      <c r="F4" s="1888"/>
      <c r="G4" s="1888"/>
      <c r="H4" s="1888"/>
      <c r="I4" s="1888"/>
      <c r="J4" s="1889"/>
      <c r="K4" s="1398"/>
      <c r="L4" s="1881" t="s">
        <v>2238</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8" customFormat="1" ht="15.75" thickBot="1">
      <c r="A5" s="1635" t="s">
        <v>1820</v>
      </c>
      <c r="B5" s="1412" t="s">
        <v>928</v>
      </c>
      <c r="C5" s="1039" t="e">
        <f>ROUND(IF(E2="商业",IF(F16="增加",C6*C7+C16,C6*C7-C16),IF(E2="住宅",IF(F16="增加",C6*C12+C16,C6*C12-C16),IF(F16="增加",C6+C16,C6-C16))),0)</f>
        <v>#DIV/0!</v>
      </c>
      <c r="D5" s="3110">
        <f>ROUND(IF(E2="商业",IF(F16="增加",C6+C16,C6-C16)),0)</f>
        <v>0</v>
      </c>
      <c r="E5" s="1413"/>
      <c r="F5" s="1413"/>
      <c r="G5" s="1414"/>
      <c r="H5" s="1414"/>
      <c r="I5" s="1414"/>
      <c r="J5" s="1415"/>
      <c r="K5" s="1591"/>
      <c r="L5" s="1881" t="s">
        <v>2239</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1867</v>
      </c>
      <c r="B6" s="1419" t="s">
        <v>928</v>
      </c>
      <c r="C6" s="1040">
        <f>SUMIF(L1:L12,基准地价!G2,M1:M12)</f>
        <v>0</v>
      </c>
      <c r="D6" s="1420" t="s">
        <v>1692</v>
      </c>
      <c r="E6" s="1421"/>
      <c r="F6" s="1421"/>
      <c r="G6" s="1422"/>
      <c r="H6" s="1422"/>
      <c r="I6" s="1422"/>
      <c r="J6" s="1423"/>
      <c r="K6" s="1592"/>
      <c r="L6" s="1881" t="s">
        <v>2240</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6"/>
      <c r="AE6" s="1416"/>
      <c r="AF6" s="1416"/>
      <c r="AG6" s="1416"/>
      <c r="AH6" s="1416"/>
      <c r="AI6" s="1416"/>
      <c r="AJ6" s="1417"/>
    </row>
    <row r="7" spans="1:39" ht="24">
      <c r="A7" s="3456" t="str">
        <f>IF(E2="商业",IF(C8="不临58条商业街","",2),"")</f>
        <v/>
      </c>
      <c r="B7" s="1424" t="s">
        <v>929</v>
      </c>
      <c r="C7" s="1041" t="e">
        <f>IF(C8="不临58条商业街",1,ROUND(1+(1.6*E8+1.2*E9+0.8*E10+0.4*E11)*C9,4))</f>
        <v>#DIV/0!</v>
      </c>
      <c r="D7" s="1425" t="s">
        <v>930</v>
      </c>
      <c r="E7" s="1042"/>
      <c r="F7" s="1426"/>
      <c r="G7" s="1427"/>
      <c r="H7" s="1427"/>
      <c r="I7" s="1427"/>
      <c r="J7" s="1428"/>
      <c r="K7" s="1592"/>
      <c r="L7" s="1881" t="s">
        <v>2241</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2757</v>
      </c>
      <c r="X7" s="2923">
        <f>G2</f>
        <v>0</v>
      </c>
      <c r="Y7" s="2923" t="s">
        <v>2758</v>
      </c>
      <c r="Z7" s="2924">
        <f>G3</f>
        <v>4.8499999999999996</v>
      </c>
      <c r="AA7" s="2188"/>
      <c r="AB7" s="2188"/>
      <c r="AC7" s="2189"/>
      <c r="AD7" s="2925"/>
      <c r="AE7" s="2925"/>
      <c r="AF7" s="2925"/>
      <c r="AG7" s="2925"/>
      <c r="AH7" s="2925"/>
      <c r="AI7" s="2925"/>
      <c r="AJ7" s="2926"/>
    </row>
    <row r="8" spans="1:39" ht="15">
      <c r="A8" s="3457"/>
      <c r="B8" s="1411" t="s">
        <v>931</v>
      </c>
      <c r="C8" s="1526"/>
      <c r="D8" s="1043" t="s">
        <v>932</v>
      </c>
      <c r="E8" s="1044" t="e">
        <f>ROUND(C11/E7,4)</f>
        <v>#DIV/0!</v>
      </c>
      <c r="F8" s="1429" t="s">
        <v>933</v>
      </c>
      <c r="G8" s="1430"/>
      <c r="H8" s="1430"/>
      <c r="I8" s="1430"/>
      <c r="J8" s="1431"/>
      <c r="K8" s="1398"/>
      <c r="L8" s="1881" t="s">
        <v>2242</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48" t="s">
        <v>2775</v>
      </c>
      <c r="X8" s="3449"/>
      <c r="Y8" s="1845" t="s">
        <v>2759</v>
      </c>
      <c r="Z8" s="1845" t="s">
        <v>2760</v>
      </c>
      <c r="AA8" s="1845" t="s">
        <v>2761</v>
      </c>
      <c r="AB8" s="1845" t="s">
        <v>2762</v>
      </c>
      <c r="AC8" s="1845" t="s">
        <v>2763</v>
      </c>
      <c r="AD8" s="1845" t="s">
        <v>2764</v>
      </c>
      <c r="AE8" s="1845" t="s">
        <v>2765</v>
      </c>
      <c r="AF8" s="1845" t="s">
        <v>2766</v>
      </c>
      <c r="AG8" s="1845" t="s">
        <v>2767</v>
      </c>
      <c r="AH8" s="1845" t="s">
        <v>2768</v>
      </c>
      <c r="AI8" s="1845" t="s">
        <v>2769</v>
      </c>
      <c r="AJ8" s="1845" t="s">
        <v>2770</v>
      </c>
    </row>
    <row r="9" spans="1:39" ht="15">
      <c r="A9" s="3457"/>
      <c r="B9" s="1411" t="s">
        <v>934</v>
      </c>
      <c r="C9" s="1045">
        <f>SUMIF(修正!C59:C119,C8,修正!E59:E119)</f>
        <v>0</v>
      </c>
      <c r="D9" s="1046" t="s">
        <v>935</v>
      </c>
      <c r="E9" s="1046" t="e">
        <f>ROUND(C11/E7,4)</f>
        <v>#DIV/0!</v>
      </c>
      <c r="F9" s="1429" t="s">
        <v>936</v>
      </c>
      <c r="G9" s="1430"/>
      <c r="H9" s="1430"/>
      <c r="I9" s="1430"/>
      <c r="J9" s="1431"/>
      <c r="K9" s="1398"/>
      <c r="L9" s="1881" t="s">
        <v>2243</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47" t="s">
        <v>2771</v>
      </c>
      <c r="X9" s="2927" t="s">
        <v>2772</v>
      </c>
      <c r="Y9" s="3088"/>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57"/>
      <c r="B10" s="1411" t="s">
        <v>937</v>
      </c>
      <c r="C10" s="1046">
        <f>SUMIF(修正!C59:C119,C8,修正!F59:F119)</f>
        <v>0</v>
      </c>
      <c r="D10" s="1046" t="s">
        <v>938</v>
      </c>
      <c r="E10" s="1046" t="e">
        <f>ROUND(C11/E7,4)</f>
        <v>#DIV/0!</v>
      </c>
      <c r="F10" s="1429" t="s">
        <v>939</v>
      </c>
      <c r="G10" s="1430"/>
      <c r="H10" s="1430"/>
      <c r="I10" s="1430"/>
      <c r="J10" s="1431"/>
      <c r="K10" s="1398"/>
      <c r="L10" s="1881" t="s">
        <v>2244</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47"/>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57"/>
      <c r="B11" s="1432" t="s">
        <v>940</v>
      </c>
      <c r="C11" s="1047">
        <f>C10/4</f>
        <v>0</v>
      </c>
      <c r="D11" s="1047" t="s">
        <v>941</v>
      </c>
      <c r="E11" s="1047" t="e">
        <f>ROUND(C11/E7,4)</f>
        <v>#DIV/0!</v>
      </c>
      <c r="F11" s="1433" t="s">
        <v>942</v>
      </c>
      <c r="G11" s="1434"/>
      <c r="H11" s="1434"/>
      <c r="I11" s="1434"/>
      <c r="J11" s="1435"/>
      <c r="K11" s="1398"/>
      <c r="L11" s="1881" t="s">
        <v>2245</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47" t="s">
        <v>2773</v>
      </c>
      <c r="X11" s="1046" t="s">
        <v>2758</v>
      </c>
      <c r="Y11" s="1650">
        <f>$G$3</f>
        <v>4.8499999999999996</v>
      </c>
      <c r="Z11" s="1650">
        <f t="shared" ref="Z11:AJ11" si="3">$G$3</f>
        <v>4.8499999999999996</v>
      </c>
      <c r="AA11" s="1650">
        <f t="shared" si="3"/>
        <v>4.8499999999999996</v>
      </c>
      <c r="AB11" s="1650">
        <f t="shared" si="3"/>
        <v>4.8499999999999996</v>
      </c>
      <c r="AC11" s="1650">
        <f t="shared" si="3"/>
        <v>4.8499999999999996</v>
      </c>
      <c r="AD11" s="1650">
        <f t="shared" si="3"/>
        <v>4.8499999999999996</v>
      </c>
      <c r="AE11" s="1650">
        <f t="shared" si="3"/>
        <v>4.8499999999999996</v>
      </c>
      <c r="AF11" s="1650">
        <f t="shared" si="3"/>
        <v>4.8499999999999996</v>
      </c>
      <c r="AG11" s="1650">
        <f t="shared" si="3"/>
        <v>4.8499999999999996</v>
      </c>
      <c r="AH11" s="1650">
        <f t="shared" si="3"/>
        <v>4.8499999999999996</v>
      </c>
      <c r="AI11" s="1650">
        <f t="shared" si="3"/>
        <v>4.8499999999999996</v>
      </c>
      <c r="AJ11" s="1650">
        <f t="shared" si="3"/>
        <v>4.8499999999999996</v>
      </c>
    </row>
    <row r="12" spans="1:39" ht="25.5" thickBot="1">
      <c r="A12" s="3456" t="s">
        <v>1868</v>
      </c>
      <c r="B12" s="1436" t="s">
        <v>943</v>
      </c>
      <c r="C12" s="1041">
        <f>ROUND(C15*D15*E15*F15*G15*H15*I15*J15,4)</f>
        <v>1</v>
      </c>
      <c r="D12" s="1437" t="s">
        <v>944</v>
      </c>
      <c r="E12" s="1438"/>
      <c r="F12" s="1438"/>
      <c r="G12" s="1439"/>
      <c r="H12" s="1439"/>
      <c r="I12" s="1439"/>
      <c r="J12" s="1440"/>
      <c r="K12" s="1398"/>
      <c r="L12" s="1884" t="s">
        <v>2246</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47"/>
      <c r="X12" s="2930" t="s">
        <v>2774</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58"/>
      <c r="B13" s="1441" t="s">
        <v>1693</v>
      </c>
      <c r="C13" s="1442" t="s">
        <v>1694</v>
      </c>
      <c r="D13" s="1087" t="s">
        <v>1695</v>
      </c>
      <c r="E13" s="1087" t="s">
        <v>1696</v>
      </c>
      <c r="F13" s="1443" t="s">
        <v>945</v>
      </c>
      <c r="G13" s="1444" t="s">
        <v>1640</v>
      </c>
      <c r="H13" s="1445" t="s">
        <v>1640</v>
      </c>
      <c r="I13" s="1446" t="s">
        <v>1640</v>
      </c>
      <c r="J13" s="1447" t="s">
        <v>1640</v>
      </c>
      <c r="K13" s="1398"/>
      <c r="L13" s="2185"/>
      <c r="M13" s="2185"/>
      <c r="N13" s="2185"/>
      <c r="O13" s="2185"/>
      <c r="P13" s="2185"/>
      <c r="Q13" s="2185"/>
      <c r="R13" s="2933">
        <v>12</v>
      </c>
      <c r="S13" s="2922"/>
      <c r="T13" s="2933" t="e">
        <f t="shared" si="0"/>
        <v>#DIV/0!</v>
      </c>
      <c r="U13" s="2922"/>
      <c r="V13" s="2933" t="e">
        <f t="shared" si="1"/>
        <v>#DIV/0!</v>
      </c>
      <c r="W13" s="3447"/>
      <c r="X13" s="2930"/>
      <c r="Y13" s="2929">
        <f>(-0.163*(Y12^2)-0.59*Y12+7617)*(10^(-4))/Y11</f>
        <v>0.15705154639175259</v>
      </c>
      <c r="Z13" s="2929">
        <f t="shared" ref="Z13:AJ13" si="5">(-0.163*(Z12^2)-0.59*Z12+7617)*(10^(-4))/Z11</f>
        <v>0.15705154639175259</v>
      </c>
      <c r="AA13" s="2929">
        <f t="shared" si="5"/>
        <v>0.15705154639175259</v>
      </c>
      <c r="AB13" s="2929">
        <f t="shared" si="5"/>
        <v>0.15705154639175259</v>
      </c>
      <c r="AC13" s="2929">
        <f t="shared" si="5"/>
        <v>0.15705154639175259</v>
      </c>
      <c r="AD13" s="2929">
        <f t="shared" si="5"/>
        <v>0.15705154639175259</v>
      </c>
      <c r="AE13" s="2929">
        <f t="shared" si="5"/>
        <v>0.15705154639175259</v>
      </c>
      <c r="AF13" s="2929">
        <f t="shared" si="5"/>
        <v>0.15705154639175259</v>
      </c>
      <c r="AG13" s="2929">
        <f t="shared" si="5"/>
        <v>0.15705154639175259</v>
      </c>
      <c r="AH13" s="2929">
        <f t="shared" si="5"/>
        <v>0.15705154639175259</v>
      </c>
      <c r="AI13" s="2929">
        <f t="shared" si="5"/>
        <v>0.15705154639175259</v>
      </c>
      <c r="AJ13" s="2929">
        <f t="shared" si="5"/>
        <v>0.15705154639175259</v>
      </c>
    </row>
    <row r="14" spans="1:39" ht="12.75" customHeight="1" thickBot="1">
      <c r="A14" s="3458"/>
      <c r="B14" s="1448"/>
      <c r="C14" s="1449"/>
      <c r="D14" s="1450"/>
      <c r="E14" s="1450"/>
      <c r="F14" s="1451"/>
      <c r="G14" s="1452" t="s">
        <v>946</v>
      </c>
      <c r="H14" s="1453"/>
      <c r="I14" s="1454"/>
      <c r="J14" s="1455"/>
      <c r="K14" s="1398"/>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59"/>
      <c r="B15" s="1456" t="s">
        <v>1697</v>
      </c>
      <c r="C15" s="1049">
        <f>IF(C14="有",1.1,1)</f>
        <v>1</v>
      </c>
      <c r="D15" s="1049">
        <f>IF(D14="有",1.1,1)</f>
        <v>1</v>
      </c>
      <c r="E15" s="1049">
        <f>IF(E14="有",1.1,1)</f>
        <v>1</v>
      </c>
      <c r="F15" s="1049">
        <f>IF(F14="500米范围内",1.2,IF(F14="500-1000米",1.1,1))</f>
        <v>1</v>
      </c>
      <c r="G15" s="1050">
        <v>1</v>
      </c>
      <c r="H15" s="1050">
        <v>1</v>
      </c>
      <c r="I15" s="1050">
        <v>1</v>
      </c>
      <c r="J15" s="1051">
        <v>1</v>
      </c>
      <c r="K15" s="1398"/>
      <c r="L15" s="1595" t="s">
        <v>895</v>
      </c>
      <c r="M15" s="1425" t="s">
        <v>981</v>
      </c>
      <c r="N15" s="1425" t="s">
        <v>982</v>
      </c>
      <c r="O15" s="1425" t="s">
        <v>899</v>
      </c>
      <c r="P15" s="1473" t="s">
        <v>983</v>
      </c>
      <c r="Q15" s="2185"/>
      <c r="R15" s="2933">
        <v>14</v>
      </c>
      <c r="S15" s="2922"/>
      <c r="T15" s="2933" t="e">
        <f t="shared" si="0"/>
        <v>#DIV/0!</v>
      </c>
      <c r="U15" s="2922"/>
      <c r="V15" s="2933" t="e">
        <f t="shared" si="1"/>
        <v>#DIV/0!</v>
      </c>
      <c r="W15" s="2185"/>
      <c r="X15" s="2185"/>
      <c r="Y15" s="2185"/>
      <c r="Z15" s="2185"/>
      <c r="AA15" s="2185"/>
      <c r="AB15" s="2185"/>
      <c r="AC15" s="2186"/>
    </row>
    <row r="16" spans="1:39" ht="24">
      <c r="A16" s="3456" t="s">
        <v>1835</v>
      </c>
      <c r="B16" s="1424" t="s">
        <v>947</v>
      </c>
      <c r="C16" s="1052" t="e">
        <f>ROUND(SUM(G17:J17)/C17,0)</f>
        <v>#DIV/0!</v>
      </c>
      <c r="D16" s="1457" t="s">
        <v>948</v>
      </c>
      <c r="E16" s="1458"/>
      <c r="F16" s="1459"/>
      <c r="G16" s="1460"/>
      <c r="H16" s="1460"/>
      <c r="I16" s="1460"/>
      <c r="J16" s="1460"/>
      <c r="K16" s="1398"/>
      <c r="L16" s="1461" t="s">
        <v>985</v>
      </c>
      <c r="M16" s="1045">
        <v>0.25</v>
      </c>
      <c r="N16" s="1045">
        <v>0.2</v>
      </c>
      <c r="O16" s="1045">
        <v>0.15</v>
      </c>
      <c r="P16" s="1536">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57"/>
      <c r="B17" s="1462" t="s">
        <v>950</v>
      </c>
      <c r="C17" s="1053">
        <f>SUMPRODUCT((修正!A2:A5=E2)*(修正!B1:M1=G2)*(修正!B2:M5))</f>
        <v>0</v>
      </c>
      <c r="D17" s="1464" t="s">
        <v>951</v>
      </c>
      <c r="E17" s="1465" t="str">
        <f>IF(OR(G2="八级",G2="九级",G2="十级",G2="十一级",G2="十二级"),"五通一平","七通一平")</f>
        <v>七通一平</v>
      </c>
      <c r="F17" s="1463" t="s">
        <v>952</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971</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1826</v>
      </c>
      <c r="B18" s="2768" t="s">
        <v>953</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1832</v>
      </c>
      <c r="B19" s="1467" t="s">
        <v>954</v>
      </c>
      <c r="C19" s="1055" t="e">
        <f>ROUND(IF(H19="按公示增长率计算",SUMPRODUCT((地价!A3:A24=YEAR(G19)&amp;"-"&amp;ROUNDUP(MONTH(G19)/3,0))*(地价!X2:AB2=E2)*(地价!X3:AB24)),IF(H19="地价指数",M20/M19,(1+I19)^O19)),4)</f>
        <v>#DIV/0!</v>
      </c>
      <c r="D19" s="1471" t="s">
        <v>955</v>
      </c>
      <c r="E19" s="1056">
        <v>41640</v>
      </c>
      <c r="F19" s="1471" t="s">
        <v>956</v>
      </c>
      <c r="G19" s="1057">
        <f>'数据-取费表'!B2</f>
        <v>43447</v>
      </c>
      <c r="H19" s="1472" t="s">
        <v>2923</v>
      </c>
      <c r="I19" s="2780" t="str">
        <f>IF(H19="季度增幅（自定义）",SUMIF(N21:N24,E2,O21:O24),"")</f>
        <v/>
      </c>
      <c r="J19" s="1468"/>
      <c r="K19" s="1478"/>
      <c r="L19" s="3032" t="s">
        <v>2833</v>
      </c>
      <c r="M19" s="3033">
        <f>ROUND(SUMIF(地价!B2:F2,E2,地价!B24:F24),0)</f>
        <v>0</v>
      </c>
      <c r="N19" s="2782" t="s">
        <v>1674</v>
      </c>
      <c r="O19" s="2781">
        <f>ROUNDDOWN(DATEDIF(E19,G19,"M")/3,0)</f>
        <v>19</v>
      </c>
      <c r="P19" s="1593"/>
      <c r="R19" s="2921"/>
      <c r="S19" s="2921"/>
      <c r="T19" s="2921"/>
      <c r="U19" s="2921"/>
      <c r="V19" s="2921"/>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74" t="s">
        <v>1833</v>
      </c>
      <c r="B20" s="2775" t="s">
        <v>969</v>
      </c>
      <c r="C20" s="2776" t="e">
        <f>ROUND(POWER(1+G20,J20-I20)*(POWER(1+G20,I20)-1)/(POWER(1+G20,J20)-1),4)</f>
        <v>#DIV/0!</v>
      </c>
      <c r="D20" s="2777" t="s">
        <v>970</v>
      </c>
      <c r="E20" s="3085">
        <f ca="1">存贷款利率!I4/100</f>
        <v>4.3499999999999997E-2</v>
      </c>
      <c r="F20" s="2777" t="s">
        <v>971</v>
      </c>
      <c r="G20" s="2778">
        <f>SUMIF(M15:P15,E2,M17:P17)</f>
        <v>0</v>
      </c>
      <c r="H20" s="2777" t="s">
        <v>972</v>
      </c>
      <c r="I20" s="2767" t="e">
        <f>SUMIF('数据-取费表'!C6:C15,E2,'数据-取费表'!F6:F15)/COUNTIF('数据-取费表'!C6:C15,E2)</f>
        <v>#DIV/0!</v>
      </c>
      <c r="J20" s="2779">
        <f>IF(E2="住宅",70,IF(E2="商业",40,50))</f>
        <v>50</v>
      </c>
      <c r="K20" s="1478"/>
      <c r="L20" s="3034" t="s">
        <v>2834</v>
      </c>
      <c r="M20" s="3035">
        <f>ROUND(SUMPRODUCT((地价!A4:A24=YEAR(G19)&amp;"-"&amp;ROUNDUP(MONTH(G19)/3,0))*(地价!B2:F2=E2)*(地价!B4:F24)),0)</f>
        <v>0</v>
      </c>
      <c r="N20" s="2785" t="s">
        <v>2637</v>
      </c>
      <c r="O20" s="2783" t="s">
        <v>2636</v>
      </c>
      <c r="P20" s="2784" t="s">
        <v>2642</v>
      </c>
      <c r="R20" s="2921"/>
      <c r="S20" s="2921"/>
      <c r="T20" s="2921"/>
      <c r="U20" s="2921"/>
      <c r="V20" s="2921"/>
      <c r="W20" s="2191"/>
      <c r="X20" s="2191"/>
      <c r="Y20" s="2191"/>
      <c r="Z20" s="2191"/>
      <c r="AA20" s="2191"/>
      <c r="AB20" s="2191"/>
      <c r="AC20" s="2191"/>
      <c r="AD20" s="1469"/>
      <c r="AE20" s="1469"/>
      <c r="AF20" s="1469"/>
      <c r="AG20" s="1469"/>
      <c r="AH20" s="1469"/>
      <c r="AI20" s="1469"/>
    </row>
    <row r="21" spans="1:40" s="1418" customFormat="1" ht="14.25">
      <c r="A21" s="1639" t="s">
        <v>1834</v>
      </c>
      <c r="B21" s="1477" t="s">
        <v>2753</v>
      </c>
      <c r="C21" s="1156">
        <f>IF(B21="容积率修正",IF(G3&lt;=10,D22,J22),C23)</f>
        <v>0</v>
      </c>
      <c r="D21" s="1478"/>
      <c r="E21" s="1478"/>
      <c r="F21" s="1478"/>
      <c r="G21" s="1478"/>
      <c r="H21" s="1478"/>
      <c r="I21" s="1478"/>
      <c r="J21" s="1479"/>
      <c r="K21" s="1478"/>
      <c r="L21" s="1478"/>
      <c r="M21" s="1478"/>
      <c r="N21" s="1475" t="s">
        <v>973</v>
      </c>
      <c r="O21" s="1539"/>
      <c r="P21" s="2765">
        <f>SUMPRODUCT((地价!A3:A24=YEAR(G19)&amp;"-"&amp;ROUNDUP(MONTH(G19)/3,0))*(地价!AD2:AH2=N21)*(地价!AD3:AH24))</f>
        <v>1.5299999999999999E-2</v>
      </c>
      <c r="R21" s="2921"/>
      <c r="S21" s="2921"/>
      <c r="T21" s="2921"/>
      <c r="U21" s="2921"/>
      <c r="V21" s="2921"/>
      <c r="W21" s="2191"/>
      <c r="X21" s="2191"/>
      <c r="Y21" s="2191"/>
      <c r="Z21" s="2191"/>
      <c r="AA21" s="2191"/>
      <c r="AB21" s="2191"/>
      <c r="AC21" s="2191"/>
      <c r="AD21" s="1400"/>
      <c r="AE21" s="1400"/>
      <c r="AF21" s="1400"/>
      <c r="AG21" s="1400"/>
      <c r="AH21" s="1469"/>
      <c r="AI21" s="1469"/>
    </row>
    <row r="22" spans="1:40" s="1418" customFormat="1" ht="14.25">
      <c r="A22" s="1640" t="s">
        <v>1867</v>
      </c>
      <c r="B22" s="1480" t="s">
        <v>974</v>
      </c>
      <c r="C22" s="1058" t="s">
        <v>1699</v>
      </c>
      <c r="D22" s="1058">
        <f>IF(E22=G22,F22,IF(G3&lt;=10,ROUND(F22+(H22-F22)*(G3-E22)/(G22-E22),4),"——"))</f>
        <v>0</v>
      </c>
      <c r="E22" s="1037">
        <f>ROUNDDOWN(G3,1)</f>
        <v>4.8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4.8999999999999995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975</v>
      </c>
      <c r="J22" s="1058" t="str">
        <f>IF(G3&gt;10,D113,"——")</f>
        <v>——</v>
      </c>
      <c r="K22" s="1478"/>
      <c r="L22" s="1478"/>
      <c r="M22" s="1478"/>
      <c r="N22" s="1475" t="s">
        <v>976</v>
      </c>
      <c r="O22" s="1539"/>
      <c r="P22" s="2765">
        <f>SUMPRODUCT((地价!A3:A24=YEAR(G19)&amp;"-"&amp;ROUNDUP(MONTH(G19)/3,0))*(地价!AD2:AH2=N22)*(地价!AD3:AH24))</f>
        <v>1.5299999999999999E-2</v>
      </c>
      <c r="R22" s="2921"/>
      <c r="S22" s="2921"/>
      <c r="T22" s="2921"/>
      <c r="U22" s="2921"/>
      <c r="V22" s="2921"/>
      <c r="W22" s="2191"/>
      <c r="X22" s="2191"/>
      <c r="Y22" s="2191"/>
      <c r="Z22" s="2191"/>
      <c r="AA22" s="2191"/>
      <c r="AB22" s="2191"/>
      <c r="AC22" s="2191"/>
      <c r="AD22" s="1469"/>
      <c r="AE22" s="1469"/>
      <c r="AF22" s="1469"/>
      <c r="AG22" s="1469"/>
      <c r="AH22" s="1469"/>
      <c r="AI22" s="1469"/>
    </row>
    <row r="23" spans="1:40" ht="27.75" thickBot="1">
      <c r="A23" s="1640" t="s">
        <v>1868</v>
      </c>
      <c r="B23" s="1480" t="s">
        <v>977</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920</v>
      </c>
      <c r="O23" s="1539"/>
      <c r="P23" s="2765">
        <f>SUMPRODUCT((地价!A3:A24=YEAR(G19)&amp;"-"&amp;ROUNDUP(MONTH(G19)/3,0))*(地价!AD2:AH2=N23)*(地价!AD3:AH24))</f>
        <v>2.41E-2</v>
      </c>
      <c r="R23" s="2921"/>
      <c r="S23" s="2921"/>
      <c r="T23" s="2921"/>
      <c r="U23" s="2921"/>
      <c r="V23" s="2921"/>
      <c r="W23" s="2191"/>
      <c r="X23" s="2191"/>
      <c r="Y23" s="2191"/>
      <c r="Z23" s="2191"/>
      <c r="AA23" s="2191"/>
      <c r="AB23" s="2191"/>
      <c r="AC23" s="2191"/>
      <c r="AN23" s="1401"/>
    </row>
    <row r="24" spans="1:40" s="1418" customFormat="1" ht="15.75" thickBot="1">
      <c r="A24" s="1638" t="s">
        <v>1869</v>
      </c>
      <c r="B24" s="1412" t="s">
        <v>978</v>
      </c>
      <c r="C24" s="1060">
        <f>SUMIF(A44:A87,E2,B44:B87)</f>
        <v>0</v>
      </c>
      <c r="D24" s="1532"/>
      <c r="E24" s="1533"/>
      <c r="F24" s="1533"/>
      <c r="G24" s="1533"/>
      <c r="H24" s="1533"/>
      <c r="I24" s="1533"/>
      <c r="J24" s="1533"/>
      <c r="K24" s="1478"/>
      <c r="L24" s="1478"/>
      <c r="M24" s="1478"/>
      <c r="N24" s="1481" t="s">
        <v>979</v>
      </c>
      <c r="O24" s="1540"/>
      <c r="P24" s="1538">
        <f>SUMPRODUCT((地价!A3:A24=YEAR(G19)&amp;"-"&amp;ROUNDUP(MONTH(G19)/3,0))*(地价!AD2:AH2=N24)*(地价!AD3:AH24))</f>
        <v>1.4200000000000001E-2</v>
      </c>
      <c r="R24" s="2921"/>
      <c r="S24" s="2921"/>
      <c r="T24" s="2921"/>
      <c r="U24" s="2921"/>
      <c r="V24" s="2921"/>
      <c r="W24" s="2191"/>
      <c r="X24" s="2191"/>
      <c r="Y24" s="2191"/>
      <c r="Z24" s="2191"/>
      <c r="AA24" s="2191"/>
      <c r="AB24" s="2191"/>
      <c r="AC24" s="2191"/>
      <c r="AD24" s="1469"/>
      <c r="AE24" s="1469"/>
      <c r="AF24" s="1469"/>
      <c r="AG24" s="1469"/>
      <c r="AH24" s="1469"/>
      <c r="AI24" s="1469"/>
    </row>
    <row r="25" spans="1:40" ht="15" thickBot="1">
      <c r="A25" s="1638" t="s">
        <v>1870</v>
      </c>
      <c r="B25" s="1483" t="s">
        <v>980</v>
      </c>
      <c r="C25" s="1484"/>
      <c r="D25" s="1427"/>
      <c r="E25" s="1427"/>
      <c r="F25" s="1485"/>
      <c r="G25" s="1427"/>
      <c r="H25" s="1427"/>
      <c r="I25" s="1427"/>
      <c r="J25" s="1428"/>
      <c r="K25" s="1398"/>
      <c r="L25" s="2191"/>
      <c r="M25" s="2191"/>
      <c r="N25" s="2793" t="s">
        <v>2640</v>
      </c>
      <c r="O25" s="2191"/>
      <c r="P25" s="1538">
        <f>SUMPRODUCT((地价!A3:A24=YEAR(G19)&amp;"-"&amp;ROUNDUP(MONTH(G19)/3,0))*(地价!AD2:AH2=N25)*(地价!AD3:AH24))</f>
        <v>2.1899999999999999E-2</v>
      </c>
      <c r="R25" s="2921"/>
      <c r="S25" s="2921"/>
      <c r="T25" s="2921"/>
      <c r="U25" s="2921"/>
      <c r="V25" s="2921"/>
      <c r="W25" s="2191"/>
      <c r="X25" s="2191"/>
      <c r="Y25" s="2191"/>
      <c r="Z25" s="2191"/>
      <c r="AA25" s="2191"/>
      <c r="AB25" s="2191"/>
      <c r="AC25" s="2191"/>
    </row>
    <row r="26" spans="1:40" ht="14.25">
      <c r="A26" s="1486"/>
      <c r="B26" s="1480" t="s">
        <v>984</v>
      </c>
      <c r="C26" s="1061" t="e">
        <f>E29+SUM(E33:E39)</f>
        <v>#DIV/0!</v>
      </c>
      <c r="D26" s="1487"/>
      <c r="E26" s="1453"/>
      <c r="F26" s="1488"/>
      <c r="G26" s="1453"/>
      <c r="H26" s="1453"/>
      <c r="I26" s="1453"/>
      <c r="J26" s="1489"/>
      <c r="K26" s="1398"/>
      <c r="L26" s="2191"/>
      <c r="M26" s="2191"/>
      <c r="N26" s="2191"/>
      <c r="O26" s="2191"/>
      <c r="P26" s="2191"/>
      <c r="Q26" s="2191"/>
      <c r="R26" s="2921"/>
      <c r="S26" s="2921"/>
      <c r="T26" s="2921"/>
      <c r="U26" s="2921"/>
      <c r="V26" s="2921"/>
      <c r="W26" s="2191"/>
      <c r="X26" s="2191"/>
      <c r="Y26" s="2191"/>
      <c r="Z26" s="2191"/>
      <c r="AA26" s="2191"/>
      <c r="AB26" s="2191"/>
      <c r="AC26" s="2191"/>
      <c r="AD26" s="1469"/>
      <c r="AE26" s="1469"/>
      <c r="AF26" s="1469"/>
      <c r="AG26" s="1469"/>
    </row>
    <row r="27" spans="1:40" ht="15" thickBot="1">
      <c r="A27" s="1486"/>
      <c r="B27" s="1490" t="s">
        <v>986</v>
      </c>
      <c r="C27" s="1062" t="e">
        <f>E30+SUM(I33:I39)</f>
        <v>#DIV/0!</v>
      </c>
      <c r="D27" s="1491"/>
      <c r="E27" s="1492"/>
      <c r="F27" s="1493"/>
      <c r="G27" s="1492"/>
      <c r="H27" s="1492"/>
      <c r="I27" s="1492"/>
      <c r="J27" s="1494"/>
      <c r="K27" s="1398"/>
      <c r="L27" s="2191"/>
      <c r="M27" s="2191"/>
      <c r="N27" s="2191"/>
      <c r="O27" s="2191"/>
      <c r="P27" s="2191"/>
      <c r="Q27" s="2191"/>
      <c r="R27" s="2921"/>
      <c r="S27" s="2921"/>
      <c r="T27" s="2921"/>
      <c r="U27" s="2921"/>
      <c r="V27" s="2921"/>
      <c r="W27" s="2191"/>
      <c r="X27" s="2191"/>
      <c r="Y27" s="2191"/>
      <c r="Z27" s="2191"/>
      <c r="AA27" s="2191"/>
      <c r="AB27" s="2191"/>
      <c r="AC27" s="2191"/>
    </row>
    <row r="28" spans="1:40" ht="14.25">
      <c r="A28" s="1482"/>
      <c r="B28" s="1495" t="s">
        <v>987</v>
      </c>
      <c r="C28" s="1496" t="s">
        <v>988</v>
      </c>
      <c r="D28" s="1496" t="s">
        <v>989</v>
      </c>
      <c r="E28" s="1497" t="s">
        <v>990</v>
      </c>
      <c r="F28" s="1498"/>
      <c r="G28" s="1439"/>
      <c r="H28" s="1439"/>
      <c r="I28" s="1439"/>
      <c r="J28" s="1440"/>
      <c r="K28" s="1398"/>
      <c r="L28" s="2191"/>
      <c r="M28" s="2191"/>
      <c r="N28" s="2191"/>
      <c r="O28" s="2191"/>
      <c r="P28" s="2191"/>
      <c r="Q28" s="2191"/>
      <c r="R28" s="2921"/>
      <c r="S28" s="2921"/>
      <c r="T28" s="2921"/>
      <c r="U28" s="2921"/>
      <c r="V28" s="2921"/>
      <c r="W28" s="2191"/>
      <c r="X28" s="2191"/>
      <c r="Y28" s="2191"/>
      <c r="Z28" s="2191"/>
      <c r="AA28" s="2191"/>
      <c r="AB28" s="2191"/>
      <c r="AC28" s="2191"/>
      <c r="AD28" s="1469"/>
      <c r="AE28" s="1469"/>
      <c r="AF28" s="1469"/>
      <c r="AG28" s="1469"/>
    </row>
    <row r="29" spans="1:40" ht="24">
      <c r="A29" s="1499"/>
      <c r="B29" s="1500" t="s">
        <v>991</v>
      </c>
      <c r="C29" s="1061" t="e">
        <f>ROUND(C5*C18*C19*C20*C21*C24,0)</f>
        <v>#DIV/0!</v>
      </c>
      <c r="D29" s="1501"/>
      <c r="E29" s="1845" t="e">
        <f>ROUND(C29*D29/10000,0)</f>
        <v>#DIV/0!</v>
      </c>
      <c r="F29" s="1502" t="s">
        <v>1698</v>
      </c>
      <c r="G29" s="1503"/>
      <c r="H29" s="1503"/>
      <c r="I29" s="1503"/>
      <c r="J29" s="1504"/>
      <c r="K29" s="1398"/>
      <c r="L29" s="2191"/>
      <c r="M29" s="2191"/>
      <c r="N29" s="2191"/>
      <c r="O29" s="2191"/>
      <c r="P29" s="2191"/>
      <c r="Q29" s="2191"/>
      <c r="R29" s="2921"/>
      <c r="S29" s="2921"/>
      <c r="T29" s="2921"/>
      <c r="U29" s="2921"/>
      <c r="V29" s="2921"/>
      <c r="W29" s="2191"/>
      <c r="X29" s="2191"/>
      <c r="Y29" s="2191"/>
      <c r="Z29" s="2191"/>
      <c r="AA29" s="2191"/>
      <c r="AB29" s="2191"/>
      <c r="AC29" s="2191"/>
      <c r="AH29" s="1399"/>
      <c r="AI29" s="1399"/>
      <c r="AJ29" s="1402"/>
      <c r="AK29" s="1402"/>
      <c r="AL29" s="1402"/>
      <c r="AM29" s="1402"/>
    </row>
    <row r="30" spans="1:40" ht="24.75" thickBot="1">
      <c r="A30" s="1505"/>
      <c r="B30" s="1506" t="s">
        <v>992</v>
      </c>
      <c r="C30" s="1049" t="e">
        <f>ROUND(IF(E2="工业",C29*M39,C29*M38),0)</f>
        <v>#DIV/0!</v>
      </c>
      <c r="D30" s="1507"/>
      <c r="E30" s="1845" t="e">
        <f>ROUND(C30*D30/10000,0)</f>
        <v>#DIV/0!</v>
      </c>
      <c r="F30" s="1508" t="s">
        <v>993</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994</v>
      </c>
      <c r="C31" s="1513" t="s">
        <v>995</v>
      </c>
      <c r="D31" s="1439"/>
      <c r="E31" s="1513"/>
      <c r="F31" s="1513"/>
      <c r="G31" s="1437" t="s">
        <v>993</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988</v>
      </c>
      <c r="D32" s="1517" t="s">
        <v>989</v>
      </c>
      <c r="E32" s="1517" t="s">
        <v>990</v>
      </c>
      <c r="F32" s="1518" t="s">
        <v>996</v>
      </c>
      <c r="G32" s="1476" t="s">
        <v>988</v>
      </c>
      <c r="H32" s="1476" t="s">
        <v>989</v>
      </c>
      <c r="I32" s="1476" t="s">
        <v>990</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62" t="s">
        <v>2949</v>
      </c>
      <c r="B33" s="1521" t="s">
        <v>997</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63"/>
      <c r="B34" s="1442" t="s">
        <v>998</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63"/>
      <c r="B35" s="1442" t="s">
        <v>999</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4"/>
      <c r="B36" s="1442" t="s">
        <v>1000</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1001</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1700</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1002</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1702</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1003</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1701</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1004</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20" t="s">
        <v>1005</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1006</v>
      </c>
      <c r="B46" s="2404" t="s">
        <v>1007</v>
      </c>
      <c r="C46" s="2426" t="s">
        <v>1008</v>
      </c>
      <c r="D46" s="2427" t="s">
        <v>1009</v>
      </c>
      <c r="E46" s="2428" t="s">
        <v>1011</v>
      </c>
      <c r="F46" s="2429" t="s">
        <v>2247</v>
      </c>
      <c r="G46" s="2427" t="s">
        <v>1012</v>
      </c>
      <c r="H46" s="2410" t="s">
        <v>2412</v>
      </c>
      <c r="I46" s="2427" t="s">
        <v>1010</v>
      </c>
      <c r="J46" s="2430" t="s">
        <v>1013</v>
      </c>
      <c r="K46" s="2430" t="s">
        <v>1014</v>
      </c>
      <c r="L46" s="2430" t="s">
        <v>1015</v>
      </c>
      <c r="M46" s="2430" t="s">
        <v>1016</v>
      </c>
      <c r="N46" s="2430" t="s">
        <v>1017</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1018</v>
      </c>
      <c r="B47" s="2407" t="str">
        <f>估价对象房地状况!C16</f>
        <v>周边商业氛围成熟度一般，多为社区配套底商，人流量一般，商业繁华度一般。</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60">
      <c r="A48" s="1065" t="s">
        <v>1019</v>
      </c>
      <c r="B48" s="2404" t="str">
        <f>估价对象房地状况!C18</f>
        <v>周边有4路、45路、98路等多条公交线路，邻近东二环北路，路网密集度一般、停车较便捷，综合评价交通便捷度较好。</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5" t="s">
        <v>1020</v>
      </c>
      <c r="B49" s="2404">
        <f>估价对象房地状况!C19</f>
        <v>0</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1021</v>
      </c>
      <c r="B50" s="3087" t="s">
        <v>2925</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1022</v>
      </c>
      <c r="B51" s="2404" t="str">
        <f>估价对象房地状况!C24</f>
        <v>城市快速路—东二环北路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1023</v>
      </c>
      <c r="B52" s="3086" t="s">
        <v>2924</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24">
      <c r="A53" s="2436" t="s">
        <v>1024</v>
      </c>
      <c r="B53" s="2405" t="str">
        <f>估价对象房地状况!C21</f>
        <v>所在区域公共配套设施齐备情况较好。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36" t="s">
        <v>1025</v>
      </c>
      <c r="B54" s="2404" t="str">
        <f>估价对象房地状况!C22</f>
        <v>所在区域基础设施水平达“七通”。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75" thickBot="1">
      <c r="A55" s="2437" t="s">
        <v>1026</v>
      </c>
      <c r="B55" s="2408" t="str">
        <f>估价对象房地状况!C20</f>
        <v>所在区域有三角河公园，自然环境一般；无博物馆等人文设施，人文环境差；综合评价环境状况较差。</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20" t="s">
        <v>1027</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1006</v>
      </c>
      <c r="B57" s="2404"/>
      <c r="C57" s="2426" t="s">
        <v>1008</v>
      </c>
      <c r="D57" s="2427" t="s">
        <v>1009</v>
      </c>
      <c r="E57" s="2428" t="s">
        <v>1011</v>
      </c>
      <c r="F57" s="2429" t="s">
        <v>2248</v>
      </c>
      <c r="G57" s="2427" t="s">
        <v>1012</v>
      </c>
      <c r="H57" s="2410" t="s">
        <v>2412</v>
      </c>
      <c r="I57" s="2427" t="s">
        <v>1010</v>
      </c>
      <c r="J57" s="2430" t="s">
        <v>1013</v>
      </c>
      <c r="K57" s="2430" t="s">
        <v>1014</v>
      </c>
      <c r="L57" s="2430" t="s">
        <v>1015</v>
      </c>
      <c r="M57" s="2430" t="s">
        <v>1016</v>
      </c>
      <c r="N57" s="2430" t="s">
        <v>1017</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1028</v>
      </c>
      <c r="B58" s="2407" t="str">
        <f>估价对象房地状况!C17</f>
        <v>——</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60">
      <c r="A59" s="1065" t="s">
        <v>1019</v>
      </c>
      <c r="B59" s="2404" t="str">
        <f>估价对象房地状况!C18</f>
        <v>周边有4路、45路、98路等多条公交线路，邻近东二环北路，路网密集度一般、停车较便捷，综合评价交通便捷度较好。</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5" t="s">
        <v>1020</v>
      </c>
      <c r="B60" s="2404">
        <f>估价对象房地状况!C19</f>
        <v>0</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1021</v>
      </c>
      <c r="B61" s="3087" t="s">
        <v>2926</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1022</v>
      </c>
      <c r="B62" s="2404" t="str">
        <f>估价对象房地状况!C24</f>
        <v>城市快速路—东二环北路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1023</v>
      </c>
      <c r="B63" s="3086" t="s">
        <v>2924</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24">
      <c r="A64" s="1065" t="s">
        <v>1024</v>
      </c>
      <c r="B64" s="2405" t="str">
        <f>估价对象房地状况!C21</f>
        <v>所在区域公共配套设施齐备情况较好。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1025</v>
      </c>
      <c r="B65" s="2405" t="str">
        <f>估价对象房地状况!C22</f>
        <v>所在区域基础设施水平达“七通”。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75" thickBot="1">
      <c r="A66" s="2437" t="s">
        <v>1026</v>
      </c>
      <c r="B66" s="2409" t="str">
        <f>估价对象房地状况!C20</f>
        <v>所在区域有三角河公园，自然环境一般；无博物馆等人文设施，人文环境差；综合评价环境状况较差。</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20" t="s">
        <v>1029</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1006</v>
      </c>
      <c r="B68" s="2404"/>
      <c r="C68" s="2426" t="s">
        <v>1008</v>
      </c>
      <c r="D68" s="2427" t="s">
        <v>1009</v>
      </c>
      <c r="E68" s="2428" t="s">
        <v>1011</v>
      </c>
      <c r="F68" s="2429" t="s">
        <v>2249</v>
      </c>
      <c r="G68" s="2427" t="s">
        <v>1012</v>
      </c>
      <c r="H68" s="2410" t="s">
        <v>2412</v>
      </c>
      <c r="I68" s="2427" t="s">
        <v>1010</v>
      </c>
      <c r="J68" s="2430" t="s">
        <v>1013</v>
      </c>
      <c r="K68" s="2430" t="s">
        <v>1014</v>
      </c>
      <c r="L68" s="2430" t="s">
        <v>1015</v>
      </c>
      <c r="M68" s="2430" t="s">
        <v>1016</v>
      </c>
      <c r="N68" s="2430" t="s">
        <v>1017</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48">
      <c r="A69" s="1065" t="s">
        <v>1030</v>
      </c>
      <c r="B69" s="2407" t="str">
        <f>估价对象房地状况!C15</f>
        <v>周边有瑞府、秋景怡园等住宅社区，分布密度一般，入住率一般，居住社区成熟度一般。</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60">
      <c r="A70" s="1065" t="s">
        <v>1031</v>
      </c>
      <c r="B70" s="2404" t="str">
        <f>估价对象房地状况!C18</f>
        <v>周边有4路、45路、98路等多条公交线路，邻近东二环北路，路网密集度一般、停车较便捷，综合评价交通便捷度较好。</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5" t="s">
        <v>1020</v>
      </c>
      <c r="B71" s="2404">
        <f>估价对象房地状况!C19</f>
        <v>0</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1032</v>
      </c>
      <c r="B72" s="2404" t="str">
        <f>估价对象房地状况!C24</f>
        <v>城市快速路—东二环北路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24">
      <c r="A73" s="1065" t="s">
        <v>1024</v>
      </c>
      <c r="B73" s="2405" t="str">
        <f>估价对象房地状况!C21</f>
        <v>所在区域公共配套设施齐备情况较好。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1025</v>
      </c>
      <c r="B74" s="2405" t="str">
        <f>估价对象房地状况!C22</f>
        <v>所在区域基础设施水平达“七通”。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1023</v>
      </c>
      <c r="B75" s="3086" t="s">
        <v>2924</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1026</v>
      </c>
      <c r="B76" s="2407" t="str">
        <f>估价对象房地状况!C20</f>
        <v>所在区域有三角河公园，自然环境一般；无博物馆等人文设施，人文环境差；综合评价环境状况较差。</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37" t="s">
        <v>1033</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5">
      <c r="A78" s="2420" t="s">
        <v>1034</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1006</v>
      </c>
      <c r="B79" s="2404"/>
      <c r="C79" s="2426" t="s">
        <v>1008</v>
      </c>
      <c r="D79" s="2427" t="s">
        <v>1009</v>
      </c>
      <c r="E79" s="2428" t="s">
        <v>1011</v>
      </c>
      <c r="F79" s="2429" t="s">
        <v>2250</v>
      </c>
      <c r="G79" s="2427" t="s">
        <v>1012</v>
      </c>
      <c r="H79" s="2410" t="s">
        <v>2412</v>
      </c>
      <c r="I79" s="2427" t="s">
        <v>1010</v>
      </c>
      <c r="J79" s="2430" t="s">
        <v>1013</v>
      </c>
      <c r="K79" s="2430" t="s">
        <v>1014</v>
      </c>
      <c r="L79" s="2430" t="s">
        <v>1015</v>
      </c>
      <c r="M79" s="2430" t="s">
        <v>1016</v>
      </c>
      <c r="N79" s="2430" t="s">
        <v>1017</v>
      </c>
      <c r="AC79" s="1402"/>
      <c r="AD79" s="1401"/>
      <c r="AJ79" s="1400"/>
      <c r="AN79" s="1401"/>
    </row>
    <row r="80" spans="1:40" ht="36">
      <c r="A80" s="1065" t="s">
        <v>1035</v>
      </c>
      <c r="B80" s="2404" t="str">
        <f>估价对象房地状况!G15</f>
        <v>估价对象位于XX开发区，园区建设成熟度XX，产业集聚程度XX</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48">
      <c r="A81" s="1065" t="s">
        <v>1031</v>
      </c>
      <c r="B81" s="2404" t="str">
        <f>估价对象房地状况!G16</f>
        <v>估价对象周边道路状况、公共交通通达情况、停车便捷程度，综合评价交通便捷度较好</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1020</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4.25">
      <c r="A83" s="1065" t="s">
        <v>1032</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1024</v>
      </c>
      <c r="B84" s="2405" t="str">
        <f>估价对象房地状况!G19</f>
        <v>估价对象所在区域公共配套设施齐备情况</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1025</v>
      </c>
      <c r="B85" s="2405" t="str">
        <f>估价对象房地状况!G20</f>
        <v>估价对象所在区域基础设施水平</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24">
      <c r="A86" s="1065" t="s">
        <v>1023</v>
      </c>
      <c r="B86" s="3086" t="s">
        <v>2924</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36.75" thickBot="1">
      <c r="A87" s="2437" t="s">
        <v>1036</v>
      </c>
      <c r="B87" s="2406" t="str">
        <f>估价对象房地状况!G18</f>
        <v>该园区内是否有污染型企业，绿化情况，卫生条件，整体环境状况判断</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60" t="s">
        <v>1631</v>
      </c>
      <c r="B90" s="3460"/>
      <c r="C90" s="3460"/>
      <c r="D90" s="3460"/>
      <c r="E90" s="3460"/>
      <c r="F90" s="3460"/>
      <c r="G90" s="3460"/>
      <c r="H90" s="3460"/>
      <c r="I90" s="3460"/>
      <c r="J90" s="3460"/>
      <c r="K90" s="2446"/>
      <c r="L90" s="2446"/>
      <c r="M90" s="2446"/>
      <c r="N90" s="2446"/>
    </row>
    <row r="91" spans="1:40">
      <c r="A91" s="3461" t="s">
        <v>1441</v>
      </c>
      <c r="B91" s="3461" t="s">
        <v>1632</v>
      </c>
      <c r="C91" s="1138" t="s">
        <v>1633</v>
      </c>
      <c r="D91" s="1139"/>
      <c r="E91" s="1139"/>
      <c r="F91" s="1139"/>
      <c r="G91" s="1139"/>
      <c r="H91" s="1139"/>
      <c r="I91" s="1139"/>
      <c r="J91" s="1140"/>
      <c r="K91" s="1132"/>
      <c r="L91" s="1132"/>
      <c r="M91" s="1132"/>
      <c r="N91" s="1132"/>
    </row>
    <row r="92" spans="1:40">
      <c r="A92" s="3461"/>
      <c r="B92" s="3461"/>
      <c r="C92" s="2445" t="s">
        <v>904</v>
      </c>
      <c r="D92" s="2445" t="s">
        <v>882</v>
      </c>
      <c r="E92" s="2445" t="s">
        <v>883</v>
      </c>
      <c r="F92" s="2445" t="s">
        <v>907</v>
      </c>
      <c r="G92" s="2445" t="s">
        <v>885</v>
      </c>
      <c r="H92" s="2445" t="s">
        <v>886</v>
      </c>
      <c r="I92" s="2445" t="s">
        <v>887</v>
      </c>
      <c r="J92" s="2445" t="s">
        <v>888</v>
      </c>
      <c r="K92" s="2445" t="s">
        <v>912</v>
      </c>
      <c r="L92" s="2445" t="s">
        <v>890</v>
      </c>
      <c r="M92" s="2445" t="s">
        <v>891</v>
      </c>
      <c r="N92" s="2445" t="s">
        <v>915</v>
      </c>
    </row>
    <row r="93" spans="1:40">
      <c r="A93" s="3450" t="s">
        <v>2756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1"/>
      <c r="B99" s="1141" t="s">
        <v>1634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2"/>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0" t="s">
        <v>1635</v>
      </c>
      <c r="B101" s="1145" t="s">
        <v>903</v>
      </c>
      <c r="C101" s="1146">
        <f>$G$3</f>
        <v>4.8499999999999996</v>
      </c>
      <c r="D101" s="1146">
        <f t="shared" ref="D101:N101" si="31">$G$3</f>
        <v>4.8499999999999996</v>
      </c>
      <c r="E101" s="1146">
        <f t="shared" si="31"/>
        <v>4.8499999999999996</v>
      </c>
      <c r="F101" s="1146">
        <f t="shared" si="31"/>
        <v>4.8499999999999996</v>
      </c>
      <c r="G101" s="1146">
        <f t="shared" si="31"/>
        <v>4.8499999999999996</v>
      </c>
      <c r="H101" s="1146">
        <f t="shared" si="31"/>
        <v>4.8499999999999996</v>
      </c>
      <c r="I101" s="1146">
        <f t="shared" si="31"/>
        <v>4.8499999999999996</v>
      </c>
      <c r="J101" s="1146">
        <f t="shared" si="31"/>
        <v>4.8499999999999996</v>
      </c>
      <c r="K101" s="1146">
        <f t="shared" si="31"/>
        <v>4.8499999999999996</v>
      </c>
      <c r="L101" s="1146">
        <f t="shared" si="31"/>
        <v>4.8499999999999996</v>
      </c>
      <c r="M101" s="1146">
        <f t="shared" si="31"/>
        <v>4.8499999999999996</v>
      </c>
      <c r="N101" s="1146">
        <f t="shared" si="31"/>
        <v>4.8499999999999996</v>
      </c>
    </row>
    <row r="102" spans="1:14">
      <c r="A102" s="3451"/>
      <c r="B102" s="1141">
        <v>1</v>
      </c>
      <c r="C102" s="1142">
        <f>1.9362/C101</f>
        <v>0.39921649484536081</v>
      </c>
      <c r="D102" s="1142">
        <f>1.9362/D101</f>
        <v>0.39921649484536081</v>
      </c>
      <c r="E102" s="1142">
        <f>1.8629/E101</f>
        <v>0.38410309278350518</v>
      </c>
      <c r="F102" s="1142">
        <f>1.8629/F101</f>
        <v>0.38410309278350518</v>
      </c>
      <c r="G102" s="1142">
        <f>1.8629/G101</f>
        <v>0.38410309278350518</v>
      </c>
      <c r="H102" s="1142">
        <f>1.8629/H101</f>
        <v>0.38410309278350518</v>
      </c>
      <c r="I102" s="1142">
        <f>1.8629/I101</f>
        <v>0.38410309278350518</v>
      </c>
      <c r="J102" s="1142">
        <f>1.942/J101</f>
        <v>0.40041237113402062</v>
      </c>
      <c r="K102" s="1142">
        <f>1.942/K101</f>
        <v>0.40041237113402062</v>
      </c>
      <c r="L102" s="1142">
        <f>1.942/L101</f>
        <v>0.40041237113402062</v>
      </c>
      <c r="M102" s="1142">
        <f>1.942/M101</f>
        <v>0.40041237113402062</v>
      </c>
      <c r="N102" s="1142">
        <f>1.942/N101</f>
        <v>0.40041237113402062</v>
      </c>
    </row>
    <row r="103" spans="1:14">
      <c r="A103" s="3451"/>
      <c r="B103" s="1141">
        <v>2</v>
      </c>
      <c r="C103" s="1142">
        <f>1.4198/C101</f>
        <v>0.2927422680412371</v>
      </c>
      <c r="D103" s="1142">
        <f>1.4198/D101</f>
        <v>0.2927422680412371</v>
      </c>
      <c r="E103" s="1142">
        <f>1.3372/E101</f>
        <v>0.2757113402061856</v>
      </c>
      <c r="F103" s="1142">
        <f>1.3372/F101</f>
        <v>0.2757113402061856</v>
      </c>
      <c r="G103" s="1142">
        <f>1.3372/G101</f>
        <v>0.2757113402061856</v>
      </c>
      <c r="H103" s="1142">
        <f>1.3372/H101</f>
        <v>0.2757113402061856</v>
      </c>
      <c r="I103" s="1142">
        <f>1.3372/I101</f>
        <v>0.2757113402061856</v>
      </c>
      <c r="J103" s="1142">
        <f>1.2799/J101</f>
        <v>0.26389690721649489</v>
      </c>
      <c r="K103" s="1142">
        <f>1.2799/K101</f>
        <v>0.26389690721649489</v>
      </c>
      <c r="L103" s="1142">
        <f>1.2799/L101</f>
        <v>0.26389690721649489</v>
      </c>
      <c r="M103" s="1142">
        <f>1.2799/M101</f>
        <v>0.26389690721649489</v>
      </c>
      <c r="N103" s="1142">
        <f>1.2799/N101</f>
        <v>0.26389690721649489</v>
      </c>
    </row>
    <row r="104" spans="1:14">
      <c r="A104" s="3451"/>
      <c r="B104" s="1141">
        <v>3</v>
      </c>
      <c r="C104" s="1142">
        <f>1.1594/C101</f>
        <v>0.23905154639175258</v>
      </c>
      <c r="D104" s="1142">
        <f>1.1594/D101</f>
        <v>0.23905154639175258</v>
      </c>
      <c r="E104" s="1142">
        <f>1.0788/E101</f>
        <v>0.22243298969072167</v>
      </c>
      <c r="F104" s="1142">
        <f>1.0788/F101</f>
        <v>0.22243298969072167</v>
      </c>
      <c r="G104" s="1142">
        <f>1.0788/G101</f>
        <v>0.22243298969072167</v>
      </c>
      <c r="H104" s="1142">
        <f>1.0788/H101</f>
        <v>0.22243298969072167</v>
      </c>
      <c r="I104" s="1142">
        <f>1.0788/I101</f>
        <v>0.22243298969072167</v>
      </c>
      <c r="J104" s="1142">
        <f>1.0072/J101</f>
        <v>0.20767010309278355</v>
      </c>
      <c r="K104" s="1142">
        <f>1.0072/K101</f>
        <v>0.20767010309278355</v>
      </c>
      <c r="L104" s="1142">
        <f>1.0072/L101</f>
        <v>0.20767010309278355</v>
      </c>
      <c r="M104" s="1142">
        <f>1.0072/M101</f>
        <v>0.20767010309278355</v>
      </c>
      <c r="N104" s="1142">
        <f>1.0072/N101</f>
        <v>0.20767010309278355</v>
      </c>
    </row>
    <row r="105" spans="1:14">
      <c r="A105" s="3451"/>
      <c r="B105" s="1141">
        <v>4</v>
      </c>
      <c r="C105" s="1142">
        <f>0.9622/C101</f>
        <v>0.19839175257731961</v>
      </c>
      <c r="D105" s="1142">
        <f>0.9622/D101</f>
        <v>0.19839175257731961</v>
      </c>
      <c r="E105" s="1142">
        <f>0.8656/E101</f>
        <v>0.17847422680412373</v>
      </c>
      <c r="F105" s="1142">
        <f>0.8656/F101</f>
        <v>0.17847422680412373</v>
      </c>
      <c r="G105" s="1142">
        <f>0.8656/G101</f>
        <v>0.17847422680412373</v>
      </c>
      <c r="H105" s="1142">
        <f>0.8656/H101</f>
        <v>0.17847422680412373</v>
      </c>
      <c r="I105" s="1142">
        <f>0.8656/I101</f>
        <v>0.17847422680412373</v>
      </c>
      <c r="J105" s="1142">
        <f>0.7525/J101</f>
        <v>0.15515463917525774</v>
      </c>
      <c r="K105" s="1142">
        <f>0.7525/K101</f>
        <v>0.15515463917525774</v>
      </c>
      <c r="L105" s="1142">
        <f>0.7525/L101</f>
        <v>0.15515463917525774</v>
      </c>
      <c r="M105" s="1142">
        <f>0.7525/M101</f>
        <v>0.15515463917525774</v>
      </c>
      <c r="N105" s="1142">
        <f>0.7525/N101</f>
        <v>0.15515463917525774</v>
      </c>
    </row>
    <row r="106" spans="1:14">
      <c r="A106" s="3451"/>
      <c r="B106" s="1141">
        <v>5</v>
      </c>
      <c r="C106" s="1142">
        <f>0.8417/C101</f>
        <v>0.17354639175257733</v>
      </c>
      <c r="D106" s="1142">
        <f>0.8417/D101</f>
        <v>0.17354639175257733</v>
      </c>
      <c r="E106" s="1142">
        <f>0.7371/E101</f>
        <v>0.15197938144329898</v>
      </c>
      <c r="F106" s="1142">
        <f>0.7371/F101</f>
        <v>0.15197938144329898</v>
      </c>
      <c r="G106" s="1142">
        <f>0.7371/G101</f>
        <v>0.15197938144329898</v>
      </c>
      <c r="H106" s="1142">
        <f>0.7371/H101</f>
        <v>0.15197938144329898</v>
      </c>
      <c r="I106" s="1142">
        <f>0.7371/I101</f>
        <v>0.15197938144329898</v>
      </c>
      <c r="J106" s="1142">
        <f>0.5659/J101</f>
        <v>0.11668041237113402</v>
      </c>
      <c r="K106" s="1142">
        <f>0.5659/K101</f>
        <v>0.11668041237113402</v>
      </c>
      <c r="L106" s="1142">
        <f>0.5659/L101</f>
        <v>0.11668041237113402</v>
      </c>
      <c r="M106" s="1142">
        <f>0.5659/M101</f>
        <v>0.11668041237113402</v>
      </c>
      <c r="N106" s="1142">
        <f>0.5659/N101</f>
        <v>0.11668041237113402</v>
      </c>
    </row>
    <row r="107" spans="1:14">
      <c r="A107" s="3451"/>
      <c r="B107" s="1141">
        <v>6</v>
      </c>
      <c r="C107" s="1142">
        <f>0.7608/C101</f>
        <v>0.15686597938144331</v>
      </c>
      <c r="D107" s="1142">
        <f>0.7608/D101</f>
        <v>0.15686597938144331</v>
      </c>
      <c r="E107" s="1142">
        <f>0.6482/E101</f>
        <v>0.1336494845360825</v>
      </c>
      <c r="F107" s="1142">
        <f>0.6482/F101</f>
        <v>0.1336494845360825</v>
      </c>
      <c r="G107" s="1142">
        <f>0.6482/G101</f>
        <v>0.1336494845360825</v>
      </c>
      <c r="H107" s="1142">
        <f>0.6482/H101</f>
        <v>0.1336494845360825</v>
      </c>
      <c r="I107" s="1142">
        <f>0.6482/I101</f>
        <v>0.1336494845360825</v>
      </c>
      <c r="J107" s="1142">
        <f>0.4525/J101</f>
        <v>9.3298969072164964E-2</v>
      </c>
      <c r="K107" s="1142">
        <f>0.4525/K101</f>
        <v>9.3298969072164964E-2</v>
      </c>
      <c r="L107" s="1142">
        <f>0.4525/L101</f>
        <v>9.3298969072164964E-2</v>
      </c>
      <c r="M107" s="1142">
        <f>0.4525/M101</f>
        <v>9.3298969072164964E-2</v>
      </c>
      <c r="N107" s="1142">
        <f>0.4525/N101</f>
        <v>9.3298969072164964E-2</v>
      </c>
    </row>
    <row r="108" spans="1:14">
      <c r="A108" s="3451"/>
      <c r="B108" s="3453" t="s">
        <v>1636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2"/>
      <c r="B109" s="3454"/>
      <c r="C109" s="1144">
        <f>(-0.163*(C108^2)-0.59*C108+7617)*(10^(-4))/C101</f>
        <v>0.15673913402061856</v>
      </c>
      <c r="D109" s="1144">
        <f>(-0.163*(D108^2)-0.59*D108+7617)*(10^(-4))/D101</f>
        <v>0.15673913402061856</v>
      </c>
      <c r="E109" s="1144">
        <f>(-0.161*(E108^2)-7.509*E108+6533)*(10^(-4))/E101</f>
        <v>0.13324997938144331</v>
      </c>
      <c r="F109" s="1144">
        <f>(-0.161*(F108^2)-7.509*F108+6533)*(10^(-4))/F101</f>
        <v>0.13324997938144331</v>
      </c>
      <c r="G109" s="1144">
        <f>(-0.161*(G108^2)-7.509*G108+6533)*(10^(-4))/G101</f>
        <v>0.13324997938144331</v>
      </c>
      <c r="H109" s="1144">
        <f>(-0.161*(H108^2)-7.509*H108+6533)*(10^(-4))/H101</f>
        <v>0.13324997938144331</v>
      </c>
      <c r="I109" s="1144">
        <f>(-0.161*(I108^2)-7.509*I108+6533)*(10^(-4))/I101</f>
        <v>0.13324997938144331</v>
      </c>
      <c r="J109" s="1144">
        <f>(-0.214*(J108^2)-21.991*J108+4665)*(10^(-4))/J101</f>
        <v>9.2275793814433002E-2</v>
      </c>
      <c r="K109" s="1144">
        <f>(-0.214*(K108^2)-21.991*K108+4665)*(10^(-4))/K101</f>
        <v>9.2275793814433002E-2</v>
      </c>
      <c r="L109" s="1144">
        <f>(-0.214*(L108^2)-21.991*L108+4665)*(10^(-4))/L101</f>
        <v>9.2275793814433002E-2</v>
      </c>
      <c r="M109" s="1144">
        <f>(-0.214*(M108^2)-21.991*M108+4665)*(10^(-4))/M101</f>
        <v>9.2275793814433002E-2</v>
      </c>
      <c r="N109" s="1144">
        <f>(-0.214*(N108^2)-21.991*N108+4665)*(10^(-4))/N101</f>
        <v>9.2275793814433002E-2</v>
      </c>
    </row>
    <row r="110" spans="1:14">
      <c r="A110" s="3455" t="s">
        <v>1637</v>
      </c>
      <c r="B110" s="3455"/>
      <c r="C110" s="3455"/>
      <c r="D110" s="3455"/>
      <c r="E110" s="3455"/>
      <c r="F110" s="3455"/>
      <c r="G110" s="3455"/>
      <c r="H110" s="3455"/>
      <c r="I110" s="3455"/>
      <c r="J110" s="3455"/>
      <c r="K110" s="2444"/>
      <c r="L110" s="2444"/>
      <c r="M110" s="2444"/>
      <c r="N110" s="2444"/>
    </row>
    <row r="112" spans="1:14" ht="12.75" thickBot="1"/>
    <row r="113" spans="1:13" ht="25.5" thickBot="1">
      <c r="A113" s="1014" t="s">
        <v>893</v>
      </c>
      <c r="B113" s="2447">
        <f>G3</f>
        <v>4.8499999999999996</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0.88790000000000002</v>
      </c>
      <c r="C115" s="1028">
        <f>B115</f>
        <v>0.88790000000000002</v>
      </c>
      <c r="D115" s="1028">
        <f>ROUND(0.8331-0.0109*B113,4)</f>
        <v>0.7802</v>
      </c>
      <c r="E115" s="1028">
        <f>D115</f>
        <v>0.7802</v>
      </c>
      <c r="F115" s="1028">
        <f>E115</f>
        <v>0.7802</v>
      </c>
      <c r="G115" s="1028">
        <f>F115</f>
        <v>0.7802</v>
      </c>
      <c r="H115" s="1028">
        <f>G115</f>
        <v>0.7802</v>
      </c>
      <c r="I115" s="1028">
        <f>ROUND(0.689-0.0155*B113,4)</f>
        <v>0.61380000000000001</v>
      </c>
      <c r="J115" s="1028">
        <f t="shared" ref="J115:M118" si="33">I115</f>
        <v>0.61380000000000001</v>
      </c>
      <c r="K115" s="1028">
        <f t="shared" si="33"/>
        <v>0.61380000000000001</v>
      </c>
      <c r="L115" s="1028">
        <f t="shared" si="33"/>
        <v>0.61380000000000001</v>
      </c>
      <c r="M115" s="1029">
        <f t="shared" si="33"/>
        <v>0.61380000000000001</v>
      </c>
    </row>
    <row r="116" spans="1:13" ht="12.75">
      <c r="A116" s="1027" t="s">
        <v>898</v>
      </c>
      <c r="B116" s="1028">
        <f>ROUND(0.949-0.012*B113,4)</f>
        <v>0.89080000000000004</v>
      </c>
      <c r="C116" s="1028">
        <f>B116</f>
        <v>0.89080000000000004</v>
      </c>
      <c r="D116" s="1028">
        <f>ROUND(0.8567-0.013*B113,4)</f>
        <v>0.79369999999999996</v>
      </c>
      <c r="E116" s="1028">
        <f t="shared" ref="E116:H117" si="34">D116</f>
        <v>0.79369999999999996</v>
      </c>
      <c r="F116" s="1028">
        <f t="shared" si="34"/>
        <v>0.79369999999999996</v>
      </c>
      <c r="G116" s="1028">
        <f t="shared" si="34"/>
        <v>0.79369999999999996</v>
      </c>
      <c r="H116" s="1028">
        <f t="shared" si="34"/>
        <v>0.79369999999999996</v>
      </c>
      <c r="I116" s="1028">
        <f>ROUND(0.7694-0.014*B113,4)</f>
        <v>0.70150000000000001</v>
      </c>
      <c r="J116" s="1028">
        <f t="shared" si="33"/>
        <v>0.70150000000000001</v>
      </c>
      <c r="K116" s="1028">
        <f t="shared" si="33"/>
        <v>0.70150000000000001</v>
      </c>
      <c r="L116" s="1028">
        <f t="shared" si="33"/>
        <v>0.70150000000000001</v>
      </c>
      <c r="M116" s="1029">
        <f t="shared" si="33"/>
        <v>0.70150000000000001</v>
      </c>
    </row>
    <row r="117" spans="1:13" ht="12.75">
      <c r="A117" s="1030" t="s">
        <v>899</v>
      </c>
      <c r="B117" s="1028">
        <f>ROUND(0.8808-0.006*B113,4)</f>
        <v>0.85170000000000001</v>
      </c>
      <c r="C117" s="1028">
        <f>B117</f>
        <v>0.85170000000000001</v>
      </c>
      <c r="D117" s="1028">
        <f>ROUND(0.8748-0.008*B113,4)</f>
        <v>0.83599999999999997</v>
      </c>
      <c r="E117" s="1028">
        <f t="shared" si="34"/>
        <v>0.83599999999999997</v>
      </c>
      <c r="F117" s="1028">
        <f t="shared" si="34"/>
        <v>0.83599999999999997</v>
      </c>
      <c r="G117" s="1028">
        <f t="shared" si="34"/>
        <v>0.83599999999999997</v>
      </c>
      <c r="H117" s="1028">
        <f t="shared" si="34"/>
        <v>0.83599999999999997</v>
      </c>
      <c r="I117" s="1028">
        <f>ROUND(0.7412-0.0095*B113,4)</f>
        <v>0.69510000000000005</v>
      </c>
      <c r="J117" s="1028">
        <f t="shared" si="33"/>
        <v>0.69510000000000005</v>
      </c>
      <c r="K117" s="1028">
        <f t="shared" si="33"/>
        <v>0.69510000000000005</v>
      </c>
      <c r="L117" s="1028">
        <f t="shared" si="33"/>
        <v>0.69510000000000005</v>
      </c>
      <c r="M117" s="1029">
        <f t="shared" si="33"/>
        <v>0.69510000000000005</v>
      </c>
    </row>
    <row r="118" spans="1:13" ht="13.5" thickBot="1">
      <c r="A118" s="1031" t="s">
        <v>900</v>
      </c>
      <c r="B118" s="1032">
        <f>ROUND(0.7275-0.01*B113,4)</f>
        <v>0.67900000000000005</v>
      </c>
      <c r="C118" s="1032">
        <f>B118</f>
        <v>0.67900000000000005</v>
      </c>
      <c r="D118" s="1032">
        <f>ROUND(0.7043-0.012*B113,4)</f>
        <v>0.64610000000000001</v>
      </c>
      <c r="E118" s="1032">
        <f>D118</f>
        <v>0.64610000000000001</v>
      </c>
      <c r="F118" s="1032">
        <f>E118</f>
        <v>0.64610000000000001</v>
      </c>
      <c r="G118" s="1032">
        <f>ROUND(0.6299-0.0122*B113,4)</f>
        <v>0.57069999999999999</v>
      </c>
      <c r="H118" s="1032">
        <f>G118</f>
        <v>0.57069999999999999</v>
      </c>
      <c r="I118" s="1032">
        <f>ROUND(0.5667-0.0136*B113,4)</f>
        <v>0.50070000000000003</v>
      </c>
      <c r="J118" s="1032">
        <f t="shared" si="33"/>
        <v>0.50070000000000003</v>
      </c>
      <c r="K118" s="1032">
        <f t="shared" si="33"/>
        <v>0.50070000000000003</v>
      </c>
      <c r="L118" s="1032">
        <f t="shared" si="33"/>
        <v>0.50070000000000003</v>
      </c>
      <c r="M118" s="1033">
        <f t="shared" si="33"/>
        <v>0.50070000000000003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1429</v>
      </c>
      <c r="B1" s="1070" t="s">
        <v>904</v>
      </c>
      <c r="C1" s="1070" t="s">
        <v>905</v>
      </c>
      <c r="D1" s="1070" t="s">
        <v>906</v>
      </c>
      <c r="E1" s="1070" t="s">
        <v>907</v>
      </c>
      <c r="F1" s="1070" t="s">
        <v>908</v>
      </c>
      <c r="G1" s="1070" t="s">
        <v>909</v>
      </c>
      <c r="H1" s="1070" t="s">
        <v>910</v>
      </c>
      <c r="I1" s="1070" t="s">
        <v>911</v>
      </c>
      <c r="J1" s="1070" t="s">
        <v>912</v>
      </c>
      <c r="K1" s="1070" t="s">
        <v>913</v>
      </c>
      <c r="L1" s="1070" t="s">
        <v>914</v>
      </c>
      <c r="M1" s="1071" t="s">
        <v>915</v>
      </c>
    </row>
    <row r="2" spans="1:13" ht="19.5" customHeight="1">
      <c r="A2" s="1105" t="s">
        <v>1005</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1027</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1029</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1440</v>
      </c>
      <c r="B16" s="1124"/>
      <c r="C16" s="1125"/>
      <c r="D16" s="1125"/>
      <c r="E16" s="1124"/>
      <c r="F16" s="1125"/>
      <c r="G16" s="1125"/>
    </row>
    <row r="17" spans="1:9" ht="19.5" customHeight="1">
      <c r="A17" s="1066" t="s">
        <v>1441</v>
      </c>
      <c r="B17" s="1126" t="s">
        <v>1442</v>
      </c>
      <c r="C17" s="1126" t="s">
        <v>1641</v>
      </c>
      <c r="D17" s="1127"/>
      <c r="E17" s="1066" t="s">
        <v>1443</v>
      </c>
      <c r="F17" s="1128"/>
      <c r="G17" s="1128"/>
    </row>
    <row r="18" spans="1:9" s="1596" customFormat="1" ht="19.5" customHeight="1">
      <c r="A18" s="3461" t="s">
        <v>1005</v>
      </c>
      <c r="B18" s="1152" t="s">
        <v>1444</v>
      </c>
      <c r="C18" s="1129" t="s">
        <v>1445</v>
      </c>
      <c r="D18" s="1130"/>
      <c r="E18" s="1152">
        <v>1</v>
      </c>
      <c r="F18" s="1131" t="s">
        <v>1446</v>
      </c>
      <c r="G18" s="1132"/>
      <c r="H18" s="1103"/>
      <c r="I18" s="1103"/>
    </row>
    <row r="19" spans="1:9" s="1596" customFormat="1" ht="19.5" customHeight="1">
      <c r="A19" s="3461"/>
      <c r="B19" s="3461" t="s">
        <v>1447</v>
      </c>
      <c r="C19" s="1129" t="s">
        <v>1448</v>
      </c>
      <c r="D19" s="1130"/>
      <c r="E19" s="1152">
        <v>0.9</v>
      </c>
      <c r="F19" s="1131" t="s">
        <v>1449</v>
      </c>
      <c r="G19" s="1132"/>
      <c r="H19" s="1103"/>
      <c r="I19" s="1103"/>
    </row>
    <row r="20" spans="1:9" s="1596" customFormat="1" ht="19.5" customHeight="1">
      <c r="A20" s="3461"/>
      <c r="B20" s="3461"/>
      <c r="C20" s="1129" t="s">
        <v>1450</v>
      </c>
      <c r="D20" s="1130"/>
      <c r="E20" s="1152">
        <v>1.1000000000000001</v>
      </c>
      <c r="F20" s="1131" t="s">
        <v>1451</v>
      </c>
      <c r="G20" s="1132"/>
      <c r="H20" s="1103"/>
      <c r="I20" s="1103"/>
    </row>
    <row r="21" spans="1:9" s="1596" customFormat="1" ht="19.5" customHeight="1">
      <c r="A21" s="3461"/>
      <c r="B21" s="3461"/>
      <c r="C21" s="1129" t="s">
        <v>1452</v>
      </c>
      <c r="D21" s="1130"/>
      <c r="E21" s="1152">
        <v>0.8</v>
      </c>
      <c r="F21" s="1131" t="s">
        <v>1453</v>
      </c>
      <c r="G21" s="1132"/>
      <c r="H21" s="1103"/>
      <c r="I21" s="1103"/>
    </row>
    <row r="22" spans="1:9" s="1596" customFormat="1" ht="19.5" customHeight="1">
      <c r="A22" s="3461"/>
      <c r="B22" s="3461"/>
      <c r="C22" s="1129" t="s">
        <v>1454</v>
      </c>
      <c r="D22" s="1130"/>
      <c r="E22" s="1152">
        <v>0.5</v>
      </c>
      <c r="F22" s="1131"/>
      <c r="G22" s="1132"/>
      <c r="H22" s="1103"/>
      <c r="I22" s="1103"/>
    </row>
    <row r="23" spans="1:9" s="1596" customFormat="1" ht="19.5" customHeight="1">
      <c r="A23" s="3461" t="s">
        <v>1027</v>
      </c>
      <c r="B23" s="1152" t="s">
        <v>1444</v>
      </c>
      <c r="C23" s="1129" t="s">
        <v>1455</v>
      </c>
      <c r="D23" s="1130"/>
      <c r="E23" s="1152">
        <v>1</v>
      </c>
      <c r="F23" s="1131" t="s">
        <v>1456</v>
      </c>
      <c r="G23" s="1132"/>
      <c r="H23" s="1103"/>
      <c r="I23" s="1103"/>
    </row>
    <row r="24" spans="1:9" s="1596" customFormat="1" ht="19.5" customHeight="1">
      <c r="A24" s="3461"/>
      <c r="B24" s="3461" t="s">
        <v>1447</v>
      </c>
      <c r="C24" s="1129" t="s">
        <v>1457</v>
      </c>
      <c r="D24" s="1130"/>
      <c r="E24" s="1152">
        <v>0.5</v>
      </c>
      <c r="F24" s="1131"/>
      <c r="G24" s="1132"/>
      <c r="H24" s="1103"/>
      <c r="I24" s="1103"/>
    </row>
    <row r="25" spans="1:9" s="1596" customFormat="1" ht="19.5" customHeight="1">
      <c r="A25" s="3461"/>
      <c r="B25" s="3461"/>
      <c r="C25" s="1129" t="s">
        <v>1458</v>
      </c>
      <c r="D25" s="1130"/>
      <c r="E25" s="1152">
        <v>1.1000000000000001</v>
      </c>
      <c r="F25" s="1131"/>
      <c r="G25" s="1132"/>
      <c r="H25" s="1103"/>
      <c r="I25" s="1103"/>
    </row>
    <row r="26" spans="1:9" s="1596" customFormat="1" ht="19.5" customHeight="1">
      <c r="A26" s="3461"/>
      <c r="B26" s="3461"/>
      <c r="C26" s="1129" t="s">
        <v>1459</v>
      </c>
      <c r="D26" s="1130"/>
      <c r="E26" s="1152">
        <v>1.1000000000000001</v>
      </c>
      <c r="F26" s="1131"/>
      <c r="G26" s="1132"/>
      <c r="H26" s="1103"/>
      <c r="I26" s="1103"/>
    </row>
    <row r="27" spans="1:9" s="1596" customFormat="1" ht="19.5" customHeight="1">
      <c r="A27" s="3461"/>
      <c r="B27" s="3461"/>
      <c r="C27" s="1129" t="s">
        <v>1460</v>
      </c>
      <c r="D27" s="1130"/>
      <c r="E27" s="1152">
        <v>0.9</v>
      </c>
      <c r="F27" s="1131" t="s">
        <v>1461</v>
      </c>
      <c r="G27" s="1132"/>
      <c r="H27" s="1103"/>
      <c r="I27" s="1103"/>
    </row>
    <row r="28" spans="1:9" s="1596" customFormat="1" ht="19.5" customHeight="1">
      <c r="A28" s="3461"/>
      <c r="B28" s="3461"/>
      <c r="C28" s="1129" t="s">
        <v>1462</v>
      </c>
      <c r="D28" s="1130"/>
      <c r="E28" s="1152">
        <v>0.9</v>
      </c>
      <c r="F28" s="1131" t="s">
        <v>1463</v>
      </c>
      <c r="G28" s="1132"/>
      <c r="H28" s="1103"/>
      <c r="I28" s="1103"/>
    </row>
    <row r="29" spans="1:9" s="1596" customFormat="1" ht="19.5" customHeight="1">
      <c r="A29" s="3461"/>
      <c r="B29" s="3461"/>
      <c r="C29" s="1129" t="s">
        <v>1464</v>
      </c>
      <c r="D29" s="1130"/>
      <c r="E29" s="1152">
        <v>0.9</v>
      </c>
      <c r="F29" s="1131" t="s">
        <v>1465</v>
      </c>
      <c r="G29" s="1132"/>
      <c r="H29" s="1103"/>
      <c r="I29" s="1103"/>
    </row>
    <row r="30" spans="1:9" s="1596" customFormat="1" ht="19.5" customHeight="1">
      <c r="A30" s="3461"/>
      <c r="B30" s="3461"/>
      <c r="C30" s="1129" t="s">
        <v>1466</v>
      </c>
      <c r="D30" s="1130"/>
      <c r="E30" s="1152">
        <v>0.9</v>
      </c>
      <c r="F30" s="1131" t="s">
        <v>1467</v>
      </c>
      <c r="G30" s="1132"/>
      <c r="H30" s="1103"/>
      <c r="I30" s="1103"/>
    </row>
    <row r="31" spans="1:9" s="1596" customFormat="1" ht="19.5" customHeight="1">
      <c r="A31" s="3461"/>
      <c r="B31" s="3461"/>
      <c r="C31" s="1129" t="s">
        <v>1468</v>
      </c>
      <c r="D31" s="1130"/>
      <c r="E31" s="1152">
        <v>0.8</v>
      </c>
      <c r="F31" s="1131" t="s">
        <v>1469</v>
      </c>
      <c r="G31" s="1132"/>
      <c r="H31" s="1103"/>
      <c r="I31" s="1103"/>
    </row>
    <row r="32" spans="1:9" s="1596" customFormat="1" ht="19.5" customHeight="1">
      <c r="A32" s="3461"/>
      <c r="B32" s="3461"/>
      <c r="C32" s="1129" t="s">
        <v>1470</v>
      </c>
      <c r="D32" s="1130"/>
      <c r="E32" s="1152">
        <v>0.8</v>
      </c>
      <c r="F32" s="1131" t="s">
        <v>1471</v>
      </c>
      <c r="G32" s="1132"/>
      <c r="H32" s="1103"/>
      <c r="I32" s="1103"/>
    </row>
    <row r="33" spans="1:9" s="1596" customFormat="1" ht="19.5" customHeight="1">
      <c r="A33" s="3461" t="s">
        <v>1472</v>
      </c>
      <c r="B33" s="1152" t="s">
        <v>1444</v>
      </c>
      <c r="C33" s="1129" t="s">
        <v>1473</v>
      </c>
      <c r="D33" s="1130"/>
      <c r="E33" s="1152">
        <v>1</v>
      </c>
      <c r="F33" s="1131" t="s">
        <v>1474</v>
      </c>
      <c r="G33" s="1132"/>
      <c r="H33" s="1103"/>
      <c r="I33" s="1103"/>
    </row>
    <row r="34" spans="1:9" s="1596" customFormat="1" ht="19.5" customHeight="1">
      <c r="A34" s="3461"/>
      <c r="B34" s="1152" t="s">
        <v>1447</v>
      </c>
      <c r="C34" s="1129" t="s">
        <v>1475</v>
      </c>
      <c r="D34" s="1130"/>
      <c r="E34" s="1152">
        <v>1.5</v>
      </c>
      <c r="F34" s="1131" t="s">
        <v>1476</v>
      </c>
      <c r="G34" s="1132"/>
      <c r="H34" s="1103"/>
      <c r="I34" s="1103"/>
    </row>
    <row r="35" spans="1:9" s="1596" customFormat="1" ht="19.5" customHeight="1">
      <c r="A35" s="3461" t="s">
        <v>1430</v>
      </c>
      <c r="B35" s="1152" t="s">
        <v>1444</v>
      </c>
      <c r="C35" s="1129" t="s">
        <v>1477</v>
      </c>
      <c r="D35" s="1130"/>
      <c r="E35" s="1152">
        <v>1</v>
      </c>
      <c r="F35" s="1131" t="s">
        <v>1478</v>
      </c>
      <c r="G35" s="1132"/>
      <c r="H35" s="1103"/>
      <c r="I35" s="1103"/>
    </row>
    <row r="36" spans="1:9" s="1596" customFormat="1" ht="19.5" customHeight="1">
      <c r="A36" s="3461"/>
      <c r="B36" s="3461" t="s">
        <v>1447</v>
      </c>
      <c r="C36" s="1129" t="s">
        <v>1479</v>
      </c>
      <c r="D36" s="1130"/>
      <c r="E36" s="1152">
        <v>1</v>
      </c>
      <c r="F36" s="1131" t="s">
        <v>1480</v>
      </c>
      <c r="G36" s="1132"/>
      <c r="H36" s="1103"/>
      <c r="I36" s="1103"/>
    </row>
    <row r="37" spans="1:9" s="1596" customFormat="1" ht="19.5" customHeight="1">
      <c r="A37" s="3461"/>
      <c r="B37" s="3461"/>
      <c r="C37" s="1129" t="s">
        <v>1481</v>
      </c>
      <c r="D37" s="1130"/>
      <c r="E37" s="1152">
        <v>1.5</v>
      </c>
      <c r="F37" s="1131" t="s">
        <v>1482</v>
      </c>
      <c r="G37" s="1132"/>
      <c r="H37" s="1103"/>
      <c r="I37" s="1103"/>
    </row>
    <row r="38" spans="1:9" s="1596" customFormat="1" ht="19.5" customHeight="1">
      <c r="A38" s="3461"/>
      <c r="B38" s="3461"/>
      <c r="C38" s="1129" t="s">
        <v>1483</v>
      </c>
      <c r="D38" s="1130"/>
      <c r="E38" s="1152">
        <v>1</v>
      </c>
      <c r="F38" s="1131" t="s">
        <v>1484</v>
      </c>
      <c r="G38" s="1132"/>
      <c r="H38" s="1103"/>
      <c r="I38" s="1103"/>
    </row>
    <row r="39" spans="1:9" s="1596" customFormat="1" ht="19.5" customHeight="1">
      <c r="A39" s="3461"/>
      <c r="B39" s="3461"/>
      <c r="C39" s="1129" t="s">
        <v>1485</v>
      </c>
      <c r="D39" s="1130"/>
      <c r="E39" s="1152">
        <v>1</v>
      </c>
      <c r="F39" s="1131" t="s">
        <v>1486</v>
      </c>
      <c r="G39" s="1132"/>
      <c r="H39" s="1103"/>
      <c r="I39" s="1103"/>
    </row>
    <row r="40" spans="1:9" s="1596" customFormat="1" ht="19.5" customHeight="1">
      <c r="A40" s="1597" t="s">
        <v>1487</v>
      </c>
      <c r="B40" s="1597"/>
      <c r="C40" s="1597"/>
      <c r="D40" s="1597"/>
      <c r="E40" s="1597"/>
      <c r="F40" s="1131"/>
      <c r="G40" s="1131"/>
      <c r="H40" s="1103"/>
      <c r="I40" s="1103"/>
    </row>
    <row r="42" spans="1:9" ht="19.5" customHeight="1">
      <c r="A42" s="1133"/>
      <c r="B42" s="1066" t="s">
        <v>1488</v>
      </c>
      <c r="C42" s="1066" t="s">
        <v>1488</v>
      </c>
      <c r="D42" s="1066" t="s">
        <v>1488</v>
      </c>
      <c r="E42" s="1151" t="s">
        <v>1488</v>
      </c>
      <c r="F42" s="1151" t="s">
        <v>1488</v>
      </c>
      <c r="G42" s="1151" t="s">
        <v>1489</v>
      </c>
      <c r="H42" s="1151" t="s">
        <v>1488</v>
      </c>
    </row>
    <row r="43" spans="1:9" ht="19.5" customHeight="1">
      <c r="A43" s="1134"/>
      <c r="B43" s="1151" t="s">
        <v>1005</v>
      </c>
      <c r="C43" s="1151" t="s">
        <v>1005</v>
      </c>
      <c r="D43" s="1151" t="s">
        <v>1005</v>
      </c>
      <c r="E43" s="1151" t="s">
        <v>1005</v>
      </c>
      <c r="F43" s="1066" t="s">
        <v>1027</v>
      </c>
      <c r="G43" s="1066" t="s">
        <v>1430</v>
      </c>
      <c r="H43" s="1066" t="s">
        <v>1490</v>
      </c>
    </row>
    <row r="44" spans="1:9" ht="19.5" customHeight="1">
      <c r="A44" s="1135"/>
      <c r="B44" s="1066">
        <v>1</v>
      </c>
      <c r="C44" s="1066">
        <v>2</v>
      </c>
      <c r="D44" s="1066">
        <v>3</v>
      </c>
      <c r="E44" s="1151">
        <v>4</v>
      </c>
      <c r="F44" s="1127" t="s">
        <v>1491</v>
      </c>
      <c r="G44" s="1127" t="s">
        <v>1491</v>
      </c>
      <c r="H44" s="1127" t="s">
        <v>1491</v>
      </c>
    </row>
    <row r="45" spans="1:9" ht="19.5" customHeight="1">
      <c r="A45" s="1150" t="s">
        <v>904</v>
      </c>
      <c r="B45" s="1066">
        <v>0.8</v>
      </c>
      <c r="C45" s="1066">
        <v>0.5</v>
      </c>
      <c r="D45" s="1066">
        <v>0.36</v>
      </c>
      <c r="E45" s="1066">
        <v>0.3</v>
      </c>
      <c r="F45" s="1127">
        <v>0.3</v>
      </c>
      <c r="G45" s="1066">
        <v>0.3</v>
      </c>
      <c r="H45" s="1066">
        <v>0.25</v>
      </c>
    </row>
    <row r="46" spans="1:9" ht="19.5" customHeight="1">
      <c r="A46" s="1150" t="s">
        <v>905</v>
      </c>
      <c r="B46" s="1066">
        <v>0.8</v>
      </c>
      <c r="C46" s="1066">
        <v>0.5</v>
      </c>
      <c r="D46" s="1066">
        <v>0.36</v>
      </c>
      <c r="E46" s="1066">
        <v>0.3</v>
      </c>
      <c r="F46" s="1066">
        <v>0.3</v>
      </c>
      <c r="G46" s="1066">
        <v>0.3</v>
      </c>
      <c r="H46" s="1066">
        <v>0.25</v>
      </c>
    </row>
    <row r="47" spans="1:9" ht="19.5" customHeight="1">
      <c r="A47" s="1150" t="s">
        <v>906</v>
      </c>
      <c r="B47" s="1066">
        <v>0.7</v>
      </c>
      <c r="C47" s="1066">
        <v>0.4</v>
      </c>
      <c r="D47" s="1066">
        <v>0.28000000000000003</v>
      </c>
      <c r="E47" s="1066">
        <v>0.25</v>
      </c>
      <c r="F47" s="1066">
        <v>0.25</v>
      </c>
      <c r="G47" s="1066">
        <v>0.25</v>
      </c>
      <c r="H47" s="1066">
        <v>0.2</v>
      </c>
    </row>
    <row r="48" spans="1:9" ht="19.5" customHeight="1">
      <c r="A48" s="1150" t="s">
        <v>907</v>
      </c>
      <c r="B48" s="1066">
        <v>0.7</v>
      </c>
      <c r="C48" s="1066">
        <v>0.4</v>
      </c>
      <c r="D48" s="1066">
        <v>0.28000000000000003</v>
      </c>
      <c r="E48" s="1066">
        <v>0.25</v>
      </c>
      <c r="F48" s="1066">
        <v>0.25</v>
      </c>
      <c r="G48" s="1066">
        <v>0.25</v>
      </c>
      <c r="H48" s="1066">
        <v>0.2</v>
      </c>
    </row>
    <row r="49" spans="1:8" s="1103" customFormat="1" ht="19.5" customHeight="1">
      <c r="A49" s="1150" t="s">
        <v>908</v>
      </c>
      <c r="B49" s="1066">
        <v>0.7</v>
      </c>
      <c r="C49" s="1066">
        <v>0.4</v>
      </c>
      <c r="D49" s="1066">
        <v>0.28000000000000003</v>
      </c>
      <c r="E49" s="1066">
        <v>0.25</v>
      </c>
      <c r="F49" s="1066">
        <v>0.25</v>
      </c>
      <c r="G49" s="1066">
        <v>0.25</v>
      </c>
      <c r="H49" s="1066">
        <v>0.2</v>
      </c>
    </row>
    <row r="50" spans="1:8" s="1103" customFormat="1" ht="19.5" customHeight="1">
      <c r="A50" s="1150" t="s">
        <v>909</v>
      </c>
      <c r="B50" s="1066">
        <v>0.7</v>
      </c>
      <c r="C50" s="1066">
        <v>0.4</v>
      </c>
      <c r="D50" s="1066">
        <v>0.28000000000000003</v>
      </c>
      <c r="E50" s="1066">
        <v>0.25</v>
      </c>
      <c r="F50" s="1066">
        <v>0.25</v>
      </c>
      <c r="G50" s="1066">
        <v>0.25</v>
      </c>
      <c r="H50" s="1066">
        <v>0.2</v>
      </c>
    </row>
    <row r="51" spans="1:8" s="1103" customFormat="1" ht="19.5" customHeight="1">
      <c r="A51" s="1150" t="s">
        <v>910</v>
      </c>
      <c r="B51" s="1066">
        <v>0.7</v>
      </c>
      <c r="C51" s="1066">
        <v>0.4</v>
      </c>
      <c r="D51" s="1066">
        <v>0.28000000000000003</v>
      </c>
      <c r="E51" s="1066">
        <v>0.25</v>
      </c>
      <c r="F51" s="1066">
        <v>0.25</v>
      </c>
      <c r="G51" s="1066">
        <v>0.25</v>
      </c>
      <c r="H51" s="1066">
        <v>0.2</v>
      </c>
    </row>
    <row r="52" spans="1:8" s="1103" customFormat="1" ht="19.5" customHeight="1">
      <c r="A52" s="1150" t="s">
        <v>911</v>
      </c>
      <c r="B52" s="1066">
        <v>0.6</v>
      </c>
      <c r="C52" s="1066">
        <v>0.3</v>
      </c>
      <c r="D52" s="1066">
        <v>0.2</v>
      </c>
      <c r="E52" s="1066">
        <v>0.2</v>
      </c>
      <c r="F52" s="1066">
        <v>0.2</v>
      </c>
      <c r="G52" s="1066">
        <v>0.2</v>
      </c>
      <c r="H52" s="1066">
        <v>0.15</v>
      </c>
    </row>
    <row r="53" spans="1:8" s="1103" customFormat="1" ht="19.5" customHeight="1">
      <c r="A53" s="1150" t="s">
        <v>912</v>
      </c>
      <c r="B53" s="1066">
        <v>0.6</v>
      </c>
      <c r="C53" s="1066">
        <v>0.3</v>
      </c>
      <c r="D53" s="1066">
        <v>0.2</v>
      </c>
      <c r="E53" s="1066">
        <v>0.2</v>
      </c>
      <c r="F53" s="1066">
        <v>0.2</v>
      </c>
      <c r="G53" s="1066">
        <v>0.2</v>
      </c>
      <c r="H53" s="1066">
        <v>0.15</v>
      </c>
    </row>
    <row r="54" spans="1:8" s="1103" customFormat="1" ht="19.5" customHeight="1">
      <c r="A54" s="1150" t="s">
        <v>913</v>
      </c>
      <c r="B54" s="1066">
        <v>0.6</v>
      </c>
      <c r="C54" s="1066">
        <v>0.3</v>
      </c>
      <c r="D54" s="1066">
        <v>0.2</v>
      </c>
      <c r="E54" s="1066">
        <v>0.2</v>
      </c>
      <c r="F54" s="1066">
        <v>0.2</v>
      </c>
      <c r="G54" s="1066">
        <v>0.2</v>
      </c>
      <c r="H54" s="1066">
        <v>0.15</v>
      </c>
    </row>
    <row r="55" spans="1:8" s="1103" customFormat="1" ht="19.5" customHeight="1">
      <c r="A55" s="1150" t="s">
        <v>914</v>
      </c>
      <c r="B55" s="1066">
        <v>0.6</v>
      </c>
      <c r="C55" s="1066">
        <v>0.3</v>
      </c>
      <c r="D55" s="1066">
        <v>0.2</v>
      </c>
      <c r="E55" s="1066">
        <v>0.2</v>
      </c>
      <c r="F55" s="1066">
        <v>0.2</v>
      </c>
      <c r="G55" s="1066">
        <v>0.2</v>
      </c>
      <c r="H55" s="1066">
        <v>0.15</v>
      </c>
    </row>
    <row r="56" spans="1:8" s="1103" customFormat="1" ht="19.5" customHeight="1">
      <c r="A56" s="1150" t="s">
        <v>915</v>
      </c>
      <c r="B56" s="1066">
        <v>0.6</v>
      </c>
      <c r="C56" s="1066">
        <v>0.3</v>
      </c>
      <c r="D56" s="1066">
        <v>0.2</v>
      </c>
      <c r="E56" s="1066">
        <v>0.2</v>
      </c>
      <c r="F56" s="1066">
        <v>0.2</v>
      </c>
      <c r="G56" s="1066">
        <v>0.2</v>
      </c>
      <c r="H56" s="1066">
        <v>0.15</v>
      </c>
    </row>
    <row r="58" spans="1:8" s="1103" customFormat="1" ht="19.5" customHeight="1">
      <c r="A58" s="1136"/>
      <c r="B58" s="1124"/>
      <c r="C58" s="1124"/>
      <c r="D58" s="1124" t="s">
        <v>1492</v>
      </c>
      <c r="E58" s="1124"/>
      <c r="F58" s="1124"/>
    </row>
    <row r="59" spans="1:8" s="1103" customFormat="1" ht="19.5" customHeight="1">
      <c r="A59" s="1152" t="s">
        <v>1493</v>
      </c>
      <c r="B59" s="1152" t="s">
        <v>1494</v>
      </c>
      <c r="C59" s="1152" t="s">
        <v>1495</v>
      </c>
      <c r="D59" s="1152" t="s">
        <v>1496</v>
      </c>
      <c r="E59" s="1152" t="s">
        <v>1497</v>
      </c>
      <c r="F59" s="1152" t="s">
        <v>1498</v>
      </c>
    </row>
    <row r="60" spans="1:8" s="1103" customFormat="1" ht="19.5" customHeight="1">
      <c r="A60" s="1152"/>
      <c r="B60" s="1152"/>
      <c r="C60" s="1152" t="s">
        <v>1630</v>
      </c>
      <c r="D60" s="1152"/>
      <c r="E60" s="1137" t="s">
        <v>1439</v>
      </c>
      <c r="F60" s="1152" t="s">
        <v>1439</v>
      </c>
    </row>
    <row r="61" spans="1:8" s="1103" customFormat="1" ht="24">
      <c r="A61" s="1152">
        <v>1</v>
      </c>
      <c r="B61" s="3461" t="s">
        <v>1499</v>
      </c>
      <c r="C61" s="1066" t="s">
        <v>1500</v>
      </c>
      <c r="D61" s="1066" t="s">
        <v>1501</v>
      </c>
      <c r="E61" s="1137">
        <v>0.5</v>
      </c>
      <c r="F61" s="1152">
        <v>80</v>
      </c>
      <c r="H61" s="1103">
        <f>SUMIF(C59:C119,基准地价!C8,E59:E119)</f>
        <v>0</v>
      </c>
    </row>
    <row r="62" spans="1:8" s="1103" customFormat="1" ht="24">
      <c r="A62" s="1152">
        <v>2</v>
      </c>
      <c r="B62" s="3461"/>
      <c r="C62" s="1066" t="s">
        <v>1502</v>
      </c>
      <c r="D62" s="1066" t="s">
        <v>1503</v>
      </c>
      <c r="E62" s="1137">
        <v>0.5</v>
      </c>
      <c r="F62" s="1152">
        <v>80</v>
      </c>
    </row>
    <row r="63" spans="1:8" s="1103" customFormat="1" ht="36">
      <c r="A63" s="1152">
        <v>3</v>
      </c>
      <c r="B63" s="3461"/>
      <c r="C63" s="1066" t="s">
        <v>1504</v>
      </c>
      <c r="D63" s="1066" t="s">
        <v>1505</v>
      </c>
      <c r="E63" s="1137">
        <v>0.5</v>
      </c>
      <c r="F63" s="1152">
        <v>80</v>
      </c>
    </row>
    <row r="64" spans="1:8" s="1103" customFormat="1" ht="36">
      <c r="A64" s="1152">
        <v>4</v>
      </c>
      <c r="B64" s="3461"/>
      <c r="C64" s="1066" t="s">
        <v>1506</v>
      </c>
      <c r="D64" s="1066" t="s">
        <v>1507</v>
      </c>
      <c r="E64" s="1137">
        <v>0.4</v>
      </c>
      <c r="F64" s="1152">
        <v>60</v>
      </c>
    </row>
    <row r="65" spans="1:6" s="1103" customFormat="1" ht="36">
      <c r="A65" s="1152">
        <v>5</v>
      </c>
      <c r="B65" s="3461"/>
      <c r="C65" s="1066" t="s">
        <v>1508</v>
      </c>
      <c r="D65" s="1066" t="s">
        <v>1509</v>
      </c>
      <c r="E65" s="1137">
        <v>0.2</v>
      </c>
      <c r="F65" s="1152">
        <v>30</v>
      </c>
    </row>
    <row r="66" spans="1:6" s="1103" customFormat="1" ht="36">
      <c r="A66" s="1152">
        <v>6</v>
      </c>
      <c r="B66" s="3461"/>
      <c r="C66" s="1066" t="s">
        <v>1510</v>
      </c>
      <c r="D66" s="1066" t="s">
        <v>1511</v>
      </c>
      <c r="E66" s="1137">
        <v>0.3</v>
      </c>
      <c r="F66" s="1152">
        <v>50</v>
      </c>
    </row>
    <row r="67" spans="1:6" s="1103" customFormat="1" ht="36">
      <c r="A67" s="1152">
        <v>7</v>
      </c>
      <c r="B67" s="3461"/>
      <c r="C67" s="1066" t="s">
        <v>1512</v>
      </c>
      <c r="D67" s="1066" t="s">
        <v>1513</v>
      </c>
      <c r="E67" s="1137">
        <v>0.2</v>
      </c>
      <c r="F67" s="1152">
        <v>30</v>
      </c>
    </row>
    <row r="68" spans="1:6" s="1103" customFormat="1" ht="36">
      <c r="A68" s="1152">
        <v>8</v>
      </c>
      <c r="B68" s="3461"/>
      <c r="C68" s="1066" t="s">
        <v>1514</v>
      </c>
      <c r="D68" s="1066" t="s">
        <v>1515</v>
      </c>
      <c r="E68" s="1137">
        <v>0.2</v>
      </c>
      <c r="F68" s="1152">
        <v>30</v>
      </c>
    </row>
    <row r="69" spans="1:6" s="1103" customFormat="1" ht="36">
      <c r="A69" s="1152">
        <v>9</v>
      </c>
      <c r="B69" s="3461"/>
      <c r="C69" s="1066" t="s">
        <v>1516</v>
      </c>
      <c r="D69" s="1066" t="s">
        <v>1517</v>
      </c>
      <c r="E69" s="1137">
        <v>0.2</v>
      </c>
      <c r="F69" s="1152">
        <v>30</v>
      </c>
    </row>
    <row r="70" spans="1:6" s="1103" customFormat="1" ht="48">
      <c r="A70" s="1152">
        <v>10</v>
      </c>
      <c r="B70" s="3461"/>
      <c r="C70" s="1066" t="s">
        <v>1518</v>
      </c>
      <c r="D70" s="1066" t="s">
        <v>1519</v>
      </c>
      <c r="E70" s="1137">
        <v>0.2</v>
      </c>
      <c r="F70" s="1152">
        <v>30</v>
      </c>
    </row>
    <row r="71" spans="1:6" s="1103" customFormat="1" ht="48">
      <c r="A71" s="1152">
        <v>11</v>
      </c>
      <c r="B71" s="3461"/>
      <c r="C71" s="1066" t="s">
        <v>1520</v>
      </c>
      <c r="D71" s="1066" t="s">
        <v>1521</v>
      </c>
      <c r="E71" s="1137">
        <v>0.2</v>
      </c>
      <c r="F71" s="1152">
        <v>30</v>
      </c>
    </row>
    <row r="72" spans="1:6" s="1103" customFormat="1" ht="36">
      <c r="A72" s="1152">
        <v>12</v>
      </c>
      <c r="B72" s="3461"/>
      <c r="C72" s="1066" t="s">
        <v>1522</v>
      </c>
      <c r="D72" s="1066" t="s">
        <v>1523</v>
      </c>
      <c r="E72" s="1137">
        <v>0.5</v>
      </c>
      <c r="F72" s="1152">
        <v>80</v>
      </c>
    </row>
    <row r="73" spans="1:6" s="1103" customFormat="1" ht="24">
      <c r="A73" s="1152">
        <v>13</v>
      </c>
      <c r="B73" s="3461"/>
      <c r="C73" s="1066" t="s">
        <v>1524</v>
      </c>
      <c r="D73" s="1066" t="s">
        <v>1525</v>
      </c>
      <c r="E73" s="1137">
        <v>0.4</v>
      </c>
      <c r="F73" s="1152">
        <v>60</v>
      </c>
    </row>
    <row r="74" spans="1:6" s="1103" customFormat="1" ht="24">
      <c r="A74" s="1152">
        <v>14</v>
      </c>
      <c r="B74" s="3461"/>
      <c r="C74" s="1066" t="s">
        <v>1526</v>
      </c>
      <c r="D74" s="1066" t="s">
        <v>1527</v>
      </c>
      <c r="E74" s="1137">
        <v>0.2</v>
      </c>
      <c r="F74" s="1152">
        <v>30</v>
      </c>
    </row>
    <row r="75" spans="1:6" s="1103" customFormat="1" ht="24">
      <c r="A75" s="1152">
        <v>15</v>
      </c>
      <c r="B75" s="3461"/>
      <c r="C75" s="1066" t="s">
        <v>1528</v>
      </c>
      <c r="D75" s="1066" t="s">
        <v>1529</v>
      </c>
      <c r="E75" s="1137">
        <v>0.2</v>
      </c>
      <c r="F75" s="1152">
        <v>30</v>
      </c>
    </row>
    <row r="76" spans="1:6" s="1103" customFormat="1" ht="24">
      <c r="A76" s="1152">
        <v>16</v>
      </c>
      <c r="B76" s="3461" t="s">
        <v>1530</v>
      </c>
      <c r="C76" s="1066" t="s">
        <v>1531</v>
      </c>
      <c r="D76" s="1066" t="s">
        <v>1532</v>
      </c>
      <c r="E76" s="1137">
        <v>0.5</v>
      </c>
      <c r="F76" s="1152">
        <v>80</v>
      </c>
    </row>
    <row r="77" spans="1:6" s="1103" customFormat="1" ht="24">
      <c r="A77" s="1152">
        <v>17</v>
      </c>
      <c r="B77" s="3461"/>
      <c r="C77" s="1066" t="s">
        <v>1533</v>
      </c>
      <c r="D77" s="1066" t="s">
        <v>1534</v>
      </c>
      <c r="E77" s="1137">
        <v>0.5</v>
      </c>
      <c r="F77" s="1152">
        <v>80</v>
      </c>
    </row>
    <row r="78" spans="1:6" s="1103" customFormat="1" ht="24">
      <c r="A78" s="1152">
        <v>18</v>
      </c>
      <c r="B78" s="3461"/>
      <c r="C78" s="1066" t="s">
        <v>1535</v>
      </c>
      <c r="D78" s="1066" t="s">
        <v>1536</v>
      </c>
      <c r="E78" s="1137">
        <v>0.2</v>
      </c>
      <c r="F78" s="1152">
        <v>30</v>
      </c>
    </row>
    <row r="79" spans="1:6" s="1103" customFormat="1" ht="24">
      <c r="A79" s="1152">
        <v>19</v>
      </c>
      <c r="B79" s="3461"/>
      <c r="C79" s="1066" t="s">
        <v>1537</v>
      </c>
      <c r="D79" s="1066" t="s">
        <v>1538</v>
      </c>
      <c r="E79" s="1137">
        <v>0.5</v>
      </c>
      <c r="F79" s="1152">
        <v>80</v>
      </c>
    </row>
    <row r="80" spans="1:6" s="1103" customFormat="1" ht="36">
      <c r="A80" s="1152">
        <v>20</v>
      </c>
      <c r="B80" s="3461"/>
      <c r="C80" s="1066" t="s">
        <v>1539</v>
      </c>
      <c r="D80" s="1066" t="s">
        <v>1540</v>
      </c>
      <c r="E80" s="1137">
        <v>0.2</v>
      </c>
      <c r="F80" s="1152">
        <v>30</v>
      </c>
    </row>
    <row r="81" spans="1:6" s="1103" customFormat="1" ht="36">
      <c r="A81" s="1152">
        <v>21</v>
      </c>
      <c r="B81" s="3461"/>
      <c r="C81" s="1066" t="s">
        <v>1541</v>
      </c>
      <c r="D81" s="1066" t="s">
        <v>1542</v>
      </c>
      <c r="E81" s="1137">
        <v>0.2</v>
      </c>
      <c r="F81" s="1152">
        <v>30</v>
      </c>
    </row>
    <row r="82" spans="1:6" s="1103" customFormat="1" ht="48">
      <c r="A82" s="1152">
        <v>22</v>
      </c>
      <c r="B82" s="3461"/>
      <c r="C82" s="1066" t="s">
        <v>1543</v>
      </c>
      <c r="D82" s="1066" t="s">
        <v>1544</v>
      </c>
      <c r="E82" s="1137">
        <v>0.2</v>
      </c>
      <c r="F82" s="1152">
        <v>30</v>
      </c>
    </row>
    <row r="83" spans="1:6" s="1103" customFormat="1" ht="48">
      <c r="A83" s="1152">
        <v>23</v>
      </c>
      <c r="B83" s="3461"/>
      <c r="C83" s="1066" t="s">
        <v>1545</v>
      </c>
      <c r="D83" s="1066" t="s">
        <v>1546</v>
      </c>
      <c r="E83" s="1137">
        <v>0.2</v>
      </c>
      <c r="F83" s="1152">
        <v>30</v>
      </c>
    </row>
    <row r="84" spans="1:6" s="1103" customFormat="1" ht="36">
      <c r="A84" s="1152">
        <v>24</v>
      </c>
      <c r="B84" s="3461"/>
      <c r="C84" s="1066" t="s">
        <v>1547</v>
      </c>
      <c r="D84" s="1066" t="s">
        <v>1548</v>
      </c>
      <c r="E84" s="1137">
        <v>0.2</v>
      </c>
      <c r="F84" s="1152">
        <v>30</v>
      </c>
    </row>
    <row r="85" spans="1:6" s="1103" customFormat="1" ht="36">
      <c r="A85" s="1152">
        <v>25</v>
      </c>
      <c r="B85" s="3461"/>
      <c r="C85" s="1066" t="s">
        <v>1549</v>
      </c>
      <c r="D85" s="1066" t="s">
        <v>1550</v>
      </c>
      <c r="E85" s="1137">
        <v>0.5</v>
      </c>
      <c r="F85" s="1152">
        <v>80</v>
      </c>
    </row>
    <row r="86" spans="1:6" s="1103" customFormat="1" ht="36">
      <c r="A86" s="1152">
        <v>26</v>
      </c>
      <c r="B86" s="3461"/>
      <c r="C86" s="1066" t="s">
        <v>1551</v>
      </c>
      <c r="D86" s="1066" t="s">
        <v>1552</v>
      </c>
      <c r="E86" s="1137">
        <v>0.2</v>
      </c>
      <c r="F86" s="1152">
        <v>30</v>
      </c>
    </row>
    <row r="87" spans="1:6" s="1103" customFormat="1" ht="36">
      <c r="A87" s="1152">
        <v>27</v>
      </c>
      <c r="B87" s="3461"/>
      <c r="C87" s="1066" t="s">
        <v>1553</v>
      </c>
      <c r="D87" s="1066" t="s">
        <v>1554</v>
      </c>
      <c r="E87" s="1137">
        <v>0.2</v>
      </c>
      <c r="F87" s="1152">
        <v>30</v>
      </c>
    </row>
    <row r="88" spans="1:6" s="1103" customFormat="1" ht="36">
      <c r="A88" s="1152">
        <v>28</v>
      </c>
      <c r="B88" s="3461"/>
      <c r="C88" s="1066" t="s">
        <v>1555</v>
      </c>
      <c r="D88" s="1066" t="s">
        <v>1556</v>
      </c>
      <c r="E88" s="1137">
        <v>0.2</v>
      </c>
      <c r="F88" s="1152">
        <v>30</v>
      </c>
    </row>
    <row r="89" spans="1:6" s="1103" customFormat="1" ht="24">
      <c r="A89" s="1152">
        <v>29</v>
      </c>
      <c r="B89" s="3461"/>
      <c r="C89" s="1066" t="s">
        <v>1557</v>
      </c>
      <c r="D89" s="1066" t="s">
        <v>1558</v>
      </c>
      <c r="E89" s="1137">
        <v>0.2</v>
      </c>
      <c r="F89" s="1152">
        <v>30</v>
      </c>
    </row>
    <row r="90" spans="1:6" s="1103" customFormat="1" ht="24">
      <c r="A90" s="1152">
        <v>30</v>
      </c>
      <c r="B90" s="3461"/>
      <c r="C90" s="1066" t="s">
        <v>1559</v>
      </c>
      <c r="D90" s="1066" t="s">
        <v>1560</v>
      </c>
      <c r="E90" s="1137">
        <v>0.2</v>
      </c>
      <c r="F90" s="1152">
        <v>30</v>
      </c>
    </row>
    <row r="91" spans="1:6" s="1103" customFormat="1" ht="36">
      <c r="A91" s="1152">
        <v>31</v>
      </c>
      <c r="B91" s="3461"/>
      <c r="C91" s="1066" t="s">
        <v>1561</v>
      </c>
      <c r="D91" s="1066" t="s">
        <v>1562</v>
      </c>
      <c r="E91" s="1137">
        <v>0.2</v>
      </c>
      <c r="F91" s="1152">
        <v>30</v>
      </c>
    </row>
    <row r="92" spans="1:6" s="1103" customFormat="1" ht="24">
      <c r="A92" s="1152">
        <v>32</v>
      </c>
      <c r="B92" s="3461" t="s">
        <v>1563</v>
      </c>
      <c r="C92" s="1152" t="s">
        <v>1564</v>
      </c>
      <c r="D92" s="1066" t="s">
        <v>1565</v>
      </c>
      <c r="E92" s="1137">
        <v>0.2</v>
      </c>
      <c r="F92" s="1152">
        <v>30</v>
      </c>
    </row>
    <row r="93" spans="1:6" s="1103" customFormat="1" ht="36">
      <c r="A93" s="1152">
        <v>33</v>
      </c>
      <c r="B93" s="3461"/>
      <c r="C93" s="1152" t="s">
        <v>1566</v>
      </c>
      <c r="D93" s="1066" t="s">
        <v>1567</v>
      </c>
      <c r="E93" s="1137">
        <v>0.2</v>
      </c>
      <c r="F93" s="1152">
        <v>30</v>
      </c>
    </row>
    <row r="94" spans="1:6" s="1103" customFormat="1" ht="48">
      <c r="A94" s="1152">
        <v>34</v>
      </c>
      <c r="B94" s="3461"/>
      <c r="C94" s="1152" t="s">
        <v>1568</v>
      </c>
      <c r="D94" s="1066" t="s">
        <v>1569</v>
      </c>
      <c r="E94" s="1137">
        <v>0.2</v>
      </c>
      <c r="F94" s="1152">
        <v>30</v>
      </c>
    </row>
    <row r="95" spans="1:6" s="1103" customFormat="1" ht="36">
      <c r="A95" s="1152">
        <v>35</v>
      </c>
      <c r="B95" s="3461"/>
      <c r="C95" s="1152" t="s">
        <v>1570</v>
      </c>
      <c r="D95" s="1066" t="s">
        <v>1571</v>
      </c>
      <c r="E95" s="1137">
        <v>0.2</v>
      </c>
      <c r="F95" s="1152">
        <v>30</v>
      </c>
    </row>
    <row r="96" spans="1:6" s="1103" customFormat="1" ht="48">
      <c r="A96" s="1152">
        <v>36</v>
      </c>
      <c r="B96" s="3461"/>
      <c r="C96" s="1066" t="s">
        <v>1572</v>
      </c>
      <c r="D96" s="1066" t="s">
        <v>1573</v>
      </c>
      <c r="E96" s="1137">
        <v>0.2</v>
      </c>
      <c r="F96" s="1152">
        <v>30</v>
      </c>
    </row>
    <row r="97" spans="1:6" s="1103" customFormat="1" ht="36">
      <c r="A97" s="1152">
        <v>37</v>
      </c>
      <c r="B97" s="3461"/>
      <c r="C97" s="1152" t="s">
        <v>1574</v>
      </c>
      <c r="D97" s="1066" t="s">
        <v>1575</v>
      </c>
      <c r="E97" s="1137">
        <v>0.2</v>
      </c>
      <c r="F97" s="1152">
        <v>30</v>
      </c>
    </row>
    <row r="98" spans="1:6" s="1103" customFormat="1" ht="36">
      <c r="A98" s="1152">
        <v>38</v>
      </c>
      <c r="B98" s="3461"/>
      <c r="C98" s="1152" t="s">
        <v>1576</v>
      </c>
      <c r="D98" s="1066" t="s">
        <v>1577</v>
      </c>
      <c r="E98" s="1137">
        <v>0.2</v>
      </c>
      <c r="F98" s="1152">
        <v>30</v>
      </c>
    </row>
    <row r="99" spans="1:6" s="1103" customFormat="1" ht="36">
      <c r="A99" s="1152">
        <v>39</v>
      </c>
      <c r="B99" s="3461" t="s">
        <v>1578</v>
      </c>
      <c r="C99" s="1152" t="s">
        <v>1579</v>
      </c>
      <c r="D99" s="1066" t="s">
        <v>1580</v>
      </c>
      <c r="E99" s="1137">
        <v>0.3</v>
      </c>
      <c r="F99" s="1152">
        <v>50</v>
      </c>
    </row>
    <row r="100" spans="1:6" s="1103" customFormat="1" ht="24">
      <c r="A100" s="1152">
        <v>40</v>
      </c>
      <c r="B100" s="3461"/>
      <c r="C100" s="1152" t="s">
        <v>1581</v>
      </c>
      <c r="D100" s="1066" t="s">
        <v>1582</v>
      </c>
      <c r="E100" s="1137">
        <v>0.2</v>
      </c>
      <c r="F100" s="1152">
        <v>30</v>
      </c>
    </row>
    <row r="101" spans="1:6" s="1103" customFormat="1" ht="36">
      <c r="A101" s="1152">
        <v>41</v>
      </c>
      <c r="B101" s="3461"/>
      <c r="C101" s="1152" t="s">
        <v>1583</v>
      </c>
      <c r="D101" s="1066" t="s">
        <v>1580</v>
      </c>
      <c r="E101" s="1137">
        <v>0.2</v>
      </c>
      <c r="F101" s="1152">
        <v>30</v>
      </c>
    </row>
    <row r="102" spans="1:6" s="1103" customFormat="1" ht="48">
      <c r="A102" s="1152">
        <v>42</v>
      </c>
      <c r="B102" s="1152" t="s">
        <v>1584</v>
      </c>
      <c r="C102" s="1066" t="s">
        <v>1585</v>
      </c>
      <c r="D102" s="1066" t="s">
        <v>1586</v>
      </c>
      <c r="E102" s="1137">
        <v>0.2</v>
      </c>
      <c r="F102" s="1152">
        <v>30</v>
      </c>
    </row>
    <row r="103" spans="1:6" s="1103" customFormat="1" ht="24">
      <c r="A103" s="1152">
        <v>43</v>
      </c>
      <c r="B103" s="1152" t="s">
        <v>1587</v>
      </c>
      <c r="C103" s="1152" t="s">
        <v>1588</v>
      </c>
      <c r="D103" s="1066" t="s">
        <v>1589</v>
      </c>
      <c r="E103" s="1137">
        <v>0.2</v>
      </c>
      <c r="F103" s="1152">
        <v>30</v>
      </c>
    </row>
    <row r="104" spans="1:6" s="1103" customFormat="1" ht="36">
      <c r="A104" s="1152">
        <v>44</v>
      </c>
      <c r="B104" s="1152" t="s">
        <v>1590</v>
      </c>
      <c r="C104" s="1152" t="s">
        <v>1591</v>
      </c>
      <c r="D104" s="1066" t="s">
        <v>1592</v>
      </c>
      <c r="E104" s="1137">
        <v>0.2</v>
      </c>
      <c r="F104" s="1152">
        <v>30</v>
      </c>
    </row>
    <row r="105" spans="1:6" s="1103" customFormat="1" ht="36">
      <c r="A105" s="1152">
        <v>45</v>
      </c>
      <c r="B105" s="3461" t="s">
        <v>1593</v>
      </c>
      <c r="C105" s="1152" t="s">
        <v>1594</v>
      </c>
      <c r="D105" s="1066" t="s">
        <v>1595</v>
      </c>
      <c r="E105" s="1137">
        <v>0.2</v>
      </c>
      <c r="F105" s="1152">
        <v>30</v>
      </c>
    </row>
    <row r="106" spans="1:6" s="1103" customFormat="1" ht="36">
      <c r="A106" s="1152">
        <v>46</v>
      </c>
      <c r="B106" s="3461"/>
      <c r="C106" s="1152" t="s">
        <v>1596</v>
      </c>
      <c r="D106" s="1066" t="s">
        <v>1597</v>
      </c>
      <c r="E106" s="1137">
        <v>0.2</v>
      </c>
      <c r="F106" s="1152">
        <v>30</v>
      </c>
    </row>
    <row r="107" spans="1:6" s="1103" customFormat="1" ht="36">
      <c r="A107" s="1152">
        <v>47</v>
      </c>
      <c r="B107" s="3461" t="s">
        <v>1598</v>
      </c>
      <c r="C107" s="1152" t="s">
        <v>1599</v>
      </c>
      <c r="D107" s="1066" t="s">
        <v>1600</v>
      </c>
      <c r="E107" s="1137">
        <v>0.3</v>
      </c>
      <c r="F107" s="1152">
        <v>50</v>
      </c>
    </row>
    <row r="108" spans="1:6" s="1103" customFormat="1" ht="36">
      <c r="A108" s="1152">
        <v>48</v>
      </c>
      <c r="B108" s="3461"/>
      <c r="C108" s="1152" t="s">
        <v>1601</v>
      </c>
      <c r="D108" s="1066" t="s">
        <v>1602</v>
      </c>
      <c r="E108" s="1137">
        <v>0.2</v>
      </c>
      <c r="F108" s="1152">
        <v>30</v>
      </c>
    </row>
    <row r="109" spans="1:6" s="1103" customFormat="1" ht="36">
      <c r="A109" s="1152">
        <v>49</v>
      </c>
      <c r="B109" s="1152" t="s">
        <v>1603</v>
      </c>
      <c r="C109" s="1152" t="s">
        <v>1604</v>
      </c>
      <c r="D109" s="1066" t="s">
        <v>1605</v>
      </c>
      <c r="E109" s="1137">
        <v>0.2</v>
      </c>
      <c r="F109" s="1152">
        <v>30</v>
      </c>
    </row>
    <row r="110" spans="1:6" s="1103" customFormat="1" ht="36">
      <c r="A110" s="1152">
        <v>50</v>
      </c>
      <c r="B110" s="1152" t="s">
        <v>1606</v>
      </c>
      <c r="C110" s="1152" t="s">
        <v>1607</v>
      </c>
      <c r="D110" s="1066" t="s">
        <v>1608</v>
      </c>
      <c r="E110" s="1137">
        <v>0.2</v>
      </c>
      <c r="F110" s="1152">
        <v>30</v>
      </c>
    </row>
    <row r="111" spans="1:6" s="1103" customFormat="1" ht="36">
      <c r="A111" s="1152">
        <v>51</v>
      </c>
      <c r="B111" s="3461" t="s">
        <v>1609</v>
      </c>
      <c r="C111" s="1152" t="s">
        <v>1610</v>
      </c>
      <c r="D111" s="1066" t="s">
        <v>1611</v>
      </c>
      <c r="E111" s="1137">
        <v>0.2</v>
      </c>
      <c r="F111" s="1152">
        <v>30</v>
      </c>
    </row>
    <row r="112" spans="1:6" s="1103" customFormat="1" ht="24">
      <c r="A112" s="1152">
        <v>52</v>
      </c>
      <c r="B112" s="3461"/>
      <c r="C112" s="1152" t="s">
        <v>1612</v>
      </c>
      <c r="D112" s="1066" t="s">
        <v>1613</v>
      </c>
      <c r="E112" s="1137">
        <v>0.2</v>
      </c>
      <c r="F112" s="1152">
        <v>30</v>
      </c>
    </row>
    <row r="113" spans="1:14" s="1103" customFormat="1" ht="24">
      <c r="A113" s="1152">
        <v>53</v>
      </c>
      <c r="B113" s="3461"/>
      <c r="C113" s="1152" t="s">
        <v>1614</v>
      </c>
      <c r="D113" s="1066" t="s">
        <v>1615</v>
      </c>
      <c r="E113" s="1137">
        <v>0.2</v>
      </c>
      <c r="F113" s="1152">
        <v>30</v>
      </c>
    </row>
    <row r="114" spans="1:14" ht="36">
      <c r="A114" s="1152">
        <v>54</v>
      </c>
      <c r="B114" s="1152" t="s">
        <v>1616</v>
      </c>
      <c r="C114" s="1152" t="s">
        <v>1617</v>
      </c>
      <c r="D114" s="1066" t="s">
        <v>1618</v>
      </c>
      <c r="E114" s="1137">
        <v>0.2</v>
      </c>
      <c r="F114" s="1152">
        <v>30</v>
      </c>
    </row>
    <row r="115" spans="1:14" ht="24">
      <c r="A115" s="1152">
        <v>55</v>
      </c>
      <c r="B115" s="1152" t="s">
        <v>1619</v>
      </c>
      <c r="C115" s="1152" t="s">
        <v>1620</v>
      </c>
      <c r="D115" s="1066" t="s">
        <v>1621</v>
      </c>
      <c r="E115" s="1137">
        <v>0.2</v>
      </c>
      <c r="F115" s="1152">
        <v>30</v>
      </c>
    </row>
    <row r="116" spans="1:14" ht="24">
      <c r="A116" s="1152">
        <v>56</v>
      </c>
      <c r="B116" s="3461" t="s">
        <v>1622</v>
      </c>
      <c r="C116" s="1152" t="s">
        <v>1623</v>
      </c>
      <c r="D116" s="1066" t="s">
        <v>1624</v>
      </c>
      <c r="E116" s="1137">
        <v>0.2</v>
      </c>
      <c r="F116" s="1152">
        <v>30</v>
      </c>
    </row>
    <row r="117" spans="1:14" ht="36">
      <c r="A117" s="1152">
        <v>57</v>
      </c>
      <c r="B117" s="3461"/>
      <c r="C117" s="1152" t="s">
        <v>1625</v>
      </c>
      <c r="D117" s="1066" t="s">
        <v>1626</v>
      </c>
      <c r="E117" s="1137">
        <v>0.2</v>
      </c>
      <c r="F117" s="1152">
        <v>30</v>
      </c>
    </row>
    <row r="118" spans="1:14" ht="36">
      <c r="A118" s="1152">
        <v>58</v>
      </c>
      <c r="B118" s="1152" t="s">
        <v>1627</v>
      </c>
      <c r="C118" s="1152" t="s">
        <v>1628</v>
      </c>
      <c r="D118" s="1066" t="s">
        <v>1629</v>
      </c>
      <c r="E118" s="1137">
        <v>0.2</v>
      </c>
      <c r="F118" s="1152">
        <v>30</v>
      </c>
    </row>
    <row r="119" spans="1:14" ht="13.5">
      <c r="A119" s="1152"/>
      <c r="B119" s="1152"/>
      <c r="C119" s="1152"/>
      <c r="D119" s="1152"/>
      <c r="E119" s="1137"/>
      <c r="F119" s="1152"/>
    </row>
    <row r="121" spans="1:14" ht="19.5" customHeight="1">
      <c r="A121" s="3460" t="s">
        <v>1631</v>
      </c>
      <c r="B121" s="3460"/>
      <c r="C121" s="3460"/>
      <c r="D121" s="3460"/>
      <c r="E121" s="3460"/>
      <c r="F121" s="3460"/>
      <c r="G121" s="3460"/>
      <c r="H121" s="3460"/>
      <c r="I121" s="3460"/>
      <c r="J121" s="346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5" t="s">
        <v>1037</v>
      </c>
      <c r="B1" s="3465"/>
      <c r="C1" s="3465"/>
      <c r="D1" s="3465"/>
      <c r="E1" s="3465"/>
      <c r="F1" s="3465"/>
      <c r="H1" s="1068"/>
      <c r="I1" s="1069" t="s">
        <v>1038</v>
      </c>
      <c r="J1" s="1070" t="s">
        <v>1039</v>
      </c>
      <c r="K1" s="1070" t="s">
        <v>1040</v>
      </c>
      <c r="L1" s="1070" t="s">
        <v>1041</v>
      </c>
      <c r="M1" s="1070" t="s">
        <v>1042</v>
      </c>
      <c r="N1" s="1070" t="s">
        <v>1043</v>
      </c>
      <c r="O1" s="1070" t="s">
        <v>1044</v>
      </c>
      <c r="P1" s="1070" t="s">
        <v>1045</v>
      </c>
      <c r="Q1" s="1070" t="s">
        <v>1046</v>
      </c>
      <c r="R1" s="1070" t="s">
        <v>1047</v>
      </c>
      <c r="S1" s="1070" t="s">
        <v>1048</v>
      </c>
      <c r="T1" s="1071" t="s">
        <v>1049</v>
      </c>
    </row>
    <row r="2" spans="1:20" ht="14.25" thickBot="1">
      <c r="A2" s="3466" t="s">
        <v>1050</v>
      </c>
      <c r="B2" s="3466"/>
      <c r="C2" s="3466"/>
      <c r="D2" s="3466"/>
      <c r="E2" s="3466"/>
      <c r="F2" s="3466"/>
      <c r="I2" s="1072" t="s">
        <v>1051</v>
      </c>
      <c r="J2" s="1073" t="s">
        <v>1052</v>
      </c>
      <c r="K2" s="1073" t="s">
        <v>1053</v>
      </c>
      <c r="L2" s="1073" t="s">
        <v>1054</v>
      </c>
      <c r="M2" s="1073" t="s">
        <v>1055</v>
      </c>
      <c r="N2" s="1073" t="s">
        <v>1056</v>
      </c>
      <c r="O2" s="1073" t="s">
        <v>1057</v>
      </c>
      <c r="P2" s="1073" t="s">
        <v>1058</v>
      </c>
      <c r="Q2" s="1073" t="s">
        <v>1059</v>
      </c>
      <c r="R2" s="1073" t="s">
        <v>1060</v>
      </c>
      <c r="S2" s="1073" t="s">
        <v>1061</v>
      </c>
      <c r="T2" s="1073" t="s">
        <v>1062</v>
      </c>
    </row>
    <row r="3" spans="1:20" s="1068" customFormat="1" ht="19.5" customHeight="1">
      <c r="A3" s="3467" t="s">
        <v>1063</v>
      </c>
      <c r="B3" s="1074"/>
      <c r="C3" s="1075" t="s">
        <v>1064</v>
      </c>
      <c r="D3" s="1075" t="s">
        <v>1065</v>
      </c>
      <c r="E3" s="1075" t="s">
        <v>1066</v>
      </c>
      <c r="F3" s="1075" t="s">
        <v>1067</v>
      </c>
      <c r="G3" s="1076"/>
      <c r="I3" s="1072" t="s">
        <v>1068</v>
      </c>
      <c r="J3" s="1073" t="s">
        <v>1069</v>
      </c>
      <c r="K3" s="1073" t="s">
        <v>1070</v>
      </c>
      <c r="L3" s="1073" t="s">
        <v>1071</v>
      </c>
      <c r="M3" s="1073" t="s">
        <v>1072</v>
      </c>
      <c r="N3" s="1073" t="s">
        <v>1073</v>
      </c>
      <c r="O3" s="1073" t="s">
        <v>1074</v>
      </c>
      <c r="P3" s="1073" t="s">
        <v>1075</v>
      </c>
      <c r="Q3" s="1073" t="s">
        <v>1076</v>
      </c>
      <c r="R3" s="1073" t="s">
        <v>1077</v>
      </c>
      <c r="S3" s="1073" t="s">
        <v>1078</v>
      </c>
      <c r="T3" s="1073" t="s">
        <v>1079</v>
      </c>
    </row>
    <row r="4" spans="1:20" s="1068" customFormat="1" ht="19.5" customHeight="1" thickBot="1">
      <c r="A4" s="3468"/>
      <c r="B4" s="1077" t="s">
        <v>1080</v>
      </c>
      <c r="C4" s="1077" t="s">
        <v>1081</v>
      </c>
      <c r="D4" s="1077" t="s">
        <v>1081</v>
      </c>
      <c r="E4" s="1077" t="s">
        <v>1081</v>
      </c>
      <c r="F4" s="1078" t="s">
        <v>1081</v>
      </c>
      <c r="G4" s="1076"/>
      <c r="I4" s="1072" t="s">
        <v>1082</v>
      </c>
      <c r="J4" s="1073" t="s">
        <v>1083</v>
      </c>
      <c r="K4" s="1073" t="s">
        <v>1084</v>
      </c>
      <c r="L4" s="1073" t="s">
        <v>1085</v>
      </c>
      <c r="M4" s="1073" t="s">
        <v>1086</v>
      </c>
      <c r="N4" s="1073" t="s">
        <v>1087</v>
      </c>
      <c r="O4" s="1073" t="s">
        <v>1088</v>
      </c>
      <c r="P4" s="1073" t="s">
        <v>1089</v>
      </c>
      <c r="Q4" s="1073" t="s">
        <v>1090</v>
      </c>
      <c r="R4" s="1073" t="s">
        <v>1091</v>
      </c>
      <c r="S4" s="1073" t="s">
        <v>1092</v>
      </c>
      <c r="T4" s="1073" t="s">
        <v>1093</v>
      </c>
    </row>
    <row r="5" spans="1:20" ht="14.25" customHeight="1" thickBot="1">
      <c r="A5" s="1079" t="s">
        <v>1094</v>
      </c>
      <c r="B5" s="1080" t="s">
        <v>1051</v>
      </c>
      <c r="C5" s="1080">
        <v>29530</v>
      </c>
      <c r="D5" s="1080">
        <v>28130</v>
      </c>
      <c r="E5" s="1080">
        <v>27930</v>
      </c>
      <c r="F5" s="1081">
        <v>11300</v>
      </c>
      <c r="G5" s="1082" t="s">
        <v>1038</v>
      </c>
      <c r="H5" s="1083">
        <f>SUMPRODUCT((B5:B9=基准地价!I2)*(C3:F3=基准地价!E2)*(C5:F9))</f>
        <v>0</v>
      </c>
      <c r="I5" s="1072" t="s">
        <v>1095</v>
      </c>
      <c r="J5" s="1073" t="s">
        <v>1096</v>
      </c>
      <c r="K5" s="1073" t="s">
        <v>1097</v>
      </c>
      <c r="L5" s="1073" t="s">
        <v>1098</v>
      </c>
      <c r="M5" s="1073" t="s">
        <v>1099</v>
      </c>
      <c r="N5" s="1073" t="s">
        <v>1100</v>
      </c>
      <c r="O5" s="1073" t="s">
        <v>1101</v>
      </c>
      <c r="P5" s="1073" t="s">
        <v>1102</v>
      </c>
      <c r="Q5" s="1073" t="s">
        <v>1103</v>
      </c>
      <c r="R5" s="1073" t="s">
        <v>1104</v>
      </c>
      <c r="S5" s="1073" t="s">
        <v>1105</v>
      </c>
      <c r="T5" s="1073" t="s">
        <v>1106</v>
      </c>
    </row>
    <row r="6" spans="1:20" ht="14.25" customHeight="1" thickBot="1">
      <c r="A6" s="1079" t="s">
        <v>1094</v>
      </c>
      <c r="B6" s="1073" t="s">
        <v>1107</v>
      </c>
      <c r="C6" s="1073">
        <v>30290</v>
      </c>
      <c r="D6" s="1073">
        <v>29210</v>
      </c>
      <c r="E6" s="1073">
        <v>28860</v>
      </c>
      <c r="F6" s="1084">
        <v>12600</v>
      </c>
      <c r="G6" s="1085" t="s">
        <v>1108</v>
      </c>
      <c r="H6" s="1086">
        <f>SUMPRODUCT((B10:B28=基准地价!I2)*(C3:F3=基准地价!E2)*(C10:F28))</f>
        <v>0</v>
      </c>
      <c r="I6" s="1072" t="s">
        <v>1109</v>
      </c>
      <c r="J6" s="1073" t="s">
        <v>1110</v>
      </c>
      <c r="K6" s="1073" t="s">
        <v>1111</v>
      </c>
      <c r="L6" s="1073" t="s">
        <v>1112</v>
      </c>
      <c r="M6" s="1073" t="s">
        <v>1113</v>
      </c>
      <c r="N6" s="1073" t="s">
        <v>1114</v>
      </c>
      <c r="O6" s="1073" t="s">
        <v>1115</v>
      </c>
      <c r="P6" s="1073" t="s">
        <v>1116</v>
      </c>
      <c r="Q6" s="1073" t="s">
        <v>1117</v>
      </c>
      <c r="R6" s="1073" t="s">
        <v>1118</v>
      </c>
      <c r="S6" s="1073" t="s">
        <v>1119</v>
      </c>
      <c r="T6" s="1073" t="s">
        <v>1120</v>
      </c>
    </row>
    <row r="7" spans="1:20" ht="14.25" customHeight="1" thickBot="1">
      <c r="A7" s="1079" t="s">
        <v>1094</v>
      </c>
      <c r="B7" s="1087" t="s">
        <v>1082</v>
      </c>
      <c r="C7" s="1073">
        <v>29350</v>
      </c>
      <c r="D7" s="1073">
        <v>28410</v>
      </c>
      <c r="E7" s="1073">
        <v>27990</v>
      </c>
      <c r="F7" s="1084">
        <v>12300</v>
      </c>
      <c r="G7" s="1085" t="s">
        <v>906</v>
      </c>
      <c r="H7" s="1086">
        <f>SUMPRODUCT((B29:B48=基准地价!I2)*(C3:F3=基准地价!E2)*(C29:F48))</f>
        <v>0</v>
      </c>
      <c r="J7" s="1073" t="s">
        <v>1121</v>
      </c>
      <c r="K7" s="1073" t="s">
        <v>1122</v>
      </c>
      <c r="L7" s="1073" t="s">
        <v>1123</v>
      </c>
      <c r="M7" s="1073" t="s">
        <v>1124</v>
      </c>
      <c r="N7" s="1073" t="s">
        <v>1125</v>
      </c>
      <c r="O7" s="1073" t="s">
        <v>1126</v>
      </c>
      <c r="P7" s="1073" t="s">
        <v>1127</v>
      </c>
      <c r="Q7" s="1073" t="s">
        <v>1128</v>
      </c>
      <c r="R7" s="1073" t="s">
        <v>1129</v>
      </c>
      <c r="S7" s="1073" t="s">
        <v>1130</v>
      </c>
      <c r="T7" s="1087" t="s">
        <v>1131</v>
      </c>
    </row>
    <row r="8" spans="1:20" ht="14.25" customHeight="1" thickBot="1">
      <c r="A8" s="1079" t="s">
        <v>1094</v>
      </c>
      <c r="B8" s="1073" t="s">
        <v>1095</v>
      </c>
      <c r="C8" s="1073">
        <v>30890</v>
      </c>
      <c r="D8" s="1073">
        <v>29780</v>
      </c>
      <c r="E8" s="1073">
        <v>29270</v>
      </c>
      <c r="F8" s="1084">
        <v>11600</v>
      </c>
      <c r="G8" s="1085" t="s">
        <v>907</v>
      </c>
      <c r="H8" s="1086">
        <f>SUMPRODUCT((B49:B75=基准地价!I2)*(C3:F3=基准地价!E2)*(C49:F75))</f>
        <v>0</v>
      </c>
      <c r="J8" s="1073" t="s">
        <v>1132</v>
      </c>
      <c r="K8" s="1073" t="s">
        <v>1133</v>
      </c>
      <c r="L8" s="1073" t="s">
        <v>1134</v>
      </c>
      <c r="M8" s="1073" t="s">
        <v>1135</v>
      </c>
      <c r="N8" s="1073" t="s">
        <v>1136</v>
      </c>
      <c r="O8" s="1073" t="s">
        <v>1137</v>
      </c>
      <c r="P8" s="1073" t="s">
        <v>1138</v>
      </c>
      <c r="Q8" s="1073" t="s">
        <v>1139</v>
      </c>
      <c r="R8" s="1073" t="s">
        <v>1140</v>
      </c>
      <c r="S8" s="1073" t="s">
        <v>1141</v>
      </c>
      <c r="T8" s="1073" t="s">
        <v>1142</v>
      </c>
    </row>
    <row r="9" spans="1:20" ht="14.25" customHeight="1" thickBot="1">
      <c r="A9" s="1079" t="s">
        <v>1094</v>
      </c>
      <c r="B9" s="1088" t="s">
        <v>1109</v>
      </c>
      <c r="C9" s="1089">
        <v>28140</v>
      </c>
      <c r="D9" s="1089"/>
      <c r="E9" s="1089"/>
      <c r="F9" s="1090"/>
      <c r="G9" s="1085" t="s">
        <v>908</v>
      </c>
      <c r="H9" s="1086">
        <f>SUMPRODUCT((B76:B109=基准地价!I2)*(C3:F3=基准地价!E2)*(C76:F109))</f>
        <v>0</v>
      </c>
      <c r="J9" s="1073" t="s">
        <v>1143</v>
      </c>
      <c r="K9" s="1073" t="s">
        <v>1144</v>
      </c>
      <c r="L9" s="1073" t="s">
        <v>1145</v>
      </c>
      <c r="M9" s="1073" t="s">
        <v>1146</v>
      </c>
      <c r="N9" s="1073" t="s">
        <v>1147</v>
      </c>
      <c r="O9" s="1073" t="s">
        <v>1148</v>
      </c>
      <c r="P9" s="1073" t="s">
        <v>1149</v>
      </c>
      <c r="Q9" s="1073" t="s">
        <v>1150</v>
      </c>
      <c r="R9" s="1073" t="s">
        <v>1151</v>
      </c>
      <c r="S9" s="1073" t="s">
        <v>1152</v>
      </c>
    </row>
    <row r="10" spans="1:20" ht="14.25" customHeight="1" thickBot="1">
      <c r="A10" s="1079" t="s">
        <v>1153</v>
      </c>
      <c r="B10" s="1080" t="s">
        <v>1154</v>
      </c>
      <c r="C10" s="1080">
        <v>27450</v>
      </c>
      <c r="D10" s="1080">
        <v>26180</v>
      </c>
      <c r="E10" s="1080">
        <v>25980</v>
      </c>
      <c r="F10" s="1081">
        <v>8910</v>
      </c>
      <c r="G10" s="1085" t="s">
        <v>909</v>
      </c>
      <c r="H10" s="1086">
        <f>SUMPRODUCT((B110:B157=基准地价!I2)*(C3:F3=基准地价!E2)*(C110:F157))</f>
        <v>0</v>
      </c>
      <c r="J10" s="1073" t="s">
        <v>1155</v>
      </c>
      <c r="K10" s="1073" t="s">
        <v>1156</v>
      </c>
      <c r="L10" s="1073" t="s">
        <v>1157</v>
      </c>
      <c r="M10" s="1073" t="s">
        <v>1158</v>
      </c>
      <c r="N10" s="1073" t="s">
        <v>1159</v>
      </c>
      <c r="O10" s="1073" t="s">
        <v>1160</v>
      </c>
      <c r="P10" s="1073" t="s">
        <v>1161</v>
      </c>
      <c r="Q10" s="1073" t="s">
        <v>1162</v>
      </c>
      <c r="R10" s="1073" t="s">
        <v>1163</v>
      </c>
      <c r="S10" s="1073" t="s">
        <v>1164</v>
      </c>
    </row>
    <row r="11" spans="1:20" ht="14.25" customHeight="1" thickBot="1">
      <c r="A11" s="1079" t="s">
        <v>1153</v>
      </c>
      <c r="B11" s="1087" t="s">
        <v>1069</v>
      </c>
      <c r="C11" s="1073">
        <v>22950</v>
      </c>
      <c r="D11" s="1073">
        <v>22630</v>
      </c>
      <c r="E11" s="1073">
        <v>22030</v>
      </c>
      <c r="F11" s="1091">
        <v>8330</v>
      </c>
      <c r="G11" s="1085" t="s">
        <v>910</v>
      </c>
      <c r="H11" s="1086">
        <f>SUMPRODUCT((B158:B205=基准地价!I2)*(C3:F3=基准地价!E2)*(C158:F205))</f>
        <v>0</v>
      </c>
      <c r="J11" s="1073" t="s">
        <v>1165</v>
      </c>
      <c r="K11" s="1073" t="s">
        <v>1166</v>
      </c>
      <c r="L11" s="1073" t="s">
        <v>1167</v>
      </c>
      <c r="M11" s="1073" t="s">
        <v>1168</v>
      </c>
      <c r="N11" s="1073" t="s">
        <v>1169</v>
      </c>
      <c r="O11" s="1073" t="s">
        <v>1170</v>
      </c>
      <c r="P11" s="1073" t="s">
        <v>1171</v>
      </c>
      <c r="Q11" s="1073" t="s">
        <v>1172</v>
      </c>
      <c r="R11" s="1073" t="s">
        <v>1173</v>
      </c>
      <c r="S11" s="1073" t="s">
        <v>1174</v>
      </c>
    </row>
    <row r="12" spans="1:20" ht="14.25" customHeight="1" thickBot="1">
      <c r="A12" s="1079" t="s">
        <v>1153</v>
      </c>
      <c r="B12" s="1087" t="s">
        <v>1083</v>
      </c>
      <c r="C12" s="1073">
        <v>24940</v>
      </c>
      <c r="D12" s="1073">
        <v>23180</v>
      </c>
      <c r="E12" s="1073">
        <v>22910</v>
      </c>
      <c r="F12" s="1091">
        <v>7180</v>
      </c>
      <c r="G12" s="1085" t="s">
        <v>911</v>
      </c>
      <c r="H12" s="1086">
        <f>SUMPRODUCT((B206:B244=基准地价!I2)*(C3:F3=基准地价!E2)*(C206:F244))</f>
        <v>0</v>
      </c>
      <c r="J12" s="1073" t="s">
        <v>1175</v>
      </c>
      <c r="K12" s="1073" t="s">
        <v>1176</v>
      </c>
      <c r="L12" s="1073" t="s">
        <v>1177</v>
      </c>
      <c r="M12" s="1073" t="s">
        <v>1178</v>
      </c>
      <c r="N12" s="1073" t="s">
        <v>1179</v>
      </c>
      <c r="O12" s="1073" t="s">
        <v>1180</v>
      </c>
      <c r="P12" s="1073" t="s">
        <v>1181</v>
      </c>
      <c r="Q12" s="1073" t="s">
        <v>1182</v>
      </c>
      <c r="R12" s="1073" t="s">
        <v>1183</v>
      </c>
      <c r="S12" s="1073" t="s">
        <v>1184</v>
      </c>
    </row>
    <row r="13" spans="1:20" ht="14.25" customHeight="1" thickBot="1">
      <c r="A13" s="1079" t="s">
        <v>1153</v>
      </c>
      <c r="B13" s="1087" t="s">
        <v>1096</v>
      </c>
      <c r="C13" s="1073">
        <v>24140</v>
      </c>
      <c r="D13" s="1073">
        <v>22270</v>
      </c>
      <c r="E13" s="1073">
        <v>21950</v>
      </c>
      <c r="F13" s="1091">
        <v>7600</v>
      </c>
      <c r="G13" s="1085" t="s">
        <v>912</v>
      </c>
      <c r="H13" s="1086">
        <f>SUMPRODUCT((B245:B289=基准地价!I2)*(C3:F3=基准地价!E2)*(C245:F289))</f>
        <v>0</v>
      </c>
      <c r="J13" s="1073" t="s">
        <v>1185</v>
      </c>
      <c r="K13" s="1073" t="s">
        <v>1186</v>
      </c>
      <c r="L13" s="1073" t="s">
        <v>1187</v>
      </c>
      <c r="M13" s="1073" t="s">
        <v>1188</v>
      </c>
      <c r="N13" s="1073" t="s">
        <v>1189</v>
      </c>
      <c r="O13" s="1073" t="s">
        <v>1190</v>
      </c>
      <c r="P13" s="1073" t="s">
        <v>1191</v>
      </c>
      <c r="Q13" s="1073" t="s">
        <v>1192</v>
      </c>
      <c r="R13" s="1073" t="s">
        <v>1193</v>
      </c>
      <c r="S13" s="1073" t="s">
        <v>1194</v>
      </c>
    </row>
    <row r="14" spans="1:20" ht="14.25" customHeight="1" thickBot="1">
      <c r="A14" s="1079" t="s">
        <v>1153</v>
      </c>
      <c r="B14" s="1087" t="s">
        <v>1110</v>
      </c>
      <c r="C14" s="1073">
        <v>25600</v>
      </c>
      <c r="D14" s="1073">
        <v>22260</v>
      </c>
      <c r="E14" s="1073">
        <v>22110</v>
      </c>
      <c r="F14" s="1091">
        <v>7630</v>
      </c>
      <c r="G14" s="1085" t="s">
        <v>913</v>
      </c>
      <c r="H14" s="1086">
        <f>SUMPRODUCT((B290:B316=基准地价!I2)*(C3:F3=基准地价!E2)*(C290:F316))</f>
        <v>0</v>
      </c>
      <c r="J14" s="1073" t="s">
        <v>1195</v>
      </c>
      <c r="K14" s="1073" t="s">
        <v>1196</v>
      </c>
      <c r="L14" s="1073" t="s">
        <v>1197</v>
      </c>
      <c r="M14" s="1073" t="s">
        <v>1198</v>
      </c>
      <c r="N14" s="1073" t="s">
        <v>1199</v>
      </c>
      <c r="O14" s="1073" t="s">
        <v>1200</v>
      </c>
      <c r="P14" s="1073" t="s">
        <v>1201</v>
      </c>
      <c r="Q14" s="1073" t="s">
        <v>1202</v>
      </c>
      <c r="R14" s="1073" t="s">
        <v>1203</v>
      </c>
      <c r="S14" s="1073" t="s">
        <v>1204</v>
      </c>
    </row>
    <row r="15" spans="1:20" ht="14.25" customHeight="1" thickBot="1">
      <c r="A15" s="1079" t="s">
        <v>1153</v>
      </c>
      <c r="B15" s="1087" t="s">
        <v>1121</v>
      </c>
      <c r="C15" s="1073">
        <v>24760</v>
      </c>
      <c r="D15" s="1073">
        <v>24440</v>
      </c>
      <c r="E15" s="1073">
        <v>24130</v>
      </c>
      <c r="F15" s="1091">
        <v>9480</v>
      </c>
      <c r="G15" s="1085" t="s">
        <v>914</v>
      </c>
      <c r="H15" s="1086">
        <f>SUMPRODUCT((B317:B337=基准地价!I2)*(C3:F3=基准地价!E2)*(C317:F337))</f>
        <v>0</v>
      </c>
      <c r="J15" s="1073" t="s">
        <v>1205</v>
      </c>
      <c r="K15" s="1073" t="s">
        <v>1206</v>
      </c>
      <c r="L15" s="1073" t="s">
        <v>1207</v>
      </c>
      <c r="M15" s="1073" t="s">
        <v>1208</v>
      </c>
      <c r="N15" s="1073" t="s">
        <v>1209</v>
      </c>
      <c r="O15" s="1073" t="s">
        <v>1210</v>
      </c>
      <c r="P15" s="1073" t="s">
        <v>1211</v>
      </c>
      <c r="Q15" s="1073" t="s">
        <v>1212</v>
      </c>
      <c r="R15" s="1073" t="s">
        <v>1213</v>
      </c>
      <c r="S15" s="1073" t="s">
        <v>1214</v>
      </c>
    </row>
    <row r="16" spans="1:20" ht="14.25" customHeight="1" thickBot="1">
      <c r="A16" s="1079" t="s">
        <v>1153</v>
      </c>
      <c r="B16" s="1087" t="s">
        <v>1132</v>
      </c>
      <c r="C16" s="1073">
        <v>22220</v>
      </c>
      <c r="D16" s="1073">
        <v>22310</v>
      </c>
      <c r="E16" s="1073">
        <v>22000</v>
      </c>
      <c r="F16" s="1091">
        <v>8900</v>
      </c>
      <c r="G16" s="1092" t="s">
        <v>915</v>
      </c>
      <c r="H16" s="1093">
        <f>SUMPRODUCT((B338:B344=基准地价!I2)*(C3:F3=基准地价!E2)*(C338:F344))</f>
        <v>0</v>
      </c>
      <c r="J16" s="1073" t="s">
        <v>1215</v>
      </c>
      <c r="K16" s="1073" t="s">
        <v>1216</v>
      </c>
      <c r="L16" s="1073" t="s">
        <v>1217</v>
      </c>
      <c r="M16" s="1073" t="s">
        <v>1218</v>
      </c>
      <c r="N16" s="1073" t="s">
        <v>1219</v>
      </c>
      <c r="O16" s="1073" t="s">
        <v>1220</v>
      </c>
      <c r="P16" s="1073" t="s">
        <v>1221</v>
      </c>
      <c r="Q16" s="1073" t="s">
        <v>1222</v>
      </c>
      <c r="R16" s="1073" t="s">
        <v>1223</v>
      </c>
      <c r="S16" s="1073" t="s">
        <v>1224</v>
      </c>
    </row>
    <row r="17" spans="1:19" ht="14.25" customHeight="1" thickBot="1">
      <c r="A17" s="1079" t="s">
        <v>1153</v>
      </c>
      <c r="B17" s="1087" t="s">
        <v>1143</v>
      </c>
      <c r="C17" s="1073">
        <v>24700</v>
      </c>
      <c r="D17" s="1073">
        <v>25150</v>
      </c>
      <c r="E17" s="1073">
        <v>24700</v>
      </c>
      <c r="F17" s="1094"/>
      <c r="H17" s="1095"/>
      <c r="J17" s="1073" t="s">
        <v>1225</v>
      </c>
      <c r="K17" s="1073" t="s">
        <v>1226</v>
      </c>
      <c r="L17" s="1073" t="s">
        <v>1227</v>
      </c>
      <c r="M17" s="1073" t="s">
        <v>1228</v>
      </c>
      <c r="N17" s="1073" t="s">
        <v>1229</v>
      </c>
      <c r="O17" s="1073" t="s">
        <v>1230</v>
      </c>
      <c r="P17" s="1073" t="s">
        <v>1231</v>
      </c>
      <c r="Q17" s="1073" t="s">
        <v>1232</v>
      </c>
      <c r="R17" s="1073" t="s">
        <v>1233</v>
      </c>
      <c r="S17" s="1073" t="s">
        <v>1234</v>
      </c>
    </row>
    <row r="18" spans="1:19" ht="14.25" customHeight="1" thickBot="1">
      <c r="A18" s="1079" t="s">
        <v>1153</v>
      </c>
      <c r="B18" s="1087" t="s">
        <v>1155</v>
      </c>
      <c r="C18" s="1073">
        <v>22350</v>
      </c>
      <c r="D18" s="1073">
        <v>24340</v>
      </c>
      <c r="E18" s="1073">
        <v>24100</v>
      </c>
      <c r="F18" s="1094"/>
      <c r="H18" s="1095"/>
      <c r="J18" s="1073" t="s">
        <v>1235</v>
      </c>
      <c r="K18" s="1073" t="s">
        <v>1236</v>
      </c>
      <c r="L18" s="1073" t="s">
        <v>1237</v>
      </c>
      <c r="M18" s="1073" t="s">
        <v>1238</v>
      </c>
      <c r="N18" s="1073" t="s">
        <v>1239</v>
      </c>
      <c r="O18" s="1073" t="s">
        <v>1240</v>
      </c>
      <c r="P18" s="1073" t="s">
        <v>1241</v>
      </c>
      <c r="Q18" s="1073" t="s">
        <v>1242</v>
      </c>
      <c r="R18" s="1073" t="s">
        <v>1243</v>
      </c>
      <c r="S18" s="1073" t="s">
        <v>1244</v>
      </c>
    </row>
    <row r="19" spans="1:19" ht="14.25" customHeight="1" thickBot="1">
      <c r="A19" s="1079" t="s">
        <v>1153</v>
      </c>
      <c r="B19" s="1087" t="s">
        <v>1165</v>
      </c>
      <c r="C19" s="1073">
        <v>23430</v>
      </c>
      <c r="D19" s="1073">
        <v>21580</v>
      </c>
      <c r="E19" s="1073">
        <v>21350</v>
      </c>
      <c r="F19" s="1094"/>
      <c r="H19" s="1095"/>
      <c r="J19" s="1073" t="s">
        <v>1245</v>
      </c>
      <c r="K19" s="1073" t="s">
        <v>1246</v>
      </c>
      <c r="L19" s="1073" t="s">
        <v>1247</v>
      </c>
      <c r="M19" s="1073" t="s">
        <v>1248</v>
      </c>
      <c r="N19" s="1073" t="s">
        <v>1249</v>
      </c>
      <c r="O19" s="1073" t="s">
        <v>1250</v>
      </c>
      <c r="P19" s="1073" t="s">
        <v>1251</v>
      </c>
      <c r="Q19" s="1073" t="s">
        <v>1252</v>
      </c>
      <c r="R19" s="1073" t="s">
        <v>1253</v>
      </c>
      <c r="S19" s="1073" t="s">
        <v>1254</v>
      </c>
    </row>
    <row r="20" spans="1:19" ht="14.25" customHeight="1" thickBot="1">
      <c r="A20" s="1079" t="s">
        <v>1153</v>
      </c>
      <c r="B20" s="1087" t="s">
        <v>1175</v>
      </c>
      <c r="C20" s="1073">
        <v>27660</v>
      </c>
      <c r="D20" s="1073">
        <v>24240</v>
      </c>
      <c r="E20" s="1073">
        <v>24020</v>
      </c>
      <c r="F20" s="1094"/>
      <c r="J20" s="1073" t="s">
        <v>1255</v>
      </c>
      <c r="K20" s="1073" t="s">
        <v>1256</v>
      </c>
      <c r="L20" s="1073" t="s">
        <v>1257</v>
      </c>
      <c r="M20" s="1073" t="s">
        <v>1258</v>
      </c>
      <c r="N20" s="1073" t="s">
        <v>1259</v>
      </c>
      <c r="O20" s="1073" t="s">
        <v>1260</v>
      </c>
      <c r="P20" s="1073" t="s">
        <v>1261</v>
      </c>
      <c r="Q20" s="1073" t="s">
        <v>1262</v>
      </c>
      <c r="R20" s="1073" t="s">
        <v>1263</v>
      </c>
      <c r="S20" s="1073" t="s">
        <v>1264</v>
      </c>
    </row>
    <row r="21" spans="1:19" ht="14.25" customHeight="1" thickBot="1">
      <c r="A21" s="1079" t="s">
        <v>1153</v>
      </c>
      <c r="B21" s="1087" t="s">
        <v>1185</v>
      </c>
      <c r="C21" s="1073">
        <v>24720</v>
      </c>
      <c r="D21" s="1073">
        <v>21670</v>
      </c>
      <c r="E21" s="1073">
        <v>21510</v>
      </c>
      <c r="F21" s="1094"/>
      <c r="K21" s="1073" t="s">
        <v>1265</v>
      </c>
      <c r="L21" s="1073" t="s">
        <v>1266</v>
      </c>
      <c r="M21" s="1073" t="s">
        <v>1267</v>
      </c>
      <c r="N21" s="1073" t="s">
        <v>1268</v>
      </c>
      <c r="O21" s="1073" t="s">
        <v>1269</v>
      </c>
      <c r="P21" s="1073" t="s">
        <v>1270</v>
      </c>
      <c r="Q21" s="1073" t="s">
        <v>1271</v>
      </c>
      <c r="R21" s="1073" t="s">
        <v>1272</v>
      </c>
      <c r="S21" s="1073" t="s">
        <v>1273</v>
      </c>
    </row>
    <row r="22" spans="1:19" ht="14.25" customHeight="1" thickBot="1">
      <c r="A22" s="1079" t="s">
        <v>1153</v>
      </c>
      <c r="B22" s="1087" t="s">
        <v>1274</v>
      </c>
      <c r="C22" s="1073">
        <v>26530</v>
      </c>
      <c r="D22" s="1073">
        <v>22980</v>
      </c>
      <c r="E22" s="1073">
        <v>22650</v>
      </c>
      <c r="F22" s="1094"/>
      <c r="L22" s="1073" t="s">
        <v>1275</v>
      </c>
      <c r="M22" s="1073" t="s">
        <v>1276</v>
      </c>
      <c r="N22" s="1073" t="s">
        <v>1277</v>
      </c>
      <c r="O22" s="1073" t="s">
        <v>1278</v>
      </c>
      <c r="P22" s="1073" t="s">
        <v>1279</v>
      </c>
      <c r="Q22" s="1073" t="s">
        <v>1280</v>
      </c>
      <c r="R22" s="1073" t="s">
        <v>1281</v>
      </c>
      <c r="S22" s="1087" t="s">
        <v>1282</v>
      </c>
    </row>
    <row r="23" spans="1:19" ht="14.25" customHeight="1" thickBot="1">
      <c r="A23" s="1079" t="s">
        <v>1153</v>
      </c>
      <c r="B23" s="1087" t="s">
        <v>1205</v>
      </c>
      <c r="C23" s="1073">
        <v>24700</v>
      </c>
      <c r="D23" s="1073">
        <v>27290</v>
      </c>
      <c r="E23" s="1073">
        <v>26710</v>
      </c>
      <c r="F23" s="1094"/>
      <c r="L23" s="1073" t="s">
        <v>1283</v>
      </c>
      <c r="M23" s="1073" t="s">
        <v>1284</v>
      </c>
      <c r="N23" s="1073" t="s">
        <v>1285</v>
      </c>
      <c r="O23" s="1073" t="s">
        <v>1286</v>
      </c>
      <c r="P23" s="1073" t="s">
        <v>1287</v>
      </c>
      <c r="Q23" s="1073" t="s">
        <v>1288</v>
      </c>
      <c r="R23" s="1073" t="s">
        <v>1289</v>
      </c>
    </row>
    <row r="24" spans="1:19" ht="14.25" customHeight="1" thickBot="1">
      <c r="A24" s="1079" t="s">
        <v>1153</v>
      </c>
      <c r="B24" s="1087" t="s">
        <v>1215</v>
      </c>
      <c r="C24" s="1073">
        <v>23070</v>
      </c>
      <c r="D24" s="1073">
        <v>24130</v>
      </c>
      <c r="E24" s="1073">
        <v>23860</v>
      </c>
      <c r="F24" s="1094"/>
      <c r="L24" s="1073" t="s">
        <v>1290</v>
      </c>
      <c r="M24" s="1073" t="s">
        <v>1291</v>
      </c>
      <c r="N24" s="1073" t="s">
        <v>1292</v>
      </c>
      <c r="O24" s="1073" t="s">
        <v>1293</v>
      </c>
      <c r="P24" s="1073" t="s">
        <v>1294</v>
      </c>
      <c r="Q24" s="1073" t="s">
        <v>1295</v>
      </c>
      <c r="R24" s="1073" t="s">
        <v>1296</v>
      </c>
    </row>
    <row r="25" spans="1:19" ht="14.25" customHeight="1" thickBot="1">
      <c r="A25" s="1079" t="s">
        <v>1153</v>
      </c>
      <c r="B25" s="1087" t="s">
        <v>1225</v>
      </c>
      <c r="C25" s="1073">
        <v>27550</v>
      </c>
      <c r="D25" s="1073">
        <v>25850</v>
      </c>
      <c r="E25" s="1073">
        <v>25340</v>
      </c>
      <c r="F25" s="1094"/>
      <c r="L25" s="1073" t="s">
        <v>1297</v>
      </c>
      <c r="M25" s="1073" t="s">
        <v>1298</v>
      </c>
      <c r="N25" s="1073" t="s">
        <v>1299</v>
      </c>
      <c r="O25" s="1073" t="s">
        <v>1300</v>
      </c>
      <c r="P25" s="1073" t="s">
        <v>1301</v>
      </c>
      <c r="Q25" s="1073" t="s">
        <v>1302</v>
      </c>
      <c r="R25" s="1073" t="s">
        <v>1303</v>
      </c>
    </row>
    <row r="26" spans="1:19" ht="14.25" customHeight="1" thickBot="1">
      <c r="A26" s="1079" t="s">
        <v>1153</v>
      </c>
      <c r="B26" s="1087" t="s">
        <v>1235</v>
      </c>
      <c r="C26" s="1073"/>
      <c r="D26" s="1073">
        <v>23900</v>
      </c>
      <c r="E26" s="1073">
        <v>23590</v>
      </c>
      <c r="F26" s="1094"/>
      <c r="L26" s="1073" t="s">
        <v>1304</v>
      </c>
      <c r="M26" s="1073" t="s">
        <v>1305</v>
      </c>
      <c r="N26" s="1073" t="s">
        <v>1306</v>
      </c>
      <c r="O26" s="1073" t="s">
        <v>1307</v>
      </c>
      <c r="P26" s="1073" t="s">
        <v>1308</v>
      </c>
      <c r="Q26" s="1073" t="s">
        <v>1309</v>
      </c>
      <c r="R26" s="1073" t="s">
        <v>1310</v>
      </c>
    </row>
    <row r="27" spans="1:19" ht="14.25" customHeight="1" thickBot="1">
      <c r="A27" s="1079" t="s">
        <v>1153</v>
      </c>
      <c r="B27" s="1087" t="s">
        <v>1245</v>
      </c>
      <c r="C27" s="1073"/>
      <c r="D27" s="1073">
        <v>22850</v>
      </c>
      <c r="E27" s="1073">
        <v>21920</v>
      </c>
      <c r="F27" s="1094"/>
      <c r="L27" s="1073" t="s">
        <v>1311</v>
      </c>
      <c r="M27" s="1073" t="s">
        <v>1312</v>
      </c>
      <c r="N27" s="1073" t="s">
        <v>1313</v>
      </c>
      <c r="O27" s="1073" t="s">
        <v>1314</v>
      </c>
      <c r="P27" s="1073" t="s">
        <v>1315</v>
      </c>
      <c r="Q27" s="1073" t="s">
        <v>1316</v>
      </c>
      <c r="R27" s="1073" t="s">
        <v>1317</v>
      </c>
    </row>
    <row r="28" spans="1:19" ht="14.25" customHeight="1" thickBot="1">
      <c r="A28" s="1096" t="s">
        <v>1153</v>
      </c>
      <c r="B28" s="1088" t="s">
        <v>1255</v>
      </c>
      <c r="C28" s="1089"/>
      <c r="D28" s="1089">
        <v>26610</v>
      </c>
      <c r="E28" s="1089">
        <v>26370</v>
      </c>
      <c r="F28" s="1090"/>
      <c r="L28" s="1073" t="s">
        <v>1318</v>
      </c>
      <c r="M28" s="1073" t="s">
        <v>1319</v>
      </c>
      <c r="N28" s="1073" t="s">
        <v>1320</v>
      </c>
      <c r="O28" s="1073" t="s">
        <v>1321</v>
      </c>
      <c r="P28" s="1073" t="s">
        <v>1322</v>
      </c>
      <c r="Q28" s="1073" t="s">
        <v>1323</v>
      </c>
    </row>
    <row r="29" spans="1:19" ht="14.25" customHeight="1" thickBot="1">
      <c r="A29" s="1079" t="s">
        <v>1324</v>
      </c>
      <c r="B29" s="1080" t="s">
        <v>1325</v>
      </c>
      <c r="C29" s="1080">
        <v>22090</v>
      </c>
      <c r="D29" s="1080">
        <v>21860</v>
      </c>
      <c r="E29" s="1080">
        <v>19380</v>
      </c>
      <c r="F29" s="1081">
        <v>6610</v>
      </c>
      <c r="M29" s="1073" t="s">
        <v>1326</v>
      </c>
      <c r="N29" s="1073" t="s">
        <v>1327</v>
      </c>
      <c r="O29" s="1073" t="s">
        <v>1328</v>
      </c>
      <c r="P29" s="1073" t="s">
        <v>1329</v>
      </c>
      <c r="Q29" s="1073" t="s">
        <v>1330</v>
      </c>
    </row>
    <row r="30" spans="1:19" ht="14.25" customHeight="1" thickBot="1">
      <c r="A30" s="1079" t="s">
        <v>1324</v>
      </c>
      <c r="B30" s="1087" t="s">
        <v>1070</v>
      </c>
      <c r="C30" s="1073">
        <v>21380</v>
      </c>
      <c r="D30" s="1073">
        <v>19930</v>
      </c>
      <c r="E30" s="1073">
        <v>19860</v>
      </c>
      <c r="F30" s="1091">
        <v>6010</v>
      </c>
      <c r="H30" s="1095"/>
      <c r="M30" s="1073" t="s">
        <v>1331</v>
      </c>
      <c r="N30" s="1073" t="s">
        <v>1332</v>
      </c>
      <c r="O30" s="1073" t="s">
        <v>1333</v>
      </c>
      <c r="P30" s="1073" t="s">
        <v>2416</v>
      </c>
      <c r="Q30" s="1073" t="s">
        <v>1334</v>
      </c>
    </row>
    <row r="31" spans="1:19" ht="14.25" customHeight="1" thickBot="1">
      <c r="A31" s="1079" t="s">
        <v>1324</v>
      </c>
      <c r="B31" s="1087" t="s">
        <v>1084</v>
      </c>
      <c r="C31" s="1073">
        <v>21670</v>
      </c>
      <c r="D31" s="1073">
        <v>20660</v>
      </c>
      <c r="E31" s="1073">
        <v>20290</v>
      </c>
      <c r="F31" s="1091">
        <v>5840</v>
      </c>
      <c r="H31" s="1095"/>
      <c r="M31" s="1073" t="s">
        <v>1335</v>
      </c>
      <c r="N31" s="1073" t="s">
        <v>1336</v>
      </c>
      <c r="O31" s="1073" t="s">
        <v>1337</v>
      </c>
      <c r="P31" s="1073" t="s">
        <v>1338</v>
      </c>
      <c r="Q31" s="1073" t="s">
        <v>1339</v>
      </c>
    </row>
    <row r="32" spans="1:19" ht="14.25" customHeight="1" thickBot="1">
      <c r="A32" s="1079" t="s">
        <v>1324</v>
      </c>
      <c r="B32" s="1087" t="s">
        <v>1097</v>
      </c>
      <c r="C32" s="1073">
        <v>22280</v>
      </c>
      <c r="D32" s="1073">
        <v>21800</v>
      </c>
      <c r="E32" s="1073">
        <v>17650</v>
      </c>
      <c r="F32" s="1091">
        <v>4690</v>
      </c>
      <c r="H32" s="1095"/>
      <c r="M32" s="1073" t="s">
        <v>1340</v>
      </c>
      <c r="N32" s="1073" t="s">
        <v>1341</v>
      </c>
      <c r="O32" s="1073" t="s">
        <v>1342</v>
      </c>
      <c r="P32" s="1073" t="s">
        <v>1343</v>
      </c>
      <c r="Q32" s="1073" t="s">
        <v>1344</v>
      </c>
    </row>
    <row r="33" spans="1:17" ht="14.25" customHeight="1" thickBot="1">
      <c r="A33" s="1079" t="s">
        <v>1324</v>
      </c>
      <c r="B33" s="1087" t="s">
        <v>1111</v>
      </c>
      <c r="C33" s="1073">
        <v>22130</v>
      </c>
      <c r="D33" s="1073">
        <v>20460</v>
      </c>
      <c r="E33" s="1073">
        <v>18500</v>
      </c>
      <c r="F33" s="1091">
        <v>5340</v>
      </c>
      <c r="H33" s="1095"/>
      <c r="M33" s="1073" t="s">
        <v>1345</v>
      </c>
      <c r="N33" s="1073" t="s">
        <v>1346</v>
      </c>
      <c r="O33" s="1073" t="s">
        <v>1347</v>
      </c>
      <c r="P33" s="1073" t="s">
        <v>1348</v>
      </c>
      <c r="Q33" s="1073" t="s">
        <v>1349</v>
      </c>
    </row>
    <row r="34" spans="1:17" ht="14.25" customHeight="1" thickBot="1">
      <c r="A34" s="1079" t="s">
        <v>1324</v>
      </c>
      <c r="B34" s="1087" t="s">
        <v>1122</v>
      </c>
      <c r="C34" s="1073">
        <v>22070</v>
      </c>
      <c r="D34" s="1073">
        <v>20110</v>
      </c>
      <c r="E34" s="1073">
        <v>18830</v>
      </c>
      <c r="F34" s="1091">
        <v>5190</v>
      </c>
      <c r="H34" s="1095"/>
      <c r="M34" s="1073" t="s">
        <v>1350</v>
      </c>
      <c r="N34" s="1073" t="s">
        <v>1351</v>
      </c>
      <c r="O34" s="1073" t="s">
        <v>1352</v>
      </c>
      <c r="P34" s="1073" t="s">
        <v>1353</v>
      </c>
      <c r="Q34" s="1073" t="s">
        <v>1354</v>
      </c>
    </row>
    <row r="35" spans="1:17" ht="14.25" customHeight="1" thickBot="1">
      <c r="A35" s="1079" t="s">
        <v>1324</v>
      </c>
      <c r="B35" s="1087" t="s">
        <v>1133</v>
      </c>
      <c r="C35" s="1073">
        <v>22240</v>
      </c>
      <c r="D35" s="1073">
        <v>19550</v>
      </c>
      <c r="E35" s="1073">
        <v>19220</v>
      </c>
      <c r="F35" s="1091">
        <v>5800</v>
      </c>
      <c r="H35" s="1095"/>
      <c r="M35" s="1073" t="s">
        <v>1355</v>
      </c>
      <c r="N35" s="1073" t="s">
        <v>1356</v>
      </c>
      <c r="O35" s="1073" t="s">
        <v>1357</v>
      </c>
      <c r="P35" s="1073" t="s">
        <v>1358</v>
      </c>
      <c r="Q35" s="1073" t="s">
        <v>1359</v>
      </c>
    </row>
    <row r="36" spans="1:17" ht="14.25" customHeight="1" thickBot="1">
      <c r="A36" s="1079" t="s">
        <v>1324</v>
      </c>
      <c r="B36" s="1087" t="s">
        <v>1144</v>
      </c>
      <c r="C36" s="1073">
        <v>19750</v>
      </c>
      <c r="D36" s="1073">
        <v>19790</v>
      </c>
      <c r="E36" s="1073">
        <v>18510</v>
      </c>
      <c r="F36" s="1091">
        <v>6520</v>
      </c>
      <c r="H36" s="1095"/>
      <c r="N36" s="1073" t="s">
        <v>1360</v>
      </c>
      <c r="O36" s="1073" t="s">
        <v>1361</v>
      </c>
      <c r="P36" s="1073" t="s">
        <v>1362</v>
      </c>
      <c r="Q36" s="1073" t="s">
        <v>1363</v>
      </c>
    </row>
    <row r="37" spans="1:17" ht="14.25" customHeight="1" thickBot="1">
      <c r="A37" s="1079" t="s">
        <v>1324</v>
      </c>
      <c r="B37" s="1087" t="s">
        <v>1156</v>
      </c>
      <c r="C37" s="1073">
        <v>22380</v>
      </c>
      <c r="D37" s="1073">
        <v>18530</v>
      </c>
      <c r="E37" s="1073">
        <v>17930</v>
      </c>
      <c r="F37" s="1091">
        <v>6270</v>
      </c>
      <c r="H37" s="1097"/>
      <c r="N37" s="1073" t="s">
        <v>1364</v>
      </c>
      <c r="O37" s="1073" t="s">
        <v>1365</v>
      </c>
      <c r="P37" s="1073" t="s">
        <v>1366</v>
      </c>
      <c r="Q37" s="1073" t="s">
        <v>1367</v>
      </c>
    </row>
    <row r="38" spans="1:17" ht="14.25" customHeight="1" thickBot="1">
      <c r="A38" s="1079" t="s">
        <v>1324</v>
      </c>
      <c r="B38" s="1087" t="s">
        <v>1166</v>
      </c>
      <c r="C38" s="1073">
        <v>20200</v>
      </c>
      <c r="D38" s="1073">
        <v>20070</v>
      </c>
      <c r="E38" s="1073">
        <v>19950</v>
      </c>
      <c r="F38" s="1091"/>
      <c r="H38" s="1098"/>
      <c r="N38" s="1073" t="s">
        <v>1368</v>
      </c>
      <c r="O38" s="1073" t="s">
        <v>1369</v>
      </c>
      <c r="P38" s="1073" t="s">
        <v>1370</v>
      </c>
      <c r="Q38" s="1073" t="s">
        <v>1371</v>
      </c>
    </row>
    <row r="39" spans="1:17" ht="14.25" customHeight="1" thickBot="1">
      <c r="A39" s="1079" t="s">
        <v>1324</v>
      </c>
      <c r="B39" s="1087" t="s">
        <v>1176</v>
      </c>
      <c r="C39" s="1073">
        <v>19300</v>
      </c>
      <c r="D39" s="1073">
        <v>20360</v>
      </c>
      <c r="E39" s="1073">
        <v>20230</v>
      </c>
      <c r="F39" s="1091"/>
      <c r="H39" s="1098"/>
      <c r="N39" s="1073" t="s">
        <v>1372</v>
      </c>
      <c r="O39" s="1073" t="s">
        <v>1373</v>
      </c>
      <c r="P39" s="1073" t="s">
        <v>1374</v>
      </c>
      <c r="Q39" s="1073" t="s">
        <v>1375</v>
      </c>
    </row>
    <row r="40" spans="1:17" ht="14.25" customHeight="1" thickBot="1">
      <c r="A40" s="1079" t="s">
        <v>1324</v>
      </c>
      <c r="B40" s="1087" t="s">
        <v>1186</v>
      </c>
      <c r="C40" s="1073">
        <v>20210</v>
      </c>
      <c r="D40" s="1073">
        <v>19060</v>
      </c>
      <c r="E40" s="1073">
        <v>18890</v>
      </c>
      <c r="F40" s="1091"/>
      <c r="H40" s="1098"/>
      <c r="N40" s="1073" t="s">
        <v>1376</v>
      </c>
      <c r="O40" s="1073" t="s">
        <v>1377</v>
      </c>
      <c r="P40" s="1073" t="s">
        <v>1378</v>
      </c>
      <c r="Q40" s="1073" t="s">
        <v>1379</v>
      </c>
    </row>
    <row r="41" spans="1:17" ht="14.25" customHeight="1" thickBot="1">
      <c r="A41" s="1079" t="s">
        <v>1324</v>
      </c>
      <c r="B41" s="1087" t="s">
        <v>1196</v>
      </c>
      <c r="C41" s="1073">
        <v>20560</v>
      </c>
      <c r="D41" s="1073">
        <v>21040</v>
      </c>
      <c r="E41" s="1073">
        <v>20740</v>
      </c>
      <c r="F41" s="1091"/>
      <c r="H41" s="1098"/>
      <c r="N41" s="1087" t="s">
        <v>1380</v>
      </c>
      <c r="O41" s="1087" t="s">
        <v>1381</v>
      </c>
      <c r="Q41" s="1087" t="s">
        <v>1382</v>
      </c>
    </row>
    <row r="42" spans="1:17" ht="14.25" customHeight="1" thickBot="1">
      <c r="A42" s="1079" t="s">
        <v>1324</v>
      </c>
      <c r="B42" s="1087" t="s">
        <v>1206</v>
      </c>
      <c r="C42" s="1073">
        <v>19280</v>
      </c>
      <c r="D42" s="1073">
        <v>22940</v>
      </c>
      <c r="E42" s="1073">
        <v>22500</v>
      </c>
      <c r="F42" s="1091"/>
      <c r="H42" s="1098"/>
      <c r="N42" s="1073" t="s">
        <v>1383</v>
      </c>
      <c r="O42" s="1073" t="s">
        <v>1384</v>
      </c>
      <c r="Q42" s="1073" t="s">
        <v>1385</v>
      </c>
    </row>
    <row r="43" spans="1:17" ht="14.25" customHeight="1" thickBot="1">
      <c r="A43" s="1079" t="s">
        <v>1324</v>
      </c>
      <c r="B43" s="1087" t="s">
        <v>1216</v>
      </c>
      <c r="C43" s="1073">
        <v>21520</v>
      </c>
      <c r="D43" s="1073">
        <v>19230</v>
      </c>
      <c r="E43" s="1073">
        <v>18540</v>
      </c>
      <c r="F43" s="1091"/>
      <c r="H43" s="1098"/>
      <c r="N43" s="1073" t="s">
        <v>1386</v>
      </c>
      <c r="O43" s="1073" t="s">
        <v>1387</v>
      </c>
      <c r="Q43" s="1073" t="s">
        <v>1388</v>
      </c>
    </row>
    <row r="44" spans="1:17" ht="14.25" customHeight="1" thickBot="1">
      <c r="A44" s="1079" t="s">
        <v>1324</v>
      </c>
      <c r="B44" s="1087" t="s">
        <v>1226</v>
      </c>
      <c r="C44" s="1073">
        <v>23260</v>
      </c>
      <c r="D44" s="1073">
        <v>21180</v>
      </c>
      <c r="E44" s="1073">
        <v>20730</v>
      </c>
      <c r="F44" s="1091"/>
      <c r="H44" s="1098"/>
      <c r="N44" s="1073" t="s">
        <v>1389</v>
      </c>
      <c r="O44" s="1073" t="s">
        <v>1390</v>
      </c>
      <c r="Q44" s="1073" t="s">
        <v>1391</v>
      </c>
    </row>
    <row r="45" spans="1:17" ht="14.25" customHeight="1" thickBot="1">
      <c r="A45" s="1079" t="s">
        <v>1324</v>
      </c>
      <c r="B45" s="1087" t="s">
        <v>1236</v>
      </c>
      <c r="C45" s="1073">
        <v>19610</v>
      </c>
      <c r="D45" s="1073">
        <v>18090</v>
      </c>
      <c r="E45" s="1073">
        <v>17970</v>
      </c>
      <c r="F45" s="1091"/>
      <c r="H45" s="1095"/>
      <c r="N45" s="1073" t="s">
        <v>1392</v>
      </c>
      <c r="O45" s="1073" t="s">
        <v>1393</v>
      </c>
      <c r="Q45" s="1073" t="s">
        <v>1394</v>
      </c>
    </row>
    <row r="46" spans="1:17" ht="14.25" customHeight="1" thickBot="1">
      <c r="A46" s="1079" t="s">
        <v>1324</v>
      </c>
      <c r="B46" s="1087" t="s">
        <v>1246</v>
      </c>
      <c r="C46" s="1073">
        <v>21660</v>
      </c>
      <c r="D46" s="1073">
        <v>19190</v>
      </c>
      <c r="E46" s="1073">
        <v>19790</v>
      </c>
      <c r="F46" s="1091"/>
      <c r="H46" s="1098"/>
      <c r="N46" s="1073" t="s">
        <v>1395</v>
      </c>
      <c r="O46" s="1073" t="s">
        <v>1396</v>
      </c>
      <c r="Q46" s="1073" t="s">
        <v>1397</v>
      </c>
    </row>
    <row r="47" spans="1:17" ht="14.25" customHeight="1" thickBot="1">
      <c r="A47" s="1079" t="s">
        <v>1324</v>
      </c>
      <c r="B47" s="1087" t="s">
        <v>1256</v>
      </c>
      <c r="C47" s="1073">
        <v>18220</v>
      </c>
      <c r="D47" s="1073"/>
      <c r="E47" s="1073">
        <v>17220</v>
      </c>
      <c r="F47" s="1091"/>
      <c r="H47" s="1098"/>
      <c r="N47" s="1073" t="s">
        <v>1398</v>
      </c>
      <c r="O47" s="1073" t="s">
        <v>1399</v>
      </c>
    </row>
    <row r="48" spans="1:17" ht="14.25" customHeight="1" thickBot="1">
      <c r="A48" s="1079" t="s">
        <v>1324</v>
      </c>
      <c r="B48" s="1088" t="s">
        <v>1265</v>
      </c>
      <c r="C48" s="1089">
        <v>19430</v>
      </c>
      <c r="D48" s="1089"/>
      <c r="E48" s="1089">
        <v>17830</v>
      </c>
      <c r="F48" s="1099"/>
      <c r="H48" s="1095"/>
      <c r="N48" s="1073" t="s">
        <v>1400</v>
      </c>
      <c r="O48" s="1073" t="s">
        <v>1401</v>
      </c>
    </row>
    <row r="49" spans="1:15" ht="14.25" customHeight="1" thickBot="1">
      <c r="A49" s="1079" t="s">
        <v>922</v>
      </c>
      <c r="B49" s="1080" t="s">
        <v>1402</v>
      </c>
      <c r="C49" s="1080">
        <v>17090</v>
      </c>
      <c r="D49" s="1080">
        <v>16950</v>
      </c>
      <c r="E49" s="1080">
        <v>16310</v>
      </c>
      <c r="F49" s="1081">
        <v>4540</v>
      </c>
      <c r="H49" s="1098"/>
      <c r="N49" s="1073" t="s">
        <v>1403</v>
      </c>
      <c r="O49" s="1073" t="s">
        <v>1404</v>
      </c>
    </row>
    <row r="50" spans="1:15" ht="14.25" customHeight="1" thickBot="1">
      <c r="A50" s="1079" t="s">
        <v>922</v>
      </c>
      <c r="B50" s="1073" t="s">
        <v>1071</v>
      </c>
      <c r="C50" s="1073">
        <v>19040</v>
      </c>
      <c r="D50" s="1073">
        <v>16960</v>
      </c>
      <c r="E50" s="1073">
        <v>14800</v>
      </c>
      <c r="F50" s="1091">
        <v>3940</v>
      </c>
      <c r="H50" s="1098"/>
    </row>
    <row r="51" spans="1:15" ht="14.25" customHeight="1" thickBot="1">
      <c r="A51" s="1079" t="s">
        <v>922</v>
      </c>
      <c r="B51" s="1073" t="s">
        <v>1085</v>
      </c>
      <c r="C51" s="1073">
        <v>17040</v>
      </c>
      <c r="D51" s="1073">
        <v>16930</v>
      </c>
      <c r="E51" s="1073">
        <v>15030</v>
      </c>
      <c r="F51" s="1091">
        <v>4120</v>
      </c>
      <c r="H51" s="1098"/>
    </row>
    <row r="52" spans="1:15" ht="14.25" customHeight="1" thickBot="1">
      <c r="A52" s="1079" t="s">
        <v>922</v>
      </c>
      <c r="B52" s="1073" t="s">
        <v>1098</v>
      </c>
      <c r="C52" s="1073">
        <v>17110</v>
      </c>
      <c r="D52" s="1073">
        <v>17750</v>
      </c>
      <c r="E52" s="1073">
        <v>17310</v>
      </c>
      <c r="F52" s="1091">
        <v>3220</v>
      </c>
      <c r="H52" s="1098"/>
    </row>
    <row r="53" spans="1:15" ht="14.25" customHeight="1" thickBot="1">
      <c r="A53" s="1079" t="s">
        <v>922</v>
      </c>
      <c r="B53" s="1073" t="s">
        <v>1112</v>
      </c>
      <c r="C53" s="1073">
        <v>17810</v>
      </c>
      <c r="D53" s="1073">
        <v>17260</v>
      </c>
      <c r="E53" s="1073">
        <v>17090</v>
      </c>
      <c r="F53" s="1091">
        <v>3520</v>
      </c>
      <c r="H53" s="1098"/>
    </row>
    <row r="54" spans="1:15" ht="14.25" customHeight="1" thickBot="1">
      <c r="A54" s="1079" t="s">
        <v>922</v>
      </c>
      <c r="B54" s="1073" t="s">
        <v>1123</v>
      </c>
      <c r="C54" s="1073">
        <v>17410</v>
      </c>
      <c r="D54" s="1073">
        <v>16780</v>
      </c>
      <c r="E54" s="1073">
        <v>16370</v>
      </c>
      <c r="F54" s="1091">
        <v>3410</v>
      </c>
      <c r="H54" s="1098"/>
    </row>
    <row r="55" spans="1:15" ht="14.25" customHeight="1" thickBot="1">
      <c r="A55" s="1079" t="s">
        <v>922</v>
      </c>
      <c r="B55" s="1073" t="s">
        <v>1134</v>
      </c>
      <c r="C55" s="1073">
        <v>16930</v>
      </c>
      <c r="D55" s="1073">
        <v>14720</v>
      </c>
      <c r="E55" s="1073">
        <v>15000</v>
      </c>
      <c r="F55" s="1091">
        <v>3710</v>
      </c>
      <c r="H55" s="1098"/>
    </row>
    <row r="56" spans="1:15" ht="14.25" customHeight="1" thickBot="1">
      <c r="A56" s="1079" t="s">
        <v>922</v>
      </c>
      <c r="B56" s="1073" t="s">
        <v>1145</v>
      </c>
      <c r="C56" s="1073">
        <v>14930</v>
      </c>
      <c r="D56" s="1073">
        <v>15850</v>
      </c>
      <c r="E56" s="1073">
        <v>14320</v>
      </c>
      <c r="F56" s="1091">
        <v>3960</v>
      </c>
      <c r="H56" s="1098"/>
    </row>
    <row r="57" spans="1:15" ht="14.25" customHeight="1" thickBot="1">
      <c r="A57" s="1079" t="s">
        <v>922</v>
      </c>
      <c r="B57" s="1073" t="s">
        <v>1157</v>
      </c>
      <c r="C57" s="1073">
        <v>16160</v>
      </c>
      <c r="D57" s="1073">
        <v>16190</v>
      </c>
      <c r="E57" s="1073">
        <v>15650</v>
      </c>
      <c r="F57" s="1091">
        <v>4200</v>
      </c>
      <c r="H57" s="1098"/>
    </row>
    <row r="58" spans="1:15" ht="14.25" customHeight="1" thickBot="1">
      <c r="A58" s="1079" t="s">
        <v>922</v>
      </c>
      <c r="B58" s="1073" t="s">
        <v>1167</v>
      </c>
      <c r="C58" s="1073">
        <v>16360</v>
      </c>
      <c r="D58" s="1073">
        <v>14050</v>
      </c>
      <c r="E58" s="1073">
        <v>16070</v>
      </c>
      <c r="F58" s="1091">
        <v>3990</v>
      </c>
      <c r="H58" s="1098"/>
    </row>
    <row r="59" spans="1:15" ht="14.25" customHeight="1" thickBot="1">
      <c r="A59" s="1079" t="s">
        <v>922</v>
      </c>
      <c r="B59" s="1073" t="s">
        <v>1177</v>
      </c>
      <c r="C59" s="1073">
        <v>14160</v>
      </c>
      <c r="D59" s="1073">
        <v>16620</v>
      </c>
      <c r="E59" s="1073">
        <v>13940</v>
      </c>
      <c r="F59" s="1091">
        <v>4260</v>
      </c>
      <c r="H59" s="1098"/>
    </row>
    <row r="60" spans="1:15" ht="14.25" customHeight="1" thickBot="1">
      <c r="A60" s="1079" t="s">
        <v>922</v>
      </c>
      <c r="B60" s="1073" t="s">
        <v>1187</v>
      </c>
      <c r="C60" s="1073">
        <v>16750</v>
      </c>
      <c r="D60" s="1073">
        <v>13910</v>
      </c>
      <c r="E60" s="1073">
        <v>16550</v>
      </c>
      <c r="F60" s="1091">
        <v>4550</v>
      </c>
      <c r="H60" s="1098"/>
    </row>
    <row r="61" spans="1:15" ht="14.25" customHeight="1" thickBot="1">
      <c r="A61" s="1079" t="s">
        <v>922</v>
      </c>
      <c r="B61" s="1073" t="s">
        <v>1197</v>
      </c>
      <c r="C61" s="1073">
        <v>14000</v>
      </c>
      <c r="D61" s="1073">
        <v>14550</v>
      </c>
      <c r="E61" s="1073">
        <v>13860</v>
      </c>
      <c r="F61" s="1100"/>
      <c r="H61" s="1098"/>
    </row>
    <row r="62" spans="1:15" ht="14.25" customHeight="1" thickBot="1">
      <c r="A62" s="1079" t="s">
        <v>922</v>
      </c>
      <c r="B62" s="1073" t="s">
        <v>1207</v>
      </c>
      <c r="C62" s="1073">
        <v>14660</v>
      </c>
      <c r="D62" s="1073">
        <v>17450</v>
      </c>
      <c r="E62" s="1073">
        <v>14470</v>
      </c>
      <c r="F62" s="1100"/>
      <c r="H62" s="1098"/>
    </row>
    <row r="63" spans="1:15" ht="14.25" customHeight="1" thickBot="1">
      <c r="A63" s="1079" t="s">
        <v>922</v>
      </c>
      <c r="B63" s="1073" t="s">
        <v>1217</v>
      </c>
      <c r="C63" s="1073">
        <v>17610</v>
      </c>
      <c r="D63" s="1073">
        <v>16500</v>
      </c>
      <c r="E63" s="1073">
        <v>17330</v>
      </c>
      <c r="F63" s="1100"/>
      <c r="H63" s="1098"/>
    </row>
    <row r="64" spans="1:15" ht="14.25" customHeight="1" thickBot="1">
      <c r="A64" s="1079" t="s">
        <v>922</v>
      </c>
      <c r="B64" s="1073" t="s">
        <v>1227</v>
      </c>
      <c r="C64" s="1073">
        <v>16590</v>
      </c>
      <c r="D64" s="1073">
        <v>15130</v>
      </c>
      <c r="E64" s="1073">
        <v>16420</v>
      </c>
      <c r="F64" s="1100"/>
      <c r="H64" s="1098"/>
    </row>
    <row r="65" spans="1:8" s="1067" customFormat="1" ht="14.25" customHeight="1" thickBot="1">
      <c r="A65" s="1079" t="s">
        <v>922</v>
      </c>
      <c r="B65" s="1073" t="s">
        <v>1237</v>
      </c>
      <c r="C65" s="1073">
        <v>15220</v>
      </c>
      <c r="D65" s="1073">
        <v>14660</v>
      </c>
      <c r="E65" s="1073">
        <v>15060</v>
      </c>
      <c r="F65" s="1091"/>
      <c r="H65" s="1098"/>
    </row>
    <row r="66" spans="1:8" s="1067" customFormat="1" ht="14.25" customHeight="1" thickBot="1">
      <c r="A66" s="1079" t="s">
        <v>922</v>
      </c>
      <c r="B66" s="1073" t="s">
        <v>1247</v>
      </c>
      <c r="C66" s="1073">
        <v>14720</v>
      </c>
      <c r="D66" s="1073">
        <v>15970</v>
      </c>
      <c r="E66" s="1073">
        <v>14610</v>
      </c>
      <c r="F66" s="1091"/>
      <c r="H66" s="1098"/>
    </row>
    <row r="67" spans="1:8" s="1067" customFormat="1" ht="14.25" customHeight="1" thickBot="1">
      <c r="A67" s="1079" t="s">
        <v>922</v>
      </c>
      <c r="B67" s="1073" t="s">
        <v>1257</v>
      </c>
      <c r="C67" s="1073">
        <v>16080</v>
      </c>
      <c r="D67" s="1073">
        <v>14840</v>
      </c>
      <c r="E67" s="1073">
        <v>15630</v>
      </c>
      <c r="F67" s="1091"/>
      <c r="H67" s="1098"/>
    </row>
    <row r="68" spans="1:8" s="1067" customFormat="1" ht="14.25" customHeight="1" thickBot="1">
      <c r="A68" s="1079" t="s">
        <v>922</v>
      </c>
      <c r="B68" s="1073" t="s">
        <v>1266</v>
      </c>
      <c r="C68" s="1073">
        <v>14940</v>
      </c>
      <c r="D68" s="1073">
        <v>18000</v>
      </c>
      <c r="E68" s="1073">
        <v>14040</v>
      </c>
      <c r="F68" s="1091"/>
      <c r="H68" s="1098"/>
    </row>
    <row r="69" spans="1:8" s="1067" customFormat="1" ht="14.25" customHeight="1" thickBot="1">
      <c r="A69" s="1079" t="s">
        <v>922</v>
      </c>
      <c r="B69" s="1073" t="s">
        <v>1275</v>
      </c>
      <c r="C69" s="1073">
        <v>18810</v>
      </c>
      <c r="D69" s="1073">
        <v>15100</v>
      </c>
      <c r="E69" s="1073">
        <v>14710</v>
      </c>
      <c r="F69" s="1091"/>
      <c r="H69" s="1098"/>
    </row>
    <row r="70" spans="1:8" s="1067" customFormat="1" ht="14.25" customHeight="1" thickBot="1">
      <c r="A70" s="1079" t="s">
        <v>922</v>
      </c>
      <c r="B70" s="1073" t="s">
        <v>1283</v>
      </c>
      <c r="C70" s="1073">
        <v>18270</v>
      </c>
      <c r="D70" s="1073"/>
      <c r="E70" s="1073"/>
      <c r="F70" s="1091"/>
      <c r="H70" s="1098"/>
    </row>
    <row r="71" spans="1:8" s="1067" customFormat="1" ht="14.25" customHeight="1" thickBot="1">
      <c r="A71" s="1079" t="s">
        <v>922</v>
      </c>
      <c r="B71" s="1073" t="s">
        <v>1290</v>
      </c>
      <c r="C71" s="1073">
        <v>15230</v>
      </c>
      <c r="D71" s="1073"/>
      <c r="E71" s="1073"/>
      <c r="F71" s="1091"/>
      <c r="H71" s="1098"/>
    </row>
    <row r="72" spans="1:8" s="1067" customFormat="1" ht="14.25" customHeight="1" thickBot="1">
      <c r="A72" s="1079" t="s">
        <v>922</v>
      </c>
      <c r="B72" s="1073" t="s">
        <v>1297</v>
      </c>
      <c r="C72" s="1073"/>
      <c r="D72" s="1073"/>
      <c r="E72" s="1073"/>
      <c r="F72" s="1091">
        <v>4120</v>
      </c>
      <c r="H72" s="1098"/>
    </row>
    <row r="73" spans="1:8" s="1067" customFormat="1" ht="14.25" customHeight="1" thickBot="1">
      <c r="A73" s="1079" t="s">
        <v>922</v>
      </c>
      <c r="B73" s="1073" t="s">
        <v>1304</v>
      </c>
      <c r="C73" s="1073"/>
      <c r="D73" s="1073"/>
      <c r="E73" s="1073"/>
      <c r="F73" s="1091">
        <v>3930</v>
      </c>
      <c r="H73" s="1098"/>
    </row>
    <row r="74" spans="1:8" s="1067" customFormat="1" ht="14.25" customHeight="1" thickBot="1">
      <c r="A74" s="1079" t="s">
        <v>922</v>
      </c>
      <c r="B74" s="1073" t="s">
        <v>1311</v>
      </c>
      <c r="C74" s="1073"/>
      <c r="D74" s="1073"/>
      <c r="E74" s="1073"/>
      <c r="F74" s="1091">
        <v>4060</v>
      </c>
      <c r="H74" s="1098"/>
    </row>
    <row r="75" spans="1:8" s="1067" customFormat="1" ht="14.25" customHeight="1" thickBot="1">
      <c r="A75" s="1079" t="s">
        <v>922</v>
      </c>
      <c r="B75" s="1089" t="s">
        <v>1318</v>
      </c>
      <c r="C75" s="1089"/>
      <c r="D75" s="1089"/>
      <c r="E75" s="1089"/>
      <c r="F75" s="1099">
        <v>3750</v>
      </c>
      <c r="H75" s="1098"/>
    </row>
    <row r="76" spans="1:8" s="1067" customFormat="1" ht="14.25" customHeight="1" thickBot="1">
      <c r="A76" s="1079" t="s">
        <v>1405</v>
      </c>
      <c r="B76" s="1080" t="s">
        <v>1406</v>
      </c>
      <c r="C76" s="1080">
        <v>14690</v>
      </c>
      <c r="D76" s="1080">
        <v>14640</v>
      </c>
      <c r="E76" s="1080">
        <v>14590</v>
      </c>
      <c r="F76" s="1081">
        <v>3060</v>
      </c>
      <c r="H76" s="1098"/>
    </row>
    <row r="77" spans="1:8" s="1067" customFormat="1" ht="14.25" customHeight="1" thickBot="1">
      <c r="A77" s="1079" t="s">
        <v>1405</v>
      </c>
      <c r="B77" s="1073" t="s">
        <v>1072</v>
      </c>
      <c r="C77" s="1073">
        <v>12550</v>
      </c>
      <c r="D77" s="1073">
        <v>12480</v>
      </c>
      <c r="E77" s="1073">
        <v>12450</v>
      </c>
      <c r="F77" s="1091">
        <v>2590</v>
      </c>
      <c r="H77" s="1098"/>
    </row>
    <row r="78" spans="1:8" s="1067" customFormat="1" ht="14.25" customHeight="1" thickBot="1">
      <c r="A78" s="1079" t="s">
        <v>1405</v>
      </c>
      <c r="B78" s="1073" t="s">
        <v>1086</v>
      </c>
      <c r="C78" s="1073">
        <v>14360</v>
      </c>
      <c r="D78" s="1073">
        <v>14320</v>
      </c>
      <c r="E78" s="1073">
        <v>12510</v>
      </c>
      <c r="F78" s="1091">
        <v>2700</v>
      </c>
      <c r="H78" s="1098"/>
    </row>
    <row r="79" spans="1:8" s="1067" customFormat="1" ht="14.25" customHeight="1" thickBot="1">
      <c r="A79" s="1079" t="s">
        <v>1405</v>
      </c>
      <c r="B79" s="1073" t="s">
        <v>1099</v>
      </c>
      <c r="C79" s="1073">
        <v>12590</v>
      </c>
      <c r="D79" s="1073">
        <v>12540</v>
      </c>
      <c r="E79" s="1073">
        <v>12350</v>
      </c>
      <c r="F79" s="1091">
        <v>2740</v>
      </c>
      <c r="H79" s="1098"/>
    </row>
    <row r="80" spans="1:8" s="1067" customFormat="1" ht="14.25" customHeight="1" thickBot="1">
      <c r="A80" s="1079" t="s">
        <v>1405</v>
      </c>
      <c r="B80" s="1073" t="s">
        <v>1113</v>
      </c>
      <c r="C80" s="1073">
        <v>12450</v>
      </c>
      <c r="D80" s="1073">
        <v>12370</v>
      </c>
      <c r="E80" s="1073">
        <v>10790</v>
      </c>
      <c r="F80" s="1091">
        <v>2290</v>
      </c>
      <c r="H80" s="1098"/>
    </row>
    <row r="81" spans="1:8" s="1067" customFormat="1" ht="14.25" customHeight="1" thickBot="1">
      <c r="A81" s="1079" t="s">
        <v>1405</v>
      </c>
      <c r="B81" s="1073" t="s">
        <v>1124</v>
      </c>
      <c r="C81" s="1073">
        <v>14210</v>
      </c>
      <c r="D81" s="1073">
        <v>14150</v>
      </c>
      <c r="E81" s="1073">
        <v>12730</v>
      </c>
      <c r="F81" s="1091">
        <v>2240</v>
      </c>
      <c r="H81" s="1098"/>
    </row>
    <row r="82" spans="1:8" s="1067" customFormat="1" ht="14.25" customHeight="1" thickBot="1">
      <c r="A82" s="1079" t="s">
        <v>1405</v>
      </c>
      <c r="B82" s="1073" t="s">
        <v>1135</v>
      </c>
      <c r="C82" s="1073">
        <v>10860</v>
      </c>
      <c r="D82" s="1073">
        <v>10820</v>
      </c>
      <c r="E82" s="1073">
        <v>14720</v>
      </c>
      <c r="F82" s="1091">
        <v>2490</v>
      </c>
      <c r="H82" s="1098"/>
    </row>
    <row r="83" spans="1:8" s="1067" customFormat="1" ht="14.25" customHeight="1" thickBot="1">
      <c r="A83" s="1079" t="s">
        <v>1405</v>
      </c>
      <c r="B83" s="1073" t="s">
        <v>1146</v>
      </c>
      <c r="C83" s="1073">
        <v>12810</v>
      </c>
      <c r="D83" s="1073">
        <v>12760</v>
      </c>
      <c r="E83" s="1073">
        <v>14830</v>
      </c>
      <c r="F83" s="1091">
        <v>2450</v>
      </c>
      <c r="H83" s="1098"/>
    </row>
    <row r="84" spans="1:8" s="1067" customFormat="1" ht="14.25" customHeight="1" thickBot="1">
      <c r="A84" s="1079" t="s">
        <v>1405</v>
      </c>
      <c r="B84" s="1073" t="s">
        <v>1158</v>
      </c>
      <c r="C84" s="1073">
        <v>14950</v>
      </c>
      <c r="D84" s="1073">
        <v>14810</v>
      </c>
      <c r="E84" s="1073">
        <v>12590</v>
      </c>
      <c r="F84" s="1091">
        <v>2540</v>
      </c>
      <c r="H84" s="1098"/>
    </row>
    <row r="85" spans="1:8" s="1067" customFormat="1" ht="14.25" customHeight="1" thickBot="1">
      <c r="A85" s="1079" t="s">
        <v>1405</v>
      </c>
      <c r="B85" s="1073" t="s">
        <v>1168</v>
      </c>
      <c r="C85" s="1073">
        <v>14960</v>
      </c>
      <c r="D85" s="1073">
        <v>14890</v>
      </c>
      <c r="E85" s="1073">
        <v>12840</v>
      </c>
      <c r="F85" s="1091">
        <v>2840</v>
      </c>
      <c r="H85" s="1098"/>
    </row>
    <row r="86" spans="1:8" s="1067" customFormat="1" ht="14.25" customHeight="1" thickBot="1">
      <c r="A86" s="1079" t="s">
        <v>1405</v>
      </c>
      <c r="B86" s="1073" t="s">
        <v>1178</v>
      </c>
      <c r="C86" s="1073">
        <v>12730</v>
      </c>
      <c r="D86" s="1073">
        <v>12660</v>
      </c>
      <c r="E86" s="1073">
        <v>13310</v>
      </c>
      <c r="F86" s="1091">
        <v>3140</v>
      </c>
      <c r="H86" s="1098"/>
    </row>
    <row r="87" spans="1:8" s="1067" customFormat="1" ht="14.25" customHeight="1" thickBot="1">
      <c r="A87" s="1079" t="s">
        <v>1405</v>
      </c>
      <c r="B87" s="1073" t="s">
        <v>1188</v>
      </c>
      <c r="C87" s="1073">
        <v>12940</v>
      </c>
      <c r="D87" s="1073">
        <v>12890</v>
      </c>
      <c r="E87" s="1073">
        <v>11580</v>
      </c>
      <c r="F87" s="1100"/>
      <c r="H87" s="1098"/>
    </row>
    <row r="88" spans="1:8" s="1067" customFormat="1" ht="14.25" customHeight="1" thickBot="1">
      <c r="A88" s="1079" t="s">
        <v>1405</v>
      </c>
      <c r="B88" s="1073" t="s">
        <v>1198</v>
      </c>
      <c r="C88" s="1073">
        <v>13430</v>
      </c>
      <c r="D88" s="1073">
        <v>13360</v>
      </c>
      <c r="E88" s="1073">
        <v>12790</v>
      </c>
      <c r="F88" s="1100"/>
      <c r="H88" s="1098"/>
    </row>
    <row r="89" spans="1:8" s="1067" customFormat="1" ht="14.25" customHeight="1" thickBot="1">
      <c r="A89" s="1079" t="s">
        <v>1405</v>
      </c>
      <c r="B89" s="1073" t="s">
        <v>1208</v>
      </c>
      <c r="C89" s="1073">
        <v>11680</v>
      </c>
      <c r="D89" s="1073">
        <v>11630</v>
      </c>
      <c r="E89" s="1073">
        <v>11320</v>
      </c>
      <c r="F89" s="1100"/>
      <c r="H89" s="1098"/>
    </row>
    <row r="90" spans="1:8" s="1067" customFormat="1" ht="14.25" customHeight="1" thickBot="1">
      <c r="A90" s="1079" t="s">
        <v>1405</v>
      </c>
      <c r="B90" s="1073" t="s">
        <v>1218</v>
      </c>
      <c r="C90" s="1073">
        <v>12890</v>
      </c>
      <c r="D90" s="1073">
        <v>12820</v>
      </c>
      <c r="E90" s="1073">
        <v>12710</v>
      </c>
      <c r="F90" s="1100"/>
      <c r="H90" s="1098"/>
    </row>
    <row r="91" spans="1:8" s="1067" customFormat="1" ht="14.25" customHeight="1" thickBot="1">
      <c r="A91" s="1079" t="s">
        <v>1405</v>
      </c>
      <c r="B91" s="1073" t="s">
        <v>1228</v>
      </c>
      <c r="C91" s="1073">
        <v>11410</v>
      </c>
      <c r="D91" s="1073">
        <v>11360</v>
      </c>
      <c r="E91" s="1073">
        <v>12670</v>
      </c>
      <c r="F91" s="1100"/>
      <c r="H91" s="1098"/>
    </row>
    <row r="92" spans="1:8" s="1067" customFormat="1" ht="14.25" customHeight="1" thickBot="1">
      <c r="A92" s="1079" t="s">
        <v>1405</v>
      </c>
      <c r="B92" s="1073" t="s">
        <v>1238</v>
      </c>
      <c r="C92" s="1073">
        <v>12770</v>
      </c>
      <c r="D92" s="1073">
        <v>12740</v>
      </c>
      <c r="E92" s="1073">
        <v>11970</v>
      </c>
      <c r="F92" s="1100"/>
      <c r="H92" s="1098"/>
    </row>
    <row r="93" spans="1:8" s="1067" customFormat="1" ht="14.25" customHeight="1" thickBot="1">
      <c r="A93" s="1079" t="s">
        <v>1405</v>
      </c>
      <c r="B93" s="1073" t="s">
        <v>1248</v>
      </c>
      <c r="C93" s="1073">
        <v>12740</v>
      </c>
      <c r="D93" s="1073">
        <v>12700</v>
      </c>
      <c r="E93" s="1073">
        <v>12540</v>
      </c>
      <c r="F93" s="1100"/>
      <c r="H93" s="1098"/>
    </row>
    <row r="94" spans="1:8" s="1067" customFormat="1" ht="14.25" customHeight="1" thickBot="1">
      <c r="A94" s="1079" t="s">
        <v>1405</v>
      </c>
      <c r="B94" s="1073" t="s">
        <v>1258</v>
      </c>
      <c r="C94" s="1073">
        <v>12020</v>
      </c>
      <c r="D94" s="1073">
        <v>11990</v>
      </c>
      <c r="E94" s="1073">
        <v>13110</v>
      </c>
      <c r="F94" s="1100"/>
      <c r="H94" s="1098"/>
    </row>
    <row r="95" spans="1:8" s="1067" customFormat="1" ht="14.25" customHeight="1" thickBot="1">
      <c r="A95" s="1079" t="s">
        <v>1405</v>
      </c>
      <c r="B95" s="1073" t="s">
        <v>1267</v>
      </c>
      <c r="C95" s="1073">
        <v>12620</v>
      </c>
      <c r="D95" s="1073">
        <v>12580</v>
      </c>
      <c r="E95" s="1073">
        <v>13160</v>
      </c>
      <c r="F95" s="1091"/>
      <c r="H95" s="1098"/>
    </row>
    <row r="96" spans="1:8" s="1067" customFormat="1" ht="14.25" customHeight="1" thickBot="1">
      <c r="A96" s="1079" t="s">
        <v>1405</v>
      </c>
      <c r="B96" s="1073" t="s">
        <v>1276</v>
      </c>
      <c r="C96" s="1073">
        <v>13200</v>
      </c>
      <c r="D96" s="1073">
        <v>13150</v>
      </c>
      <c r="E96" s="1073">
        <v>12900</v>
      </c>
      <c r="F96" s="1091"/>
      <c r="H96" s="1098"/>
    </row>
    <row r="97" spans="1:8" s="1067" customFormat="1" ht="14.25" customHeight="1" thickBot="1">
      <c r="A97" s="1079" t="s">
        <v>1405</v>
      </c>
      <c r="B97" s="1073" t="s">
        <v>1284</v>
      </c>
      <c r="C97" s="1073">
        <v>13270</v>
      </c>
      <c r="D97" s="1073">
        <v>13210</v>
      </c>
      <c r="E97" s="1073">
        <v>11080</v>
      </c>
      <c r="F97" s="1091"/>
      <c r="H97" s="1098"/>
    </row>
    <row r="98" spans="1:8" s="1067" customFormat="1" ht="14.25" customHeight="1" thickBot="1">
      <c r="A98" s="1079" t="s">
        <v>1405</v>
      </c>
      <c r="B98" s="1073" t="s">
        <v>1291</v>
      </c>
      <c r="C98" s="1073">
        <v>13010</v>
      </c>
      <c r="D98" s="1073">
        <v>12930</v>
      </c>
      <c r="E98" s="1073">
        <v>12840</v>
      </c>
      <c r="F98" s="1091"/>
      <c r="H98" s="1098"/>
    </row>
    <row r="99" spans="1:8" s="1067" customFormat="1" ht="14.25" customHeight="1" thickBot="1">
      <c r="A99" s="1079" t="s">
        <v>1405</v>
      </c>
      <c r="B99" s="1073" t="s">
        <v>1298</v>
      </c>
      <c r="C99" s="1073">
        <v>11190</v>
      </c>
      <c r="D99" s="1073">
        <v>11130</v>
      </c>
      <c r="E99" s="1073"/>
      <c r="F99" s="1091"/>
      <c r="H99" s="1098"/>
    </row>
    <row r="100" spans="1:8" s="1067" customFormat="1" ht="14.25" customHeight="1" thickBot="1">
      <c r="A100" s="1079" t="s">
        <v>1405</v>
      </c>
      <c r="B100" s="1073" t="s">
        <v>1305</v>
      </c>
      <c r="C100" s="1073">
        <v>14280</v>
      </c>
      <c r="D100" s="1073">
        <v>14180</v>
      </c>
      <c r="E100" s="1073"/>
      <c r="F100" s="1091"/>
      <c r="H100" s="1098"/>
    </row>
    <row r="101" spans="1:8" s="1067" customFormat="1" ht="14.25" customHeight="1" thickBot="1">
      <c r="A101" s="1079" t="s">
        <v>1405</v>
      </c>
      <c r="B101" s="1073" t="s">
        <v>1312</v>
      </c>
      <c r="C101" s="1073">
        <v>12960</v>
      </c>
      <c r="D101" s="1073">
        <v>12890</v>
      </c>
      <c r="E101" s="1073"/>
      <c r="F101" s="1091"/>
      <c r="H101" s="1098"/>
    </row>
    <row r="102" spans="1:8" s="1067" customFormat="1" ht="14.25" customHeight="1" thickBot="1">
      <c r="A102" s="1079" t="s">
        <v>1405</v>
      </c>
      <c r="B102" s="1073" t="s">
        <v>1319</v>
      </c>
      <c r="C102" s="1073"/>
      <c r="D102" s="1073"/>
      <c r="E102" s="1073"/>
      <c r="F102" s="1091">
        <v>3100</v>
      </c>
      <c r="H102" s="1098"/>
    </row>
    <row r="103" spans="1:8" s="1067" customFormat="1" ht="14.25" customHeight="1" thickBot="1">
      <c r="A103" s="1079" t="s">
        <v>1405</v>
      </c>
      <c r="B103" s="1073" t="s">
        <v>1326</v>
      </c>
      <c r="C103" s="1073"/>
      <c r="D103" s="1073"/>
      <c r="E103" s="1073"/>
      <c r="F103" s="1091">
        <v>2320</v>
      </c>
      <c r="H103" s="1098"/>
    </row>
    <row r="104" spans="1:8" s="1067" customFormat="1" ht="14.25" customHeight="1" thickBot="1">
      <c r="A104" s="1079" t="s">
        <v>1405</v>
      </c>
      <c r="B104" s="1073" t="s">
        <v>1331</v>
      </c>
      <c r="C104" s="1073"/>
      <c r="D104" s="1073"/>
      <c r="E104" s="1073"/>
      <c r="F104" s="1091">
        <v>2320</v>
      </c>
      <c r="H104" s="1098"/>
    </row>
    <row r="105" spans="1:8" s="1067" customFormat="1" ht="14.25" customHeight="1" thickBot="1">
      <c r="A105" s="1079" t="s">
        <v>1405</v>
      </c>
      <c r="B105" s="1073" t="s">
        <v>1335</v>
      </c>
      <c r="C105" s="1073"/>
      <c r="D105" s="1073"/>
      <c r="E105" s="1073"/>
      <c r="F105" s="1091">
        <v>2320</v>
      </c>
      <c r="H105" s="1098"/>
    </row>
    <row r="106" spans="1:8" s="1067" customFormat="1" ht="14.25" customHeight="1" thickBot="1">
      <c r="A106" s="1079" t="s">
        <v>1405</v>
      </c>
      <c r="B106" s="1073" t="s">
        <v>1340</v>
      </c>
      <c r="C106" s="1073"/>
      <c r="D106" s="1073"/>
      <c r="E106" s="1073"/>
      <c r="F106" s="1091">
        <v>2320</v>
      </c>
      <c r="H106" s="1098"/>
    </row>
    <row r="107" spans="1:8" s="1067" customFormat="1" ht="14.25" customHeight="1" thickBot="1">
      <c r="A107" s="1079" t="s">
        <v>1405</v>
      </c>
      <c r="B107" s="1073" t="s">
        <v>1345</v>
      </c>
      <c r="C107" s="1073"/>
      <c r="D107" s="1073"/>
      <c r="E107" s="1073"/>
      <c r="F107" s="1091">
        <v>2280</v>
      </c>
      <c r="H107" s="1098"/>
    </row>
    <row r="108" spans="1:8" s="1067" customFormat="1" ht="14.25" customHeight="1" thickBot="1">
      <c r="A108" s="1079" t="s">
        <v>1405</v>
      </c>
      <c r="B108" s="1073" t="s">
        <v>1350</v>
      </c>
      <c r="C108" s="1073"/>
      <c r="D108" s="1073"/>
      <c r="E108" s="1073"/>
      <c r="F108" s="1091">
        <v>2280</v>
      </c>
      <c r="H108" s="1098"/>
    </row>
    <row r="109" spans="1:8" s="1067" customFormat="1" ht="14.25" customHeight="1" thickBot="1">
      <c r="A109" s="1079" t="s">
        <v>1405</v>
      </c>
      <c r="B109" s="1089" t="s">
        <v>1355</v>
      </c>
      <c r="C109" s="1089"/>
      <c r="D109" s="1089"/>
      <c r="E109" s="1089"/>
      <c r="F109" s="1099">
        <v>2280</v>
      </c>
      <c r="H109" s="1098"/>
    </row>
    <row r="110" spans="1:8" s="1067" customFormat="1" ht="14.25" customHeight="1" thickBot="1">
      <c r="A110" s="1079" t="s">
        <v>1407</v>
      </c>
      <c r="B110" s="1080" t="s">
        <v>1408</v>
      </c>
      <c r="C110" s="1080">
        <v>10520</v>
      </c>
      <c r="D110" s="1080">
        <v>10490</v>
      </c>
      <c r="E110" s="1080">
        <v>10760</v>
      </c>
      <c r="F110" s="1081">
        <v>2160</v>
      </c>
      <c r="H110" s="1098"/>
    </row>
    <row r="111" spans="1:8" s="1067" customFormat="1" ht="14.25" customHeight="1" thickBot="1">
      <c r="A111" s="1079" t="s">
        <v>1407</v>
      </c>
      <c r="B111" s="1073" t="s">
        <v>1073</v>
      </c>
      <c r="C111" s="1073">
        <v>10090</v>
      </c>
      <c r="D111" s="1073">
        <v>10060</v>
      </c>
      <c r="E111" s="1073">
        <v>10300</v>
      </c>
      <c r="F111" s="1091">
        <v>2010</v>
      </c>
      <c r="H111" s="1098"/>
    </row>
    <row r="112" spans="1:8" s="1067" customFormat="1" ht="14.25" customHeight="1" thickBot="1">
      <c r="A112" s="1079" t="s">
        <v>1407</v>
      </c>
      <c r="B112" s="1073" t="s">
        <v>1087</v>
      </c>
      <c r="C112" s="1073">
        <v>9910</v>
      </c>
      <c r="D112" s="1073">
        <v>9850</v>
      </c>
      <c r="E112" s="1073">
        <v>9960</v>
      </c>
      <c r="F112" s="1091">
        <v>2090</v>
      </c>
      <c r="H112" s="1098"/>
    </row>
    <row r="113" spans="1:8" s="1067" customFormat="1" ht="14.25" customHeight="1" thickBot="1">
      <c r="A113" s="1079" t="s">
        <v>1407</v>
      </c>
      <c r="B113" s="1073" t="s">
        <v>1100</v>
      </c>
      <c r="C113" s="1073">
        <v>11430</v>
      </c>
      <c r="D113" s="1073">
        <v>11400</v>
      </c>
      <c r="E113" s="1073">
        <v>11710</v>
      </c>
      <c r="F113" s="1091">
        <v>2050</v>
      </c>
      <c r="H113" s="1098"/>
    </row>
    <row r="114" spans="1:8" s="1067" customFormat="1" ht="14.25" customHeight="1" thickBot="1">
      <c r="A114" s="1079" t="s">
        <v>1407</v>
      </c>
      <c r="B114" s="1073" t="s">
        <v>1114</v>
      </c>
      <c r="C114" s="1073">
        <v>11390</v>
      </c>
      <c r="D114" s="1073">
        <v>11350</v>
      </c>
      <c r="E114" s="1073">
        <v>11640</v>
      </c>
      <c r="F114" s="1091">
        <v>1620</v>
      </c>
      <c r="H114" s="1098"/>
    </row>
    <row r="115" spans="1:8" s="1067" customFormat="1" ht="14.25" customHeight="1" thickBot="1">
      <c r="A115" s="1079" t="s">
        <v>1407</v>
      </c>
      <c r="B115" s="1073" t="s">
        <v>1125</v>
      </c>
      <c r="C115" s="1073">
        <v>9930</v>
      </c>
      <c r="D115" s="1073">
        <v>9900</v>
      </c>
      <c r="E115" s="1073">
        <v>10160</v>
      </c>
      <c r="F115" s="1091">
        <v>1580</v>
      </c>
      <c r="H115" s="1098"/>
    </row>
    <row r="116" spans="1:8" s="1067" customFormat="1" ht="14.25" customHeight="1" thickBot="1">
      <c r="A116" s="1079" t="s">
        <v>1407</v>
      </c>
      <c r="B116" s="1073" t="s">
        <v>1136</v>
      </c>
      <c r="C116" s="1073">
        <v>9150</v>
      </c>
      <c r="D116" s="1073">
        <v>9120</v>
      </c>
      <c r="E116" s="1073">
        <v>9380</v>
      </c>
      <c r="F116" s="1091">
        <v>1750</v>
      </c>
      <c r="H116" s="1098"/>
    </row>
    <row r="117" spans="1:8" s="1067" customFormat="1" ht="14.25" customHeight="1" thickBot="1">
      <c r="A117" s="1079" t="s">
        <v>1407</v>
      </c>
      <c r="B117" s="1073" t="s">
        <v>1147</v>
      </c>
      <c r="C117" s="1073">
        <v>10680</v>
      </c>
      <c r="D117" s="1073">
        <v>10650</v>
      </c>
      <c r="E117" s="1073">
        <v>10970</v>
      </c>
      <c r="F117" s="1091">
        <v>1730</v>
      </c>
      <c r="H117" s="1098"/>
    </row>
    <row r="118" spans="1:8" s="1067" customFormat="1" ht="14.25" customHeight="1" thickBot="1">
      <c r="A118" s="1079" t="s">
        <v>1407</v>
      </c>
      <c r="B118" s="1073" t="s">
        <v>1159</v>
      </c>
      <c r="C118" s="1073">
        <v>10080</v>
      </c>
      <c r="D118" s="1073">
        <v>10050</v>
      </c>
      <c r="E118" s="1073">
        <v>10350</v>
      </c>
      <c r="F118" s="1091">
        <v>1920</v>
      </c>
      <c r="H118" s="1098"/>
    </row>
    <row r="119" spans="1:8" s="1067" customFormat="1" ht="14.25" customHeight="1" thickBot="1">
      <c r="A119" s="1079" t="s">
        <v>1407</v>
      </c>
      <c r="B119" s="1073" t="s">
        <v>1169</v>
      </c>
      <c r="C119" s="1073">
        <v>9450</v>
      </c>
      <c r="D119" s="1073">
        <v>9410</v>
      </c>
      <c r="E119" s="1073">
        <v>9680</v>
      </c>
      <c r="F119" s="1091">
        <v>1880</v>
      </c>
      <c r="H119" s="1098"/>
    </row>
    <row r="120" spans="1:8" s="1067" customFormat="1" ht="14.25" customHeight="1" thickBot="1">
      <c r="A120" s="1079" t="s">
        <v>1407</v>
      </c>
      <c r="B120" s="1073" t="s">
        <v>1179</v>
      </c>
      <c r="C120" s="1073">
        <v>8730</v>
      </c>
      <c r="D120" s="1073">
        <v>8700</v>
      </c>
      <c r="E120" s="1073">
        <v>8950</v>
      </c>
      <c r="F120" s="1091">
        <v>1830</v>
      </c>
      <c r="H120" s="1098"/>
    </row>
    <row r="121" spans="1:8" s="1067" customFormat="1" ht="14.25" customHeight="1" thickBot="1">
      <c r="A121" s="1079" t="s">
        <v>1407</v>
      </c>
      <c r="B121" s="1073" t="s">
        <v>1189</v>
      </c>
      <c r="C121" s="1073">
        <v>10070</v>
      </c>
      <c r="D121" s="1073">
        <v>10040</v>
      </c>
      <c r="E121" s="1073">
        <v>10270</v>
      </c>
      <c r="F121" s="1091">
        <v>1960</v>
      </c>
      <c r="H121" s="1098"/>
    </row>
    <row r="122" spans="1:8" s="1067" customFormat="1" ht="14.25" customHeight="1" thickBot="1">
      <c r="A122" s="1079" t="s">
        <v>1407</v>
      </c>
      <c r="B122" s="1073" t="s">
        <v>1199</v>
      </c>
      <c r="C122" s="1073">
        <v>10500</v>
      </c>
      <c r="D122" s="1073">
        <v>10470</v>
      </c>
      <c r="E122" s="1073">
        <v>10780</v>
      </c>
      <c r="F122" s="1091">
        <v>2180</v>
      </c>
      <c r="H122" s="1098"/>
    </row>
    <row r="123" spans="1:8" s="1067" customFormat="1" ht="14.25" customHeight="1" thickBot="1">
      <c r="A123" s="1079" t="s">
        <v>1407</v>
      </c>
      <c r="B123" s="1073" t="s">
        <v>1209</v>
      </c>
      <c r="C123" s="1073">
        <v>10390</v>
      </c>
      <c r="D123" s="1073">
        <v>10360</v>
      </c>
      <c r="E123" s="1073">
        <v>10660</v>
      </c>
      <c r="F123" s="1091">
        <v>2040</v>
      </c>
      <c r="H123" s="1098"/>
    </row>
    <row r="124" spans="1:8" s="1067" customFormat="1" ht="14.25" customHeight="1" thickBot="1">
      <c r="A124" s="1079" t="s">
        <v>1407</v>
      </c>
      <c r="B124" s="1073" t="s">
        <v>1219</v>
      </c>
      <c r="C124" s="1073">
        <v>10390</v>
      </c>
      <c r="D124" s="1073">
        <v>10360</v>
      </c>
      <c r="E124" s="1073">
        <v>10680</v>
      </c>
      <c r="F124" s="1100"/>
      <c r="H124" s="1098"/>
    </row>
    <row r="125" spans="1:8" s="1067" customFormat="1" ht="14.25" customHeight="1" thickBot="1">
      <c r="A125" s="1079" t="s">
        <v>1407</v>
      </c>
      <c r="B125" s="1073" t="s">
        <v>1229</v>
      </c>
      <c r="C125" s="1073">
        <v>10440</v>
      </c>
      <c r="D125" s="1073">
        <v>10410</v>
      </c>
      <c r="E125" s="1073">
        <v>10710</v>
      </c>
      <c r="F125" s="1100"/>
      <c r="H125" s="1098"/>
    </row>
    <row r="126" spans="1:8" s="1067" customFormat="1" ht="14.25" customHeight="1" thickBot="1">
      <c r="A126" s="1079" t="s">
        <v>1407</v>
      </c>
      <c r="B126" s="1073" t="s">
        <v>1239</v>
      </c>
      <c r="C126" s="1073">
        <v>10780</v>
      </c>
      <c r="D126" s="1073">
        <v>10750</v>
      </c>
      <c r="E126" s="1073">
        <v>11080</v>
      </c>
      <c r="F126" s="1100"/>
      <c r="H126" s="1098"/>
    </row>
    <row r="127" spans="1:8" s="1067" customFormat="1" ht="14.25" customHeight="1" thickBot="1">
      <c r="A127" s="1079" t="s">
        <v>1407</v>
      </c>
      <c r="B127" s="1073" t="s">
        <v>1249</v>
      </c>
      <c r="C127" s="1073">
        <v>10100</v>
      </c>
      <c r="D127" s="1073">
        <v>10070</v>
      </c>
      <c r="E127" s="1073">
        <v>10350</v>
      </c>
      <c r="F127" s="1100"/>
      <c r="H127" s="1098"/>
    </row>
    <row r="128" spans="1:8" s="1067" customFormat="1" ht="14.25" customHeight="1" thickBot="1">
      <c r="A128" s="1079" t="s">
        <v>1407</v>
      </c>
      <c r="B128" s="1073" t="s">
        <v>1259</v>
      </c>
      <c r="C128" s="1073">
        <v>9200</v>
      </c>
      <c r="D128" s="1073">
        <v>9160</v>
      </c>
      <c r="E128" s="1073">
        <v>9660</v>
      </c>
      <c r="F128" s="1100"/>
      <c r="H128" s="1098"/>
    </row>
    <row r="129" spans="1:8" s="1067" customFormat="1" ht="14.25" customHeight="1" thickBot="1">
      <c r="A129" s="1079" t="s">
        <v>1407</v>
      </c>
      <c r="B129" s="1073" t="s">
        <v>1268</v>
      </c>
      <c r="C129" s="1073">
        <v>10340</v>
      </c>
      <c r="D129" s="1073">
        <v>10310</v>
      </c>
      <c r="E129" s="1073">
        <v>10580</v>
      </c>
      <c r="F129" s="1100"/>
      <c r="H129" s="1098"/>
    </row>
    <row r="130" spans="1:8" s="1067" customFormat="1" ht="14.25" customHeight="1" thickBot="1">
      <c r="A130" s="1079" t="s">
        <v>1407</v>
      </c>
      <c r="B130" s="1073" t="s">
        <v>1277</v>
      </c>
      <c r="C130" s="1073">
        <v>9680</v>
      </c>
      <c r="D130" s="1073">
        <v>9660</v>
      </c>
      <c r="E130" s="1073">
        <v>9950</v>
      </c>
      <c r="F130" s="1100"/>
      <c r="H130" s="1098"/>
    </row>
    <row r="131" spans="1:8" s="1067" customFormat="1" ht="14.25" customHeight="1" thickBot="1">
      <c r="A131" s="1079" t="s">
        <v>1407</v>
      </c>
      <c r="B131" s="1073" t="s">
        <v>1285</v>
      </c>
      <c r="C131" s="1073">
        <v>9540</v>
      </c>
      <c r="D131" s="1073">
        <v>9510</v>
      </c>
      <c r="E131" s="1073">
        <v>9790</v>
      </c>
      <c r="F131" s="1100"/>
      <c r="H131" s="1098"/>
    </row>
    <row r="132" spans="1:8" s="1067" customFormat="1" ht="14.25" customHeight="1" thickBot="1">
      <c r="A132" s="1079" t="s">
        <v>1407</v>
      </c>
      <c r="B132" s="1073" t="s">
        <v>1292</v>
      </c>
      <c r="C132" s="1073">
        <v>9320</v>
      </c>
      <c r="D132" s="1073">
        <v>9290</v>
      </c>
      <c r="E132" s="1073">
        <v>9570</v>
      </c>
      <c r="F132" s="1100"/>
      <c r="H132" s="1098"/>
    </row>
    <row r="133" spans="1:8" s="1067" customFormat="1" ht="14.25" customHeight="1" thickBot="1">
      <c r="A133" s="1079" t="s">
        <v>1407</v>
      </c>
      <c r="B133" s="1073" t="s">
        <v>1299</v>
      </c>
      <c r="C133" s="1073">
        <v>10310</v>
      </c>
      <c r="D133" s="1073">
        <v>10280</v>
      </c>
      <c r="E133" s="1073">
        <v>10530</v>
      </c>
      <c r="F133" s="1100"/>
      <c r="H133" s="1098"/>
    </row>
    <row r="134" spans="1:8" s="1067" customFormat="1" ht="14.25" customHeight="1" thickBot="1">
      <c r="A134" s="1079" t="s">
        <v>1407</v>
      </c>
      <c r="B134" s="1073" t="s">
        <v>1306</v>
      </c>
      <c r="C134" s="1073">
        <v>10370</v>
      </c>
      <c r="D134" s="1073">
        <v>10310</v>
      </c>
      <c r="E134" s="1073">
        <v>10240</v>
      </c>
      <c r="F134" s="1091">
        <v>2060</v>
      </c>
      <c r="H134" s="1098"/>
    </row>
    <row r="135" spans="1:8" s="1067" customFormat="1" ht="14.25" customHeight="1" thickBot="1">
      <c r="A135" s="1079" t="s">
        <v>1407</v>
      </c>
      <c r="B135" s="1073" t="s">
        <v>1313</v>
      </c>
      <c r="C135" s="1073">
        <v>9300</v>
      </c>
      <c r="D135" s="1073">
        <v>9270</v>
      </c>
      <c r="E135" s="1073">
        <v>9350</v>
      </c>
      <c r="F135" s="1100"/>
      <c r="H135" s="1098"/>
    </row>
    <row r="136" spans="1:8" s="1067" customFormat="1" ht="14.25" customHeight="1" thickBot="1">
      <c r="A136" s="1079" t="s">
        <v>1407</v>
      </c>
      <c r="B136" s="1073" t="s">
        <v>1320</v>
      </c>
      <c r="C136" s="1073">
        <v>10160</v>
      </c>
      <c r="D136" s="1073">
        <v>10110</v>
      </c>
      <c r="E136" s="1073">
        <v>10080</v>
      </c>
      <c r="F136" s="1100"/>
      <c r="H136" s="1098"/>
    </row>
    <row r="137" spans="1:8" s="1067" customFormat="1" ht="14.25" customHeight="1" thickBot="1">
      <c r="A137" s="1079" t="s">
        <v>1407</v>
      </c>
      <c r="B137" s="1073" t="s">
        <v>1327</v>
      </c>
      <c r="C137" s="1073">
        <v>9200</v>
      </c>
      <c r="D137" s="1073">
        <v>9170</v>
      </c>
      <c r="E137" s="1073">
        <v>9450</v>
      </c>
      <c r="F137" s="1100"/>
      <c r="H137" s="1098"/>
    </row>
    <row r="138" spans="1:8" s="1067" customFormat="1" ht="14.25" customHeight="1" thickBot="1">
      <c r="A138" s="1079" t="s">
        <v>1407</v>
      </c>
      <c r="B138" s="1073" t="s">
        <v>1332</v>
      </c>
      <c r="C138" s="1073">
        <v>9690</v>
      </c>
      <c r="D138" s="1073">
        <v>9660</v>
      </c>
      <c r="E138" s="1073">
        <v>9840</v>
      </c>
      <c r="F138" s="1100"/>
      <c r="H138" s="1098"/>
    </row>
    <row r="139" spans="1:8" s="1067" customFormat="1" ht="14.25" customHeight="1" thickBot="1">
      <c r="A139" s="1079" t="s">
        <v>1407</v>
      </c>
      <c r="B139" s="1073" t="s">
        <v>1336</v>
      </c>
      <c r="C139" s="1073">
        <v>10290</v>
      </c>
      <c r="D139" s="1073">
        <v>10260</v>
      </c>
      <c r="E139" s="1073">
        <v>10550</v>
      </c>
      <c r="F139" s="1091">
        <v>1700</v>
      </c>
      <c r="H139" s="1098"/>
    </row>
    <row r="140" spans="1:8" s="1067" customFormat="1" ht="14.25" customHeight="1" thickBot="1">
      <c r="A140" s="1079" t="s">
        <v>1407</v>
      </c>
      <c r="B140" s="1073" t="s">
        <v>1341</v>
      </c>
      <c r="C140" s="1073">
        <v>9740</v>
      </c>
      <c r="D140" s="1073">
        <v>9710</v>
      </c>
      <c r="E140" s="1073">
        <v>10000</v>
      </c>
      <c r="F140" s="1091">
        <v>2000</v>
      </c>
      <c r="H140" s="1098"/>
    </row>
    <row r="141" spans="1:8" s="1067" customFormat="1" ht="14.25" customHeight="1" thickBot="1">
      <c r="A141" s="1079" t="s">
        <v>1407</v>
      </c>
      <c r="B141" s="1073" t="s">
        <v>1346</v>
      </c>
      <c r="C141" s="1073">
        <v>9810</v>
      </c>
      <c r="D141" s="1073">
        <v>9770</v>
      </c>
      <c r="E141" s="1073">
        <v>10060</v>
      </c>
      <c r="F141" s="1100"/>
      <c r="H141" s="1098"/>
    </row>
    <row r="142" spans="1:8" s="1067" customFormat="1" ht="14.25" customHeight="1" thickBot="1">
      <c r="A142" s="1079" t="s">
        <v>1407</v>
      </c>
      <c r="B142" s="1073" t="s">
        <v>1351</v>
      </c>
      <c r="C142" s="1073">
        <v>9300</v>
      </c>
      <c r="D142" s="1073">
        <v>9270</v>
      </c>
      <c r="E142" s="1073">
        <v>9530</v>
      </c>
      <c r="F142" s="1100"/>
      <c r="H142" s="1098"/>
    </row>
    <row r="143" spans="1:8" s="1067" customFormat="1" ht="14.25" customHeight="1" thickBot="1">
      <c r="A143" s="1079" t="s">
        <v>1407</v>
      </c>
      <c r="B143" s="1073" t="s">
        <v>1356</v>
      </c>
      <c r="C143" s="1073">
        <v>10080</v>
      </c>
      <c r="D143" s="1073">
        <v>10050</v>
      </c>
      <c r="E143" s="1073">
        <v>10340</v>
      </c>
      <c r="F143" s="1100"/>
      <c r="H143" s="1098"/>
    </row>
    <row r="144" spans="1:8" s="1067" customFormat="1" ht="14.25" customHeight="1" thickBot="1">
      <c r="A144" s="1079" t="s">
        <v>1407</v>
      </c>
      <c r="B144" s="1073" t="s">
        <v>1360</v>
      </c>
      <c r="C144" s="1073">
        <v>9820</v>
      </c>
      <c r="D144" s="1073">
        <v>9750</v>
      </c>
      <c r="E144" s="1073">
        <v>9900</v>
      </c>
      <c r="F144" s="1100"/>
      <c r="H144" s="1098"/>
    </row>
    <row r="145" spans="1:8" s="1067" customFormat="1" ht="14.25" customHeight="1" thickBot="1">
      <c r="A145" s="1079" t="s">
        <v>1407</v>
      </c>
      <c r="B145" s="1073" t="s">
        <v>1364</v>
      </c>
      <c r="C145" s="1073"/>
      <c r="D145" s="1073"/>
      <c r="E145" s="1073"/>
      <c r="F145" s="1091">
        <v>1740</v>
      </c>
      <c r="H145" s="1098"/>
    </row>
    <row r="146" spans="1:8" s="1067" customFormat="1" ht="14.25" customHeight="1" thickBot="1">
      <c r="A146" s="1079" t="s">
        <v>1407</v>
      </c>
      <c r="B146" s="1073" t="s">
        <v>1368</v>
      </c>
      <c r="C146" s="1073"/>
      <c r="D146" s="1073"/>
      <c r="E146" s="1073"/>
      <c r="F146" s="1091">
        <v>1740</v>
      </c>
      <c r="H146" s="1098"/>
    </row>
    <row r="147" spans="1:8" s="1067" customFormat="1" ht="14.25" customHeight="1" thickBot="1">
      <c r="A147" s="1079" t="s">
        <v>1407</v>
      </c>
      <c r="B147" s="1073" t="s">
        <v>1372</v>
      </c>
      <c r="C147" s="1073"/>
      <c r="D147" s="1073"/>
      <c r="E147" s="1073"/>
      <c r="F147" s="1091">
        <v>1740</v>
      </c>
      <c r="H147" s="1098"/>
    </row>
    <row r="148" spans="1:8" s="1067" customFormat="1" ht="14.25" customHeight="1" thickBot="1">
      <c r="A148" s="1079" t="s">
        <v>1407</v>
      </c>
      <c r="B148" s="1073" t="s">
        <v>1376</v>
      </c>
      <c r="C148" s="1073"/>
      <c r="D148" s="1073"/>
      <c r="E148" s="1073"/>
      <c r="F148" s="1091">
        <v>1740</v>
      </c>
      <c r="H148" s="1098"/>
    </row>
    <row r="149" spans="1:8" s="1067" customFormat="1" ht="14.25" customHeight="1" thickBot="1">
      <c r="A149" s="1079" t="s">
        <v>1407</v>
      </c>
      <c r="B149" s="1073" t="s">
        <v>1380</v>
      </c>
      <c r="C149" s="1073"/>
      <c r="D149" s="1073"/>
      <c r="E149" s="1073"/>
      <c r="F149" s="1091">
        <v>1740</v>
      </c>
      <c r="H149" s="1098"/>
    </row>
    <row r="150" spans="1:8" s="1067" customFormat="1" ht="14.25" customHeight="1" thickBot="1">
      <c r="A150" s="1079" t="s">
        <v>1407</v>
      </c>
      <c r="B150" s="1073" t="s">
        <v>1383</v>
      </c>
      <c r="C150" s="1073"/>
      <c r="D150" s="1073"/>
      <c r="E150" s="1073"/>
      <c r="F150" s="1091">
        <v>1610</v>
      </c>
      <c r="H150" s="1098"/>
    </row>
    <row r="151" spans="1:8" s="1067" customFormat="1" ht="14.25" customHeight="1" thickBot="1">
      <c r="A151" s="1079" t="s">
        <v>1407</v>
      </c>
      <c r="B151" s="1073" t="s">
        <v>1386</v>
      </c>
      <c r="C151" s="1073"/>
      <c r="D151" s="1073"/>
      <c r="E151" s="1073"/>
      <c r="F151" s="1091">
        <v>1610</v>
      </c>
      <c r="H151" s="1098"/>
    </row>
    <row r="152" spans="1:8" s="1067" customFormat="1" ht="14.25" customHeight="1" thickBot="1">
      <c r="A152" s="1079" t="s">
        <v>1407</v>
      </c>
      <c r="B152" s="1073" t="s">
        <v>1389</v>
      </c>
      <c r="C152" s="1073"/>
      <c r="D152" s="1073"/>
      <c r="E152" s="1073"/>
      <c r="F152" s="1091">
        <v>1610</v>
      </c>
      <c r="H152" s="1098"/>
    </row>
    <row r="153" spans="1:8" s="1067" customFormat="1" ht="14.25" customHeight="1" thickBot="1">
      <c r="A153" s="1079" t="s">
        <v>1407</v>
      </c>
      <c r="B153" s="1073" t="s">
        <v>1392</v>
      </c>
      <c r="C153" s="1073"/>
      <c r="D153" s="1073"/>
      <c r="E153" s="1073"/>
      <c r="F153" s="1091">
        <v>1610</v>
      </c>
      <c r="H153" s="1098"/>
    </row>
    <row r="154" spans="1:8" s="1067" customFormat="1" ht="14.25" customHeight="1" thickBot="1">
      <c r="A154" s="1079" t="s">
        <v>1407</v>
      </c>
      <c r="B154" s="1073" t="s">
        <v>1395</v>
      </c>
      <c r="C154" s="1073"/>
      <c r="D154" s="1073"/>
      <c r="E154" s="1073"/>
      <c r="F154" s="1091">
        <v>1610</v>
      </c>
      <c r="H154" s="1098"/>
    </row>
    <row r="155" spans="1:8" s="1067" customFormat="1" ht="14.25" customHeight="1" thickBot="1">
      <c r="A155" s="1079" t="s">
        <v>1407</v>
      </c>
      <c r="B155" s="1073" t="s">
        <v>1398</v>
      </c>
      <c r="C155" s="1073"/>
      <c r="D155" s="1073"/>
      <c r="E155" s="1073"/>
      <c r="F155" s="1091">
        <v>1800</v>
      </c>
      <c r="H155" s="1098"/>
    </row>
    <row r="156" spans="1:8" s="1067" customFormat="1" ht="14.25" customHeight="1" thickBot="1">
      <c r="A156" s="1079" t="s">
        <v>1407</v>
      </c>
      <c r="B156" s="1073" t="s">
        <v>1400</v>
      </c>
      <c r="C156" s="1073"/>
      <c r="D156" s="1073"/>
      <c r="E156" s="1073"/>
      <c r="F156" s="1091">
        <v>1910</v>
      </c>
      <c r="H156" s="1098"/>
    </row>
    <row r="157" spans="1:8" s="1067" customFormat="1" ht="14.25" customHeight="1" thickBot="1">
      <c r="A157" s="1079" t="s">
        <v>1407</v>
      </c>
      <c r="B157" s="1089" t="s">
        <v>1403</v>
      </c>
      <c r="C157" s="1089"/>
      <c r="D157" s="1089"/>
      <c r="E157" s="1089"/>
      <c r="F157" s="1099">
        <v>1500</v>
      </c>
      <c r="H157" s="1098"/>
    </row>
    <row r="158" spans="1:8" s="1067" customFormat="1" ht="14.25" customHeight="1" thickBot="1">
      <c r="A158" s="1079" t="s">
        <v>1409</v>
      </c>
      <c r="B158" s="1080" t="s">
        <v>1410</v>
      </c>
      <c r="C158" s="1080">
        <v>8170</v>
      </c>
      <c r="D158" s="1080">
        <v>8140</v>
      </c>
      <c r="E158" s="1080">
        <v>8590</v>
      </c>
      <c r="F158" s="1081">
        <v>1450</v>
      </c>
      <c r="H158" s="1098"/>
    </row>
    <row r="159" spans="1:8" s="1067" customFormat="1" ht="14.25" customHeight="1" thickBot="1">
      <c r="A159" s="1079" t="s">
        <v>1409</v>
      </c>
      <c r="B159" s="1073" t="s">
        <v>1074</v>
      </c>
      <c r="C159" s="1073">
        <v>7410</v>
      </c>
      <c r="D159" s="1073">
        <v>7370</v>
      </c>
      <c r="E159" s="1073">
        <v>8030</v>
      </c>
      <c r="F159" s="1091">
        <v>1510</v>
      </c>
      <c r="H159" s="1098"/>
    </row>
    <row r="160" spans="1:8" s="1067" customFormat="1" ht="14.25" customHeight="1" thickBot="1">
      <c r="A160" s="1079" t="s">
        <v>1409</v>
      </c>
      <c r="B160" s="1073" t="s">
        <v>1088</v>
      </c>
      <c r="C160" s="1073">
        <v>7240</v>
      </c>
      <c r="D160" s="1073">
        <v>7210</v>
      </c>
      <c r="E160" s="1073">
        <v>7860</v>
      </c>
      <c r="F160" s="1091">
        <v>1370</v>
      </c>
      <c r="H160" s="1098"/>
    </row>
    <row r="161" spans="1:8" s="1067" customFormat="1" ht="14.25" customHeight="1" thickBot="1">
      <c r="A161" s="1079" t="s">
        <v>1409</v>
      </c>
      <c r="B161" s="1073" t="s">
        <v>1101</v>
      </c>
      <c r="C161" s="1073">
        <v>7720</v>
      </c>
      <c r="D161" s="1073">
        <v>7690</v>
      </c>
      <c r="E161" s="1073">
        <v>8200</v>
      </c>
      <c r="F161" s="1091">
        <v>1190</v>
      </c>
      <c r="H161" s="1098"/>
    </row>
    <row r="162" spans="1:8" s="1067" customFormat="1" ht="14.25" customHeight="1" thickBot="1">
      <c r="A162" s="1079" t="s">
        <v>1409</v>
      </c>
      <c r="B162" s="1073" t="s">
        <v>1115</v>
      </c>
      <c r="C162" s="1073">
        <v>6900</v>
      </c>
      <c r="D162" s="1073">
        <v>6870</v>
      </c>
      <c r="E162" s="1073">
        <v>7500</v>
      </c>
      <c r="F162" s="1091">
        <v>1390</v>
      </c>
      <c r="H162" s="1098"/>
    </row>
    <row r="163" spans="1:8" s="1067" customFormat="1" ht="14.25" customHeight="1" thickBot="1">
      <c r="A163" s="1079" t="s">
        <v>1409</v>
      </c>
      <c r="B163" s="1073" t="s">
        <v>1126</v>
      </c>
      <c r="C163" s="1073">
        <v>7120</v>
      </c>
      <c r="D163" s="1073">
        <v>7090</v>
      </c>
      <c r="E163" s="1073">
        <v>7690</v>
      </c>
      <c r="F163" s="1091">
        <v>1230</v>
      </c>
      <c r="H163" s="1098"/>
    </row>
    <row r="164" spans="1:8" s="1067" customFormat="1" ht="14.25" customHeight="1" thickBot="1">
      <c r="A164" s="1079" t="s">
        <v>1409</v>
      </c>
      <c r="B164" s="1073" t="s">
        <v>1137</v>
      </c>
      <c r="C164" s="1073">
        <v>6560</v>
      </c>
      <c r="D164" s="1073">
        <v>6530</v>
      </c>
      <c r="E164" s="1073">
        <v>7110</v>
      </c>
      <c r="F164" s="1091">
        <v>1340</v>
      </c>
      <c r="H164" s="1098"/>
    </row>
    <row r="165" spans="1:8" s="1067" customFormat="1" ht="14.25" customHeight="1" thickBot="1">
      <c r="A165" s="1079" t="s">
        <v>1409</v>
      </c>
      <c r="B165" s="1073" t="s">
        <v>1148</v>
      </c>
      <c r="C165" s="1073">
        <v>7450</v>
      </c>
      <c r="D165" s="1073">
        <v>7430</v>
      </c>
      <c r="E165" s="1073">
        <v>8110</v>
      </c>
      <c r="F165" s="1091">
        <v>1290</v>
      </c>
      <c r="H165" s="1098"/>
    </row>
    <row r="166" spans="1:8" s="1067" customFormat="1" ht="14.25" customHeight="1" thickBot="1">
      <c r="A166" s="1079" t="s">
        <v>1409</v>
      </c>
      <c r="B166" s="1073" t="s">
        <v>1160</v>
      </c>
      <c r="C166" s="1073">
        <v>7490</v>
      </c>
      <c r="D166" s="1073">
        <v>7460</v>
      </c>
      <c r="E166" s="1073">
        <v>8150</v>
      </c>
      <c r="F166" s="1091">
        <v>1350</v>
      </c>
      <c r="H166" s="1098"/>
    </row>
    <row r="167" spans="1:8" s="1067" customFormat="1" ht="14.25" customHeight="1" thickBot="1">
      <c r="A167" s="1079" t="s">
        <v>1409</v>
      </c>
      <c r="B167" s="1073" t="s">
        <v>1170</v>
      </c>
      <c r="C167" s="1073">
        <v>7540</v>
      </c>
      <c r="D167" s="1073">
        <v>7510</v>
      </c>
      <c r="E167" s="1073">
        <v>8030</v>
      </c>
      <c r="F167" s="1100"/>
      <c r="H167" s="1098"/>
    </row>
    <row r="168" spans="1:8" s="1067" customFormat="1" ht="14.25" customHeight="1" thickBot="1">
      <c r="A168" s="1079" t="s">
        <v>1409</v>
      </c>
      <c r="B168" s="1073" t="s">
        <v>1180</v>
      </c>
      <c r="C168" s="1073">
        <v>7210</v>
      </c>
      <c r="D168" s="1073">
        <v>7180</v>
      </c>
      <c r="E168" s="1073">
        <v>7830</v>
      </c>
      <c r="F168" s="1100"/>
      <c r="H168" s="1098"/>
    </row>
    <row r="169" spans="1:8" s="1067" customFormat="1" ht="14.25" customHeight="1" thickBot="1">
      <c r="A169" s="1079" t="s">
        <v>1409</v>
      </c>
      <c r="B169" s="1073" t="s">
        <v>1190</v>
      </c>
      <c r="C169" s="1073">
        <v>7040</v>
      </c>
      <c r="D169" s="1073">
        <v>7020</v>
      </c>
      <c r="E169" s="1073">
        <v>7670</v>
      </c>
      <c r="F169" s="1100"/>
      <c r="H169" s="1098"/>
    </row>
    <row r="170" spans="1:8" s="1067" customFormat="1" ht="14.25" customHeight="1" thickBot="1">
      <c r="A170" s="1079" t="s">
        <v>1409</v>
      </c>
      <c r="B170" s="1073" t="s">
        <v>1200</v>
      </c>
      <c r="C170" s="1073">
        <v>8040</v>
      </c>
      <c r="D170" s="1073">
        <v>7190</v>
      </c>
      <c r="E170" s="1073">
        <v>7850</v>
      </c>
      <c r="F170" s="1100"/>
      <c r="H170" s="1098"/>
    </row>
    <row r="171" spans="1:8" s="1067" customFormat="1" ht="14.25" customHeight="1" thickBot="1">
      <c r="A171" s="1079" t="s">
        <v>1409</v>
      </c>
      <c r="B171" s="1073" t="s">
        <v>1210</v>
      </c>
      <c r="C171" s="1073">
        <v>7860</v>
      </c>
      <c r="D171" s="1073">
        <v>7720</v>
      </c>
      <c r="E171" s="1073">
        <v>8150</v>
      </c>
      <c r="F171" s="1091">
        <v>1110</v>
      </c>
      <c r="H171" s="1098"/>
    </row>
    <row r="172" spans="1:8" s="1067" customFormat="1" ht="14.25" customHeight="1" thickBot="1">
      <c r="A172" s="1079" t="s">
        <v>1409</v>
      </c>
      <c r="B172" s="1073" t="s">
        <v>1220</v>
      </c>
      <c r="C172" s="1073">
        <v>7210</v>
      </c>
      <c r="D172" s="1073">
        <v>7170</v>
      </c>
      <c r="E172" s="1073">
        <v>7320</v>
      </c>
      <c r="F172" s="1100"/>
      <c r="H172" s="1098"/>
    </row>
    <row r="173" spans="1:8" s="1067" customFormat="1" ht="14.25" customHeight="1" thickBot="1">
      <c r="A173" s="1079" t="s">
        <v>1409</v>
      </c>
      <c r="B173" s="1073" t="s">
        <v>1230</v>
      </c>
      <c r="C173" s="1073">
        <v>6860</v>
      </c>
      <c r="D173" s="1073">
        <v>6810</v>
      </c>
      <c r="E173" s="1073">
        <v>7440</v>
      </c>
      <c r="F173" s="1100"/>
      <c r="H173" s="1098"/>
    </row>
    <row r="174" spans="1:8" s="1067" customFormat="1" ht="14.25" customHeight="1" thickBot="1">
      <c r="A174" s="1079" t="s">
        <v>1409</v>
      </c>
      <c r="B174" s="1073" t="s">
        <v>1240</v>
      </c>
      <c r="C174" s="1073">
        <v>7120</v>
      </c>
      <c r="D174" s="1073">
        <v>7090</v>
      </c>
      <c r="E174" s="1073">
        <v>7500</v>
      </c>
      <c r="F174" s="1091">
        <v>1490</v>
      </c>
      <c r="H174" s="1098"/>
    </row>
    <row r="175" spans="1:8" s="1067" customFormat="1" ht="14.25" customHeight="1" thickBot="1">
      <c r="A175" s="1079" t="s">
        <v>1409</v>
      </c>
      <c r="B175" s="1073" t="s">
        <v>1250</v>
      </c>
      <c r="C175" s="1073">
        <v>7850</v>
      </c>
      <c r="D175" s="1073">
        <v>7820</v>
      </c>
      <c r="E175" s="1073">
        <v>8120</v>
      </c>
      <c r="F175" s="1091">
        <v>1530</v>
      </c>
      <c r="H175" s="1098"/>
    </row>
    <row r="176" spans="1:8" s="1067" customFormat="1" ht="14.25" customHeight="1" thickBot="1">
      <c r="A176" s="1079" t="s">
        <v>1409</v>
      </c>
      <c r="B176" s="1073" t="s">
        <v>1260</v>
      </c>
      <c r="C176" s="1073">
        <v>7620</v>
      </c>
      <c r="D176" s="1073">
        <v>7570</v>
      </c>
      <c r="E176" s="1073">
        <v>7990</v>
      </c>
      <c r="F176" s="1091">
        <v>1480</v>
      </c>
      <c r="H176" s="1098"/>
    </row>
    <row r="177" spans="1:8" s="1067" customFormat="1" ht="14.25" customHeight="1" thickBot="1">
      <c r="A177" s="1079" t="s">
        <v>1409</v>
      </c>
      <c r="B177" s="1073" t="s">
        <v>1269</v>
      </c>
      <c r="C177" s="1073">
        <v>8590</v>
      </c>
      <c r="D177" s="1073">
        <v>8570</v>
      </c>
      <c r="E177" s="1073">
        <v>8740</v>
      </c>
      <c r="F177" s="1091">
        <v>1540</v>
      </c>
      <c r="H177" s="1098"/>
    </row>
    <row r="178" spans="1:8" s="1067" customFormat="1" ht="14.25" customHeight="1" thickBot="1">
      <c r="A178" s="1079" t="s">
        <v>1409</v>
      </c>
      <c r="B178" s="1073" t="s">
        <v>1278</v>
      </c>
      <c r="C178" s="1073">
        <v>7510</v>
      </c>
      <c r="D178" s="1073">
        <v>7470</v>
      </c>
      <c r="E178" s="1073">
        <v>8090</v>
      </c>
      <c r="F178" s="1091">
        <v>1320</v>
      </c>
      <c r="H178" s="1098"/>
    </row>
    <row r="179" spans="1:8" s="1067" customFormat="1" ht="14.25" customHeight="1" thickBot="1">
      <c r="A179" s="1079" t="s">
        <v>1409</v>
      </c>
      <c r="B179" s="1073" t="s">
        <v>1286</v>
      </c>
      <c r="C179" s="1073">
        <v>6380</v>
      </c>
      <c r="D179" s="1073">
        <v>6340</v>
      </c>
      <c r="E179" s="1073">
        <v>6810</v>
      </c>
      <c r="F179" s="1100"/>
      <c r="H179" s="1098"/>
    </row>
    <row r="180" spans="1:8" s="1067" customFormat="1" ht="14.25" customHeight="1" thickBot="1">
      <c r="A180" s="1079" t="s">
        <v>1409</v>
      </c>
      <c r="B180" s="1073" t="s">
        <v>1293</v>
      </c>
      <c r="C180" s="1073">
        <v>7830</v>
      </c>
      <c r="D180" s="1073">
        <v>7800</v>
      </c>
      <c r="E180" s="1073">
        <v>7780</v>
      </c>
      <c r="F180" s="1091">
        <v>1440</v>
      </c>
      <c r="H180" s="1098"/>
    </row>
    <row r="181" spans="1:8" s="1067" customFormat="1" ht="14.25" customHeight="1" thickBot="1">
      <c r="A181" s="1079" t="s">
        <v>1409</v>
      </c>
      <c r="B181" s="1073" t="s">
        <v>1300</v>
      </c>
      <c r="C181" s="1073">
        <v>7110</v>
      </c>
      <c r="D181" s="1073">
        <v>7080</v>
      </c>
      <c r="E181" s="1073">
        <v>7730</v>
      </c>
      <c r="F181" s="1091">
        <v>1350</v>
      </c>
      <c r="H181" s="1098"/>
    </row>
    <row r="182" spans="1:8" s="1067" customFormat="1" ht="14.25" customHeight="1" thickBot="1">
      <c r="A182" s="1079" t="s">
        <v>1409</v>
      </c>
      <c r="B182" s="1073" t="s">
        <v>1307</v>
      </c>
      <c r="C182" s="1073">
        <v>7310</v>
      </c>
      <c r="D182" s="1073">
        <v>7280</v>
      </c>
      <c r="E182" s="1073">
        <v>7950</v>
      </c>
      <c r="F182" s="1091">
        <v>1220</v>
      </c>
      <c r="H182" s="1098"/>
    </row>
    <row r="183" spans="1:8" s="1067" customFormat="1" ht="14.25" customHeight="1" thickBot="1">
      <c r="A183" s="1079" t="s">
        <v>1409</v>
      </c>
      <c r="B183" s="1073" t="s">
        <v>1314</v>
      </c>
      <c r="C183" s="1073">
        <v>7470</v>
      </c>
      <c r="D183" s="1073">
        <v>7440</v>
      </c>
      <c r="E183" s="1073">
        <v>7880</v>
      </c>
      <c r="F183" s="1100"/>
      <c r="H183" s="1098"/>
    </row>
    <row r="184" spans="1:8" s="1067" customFormat="1" ht="14.25" customHeight="1" thickBot="1">
      <c r="A184" s="1079" t="s">
        <v>1409</v>
      </c>
      <c r="B184" s="1073" t="s">
        <v>1321</v>
      </c>
      <c r="C184" s="1073">
        <v>6960</v>
      </c>
      <c r="D184" s="1073">
        <v>6930</v>
      </c>
      <c r="E184" s="1073">
        <v>7570</v>
      </c>
      <c r="F184" s="1100"/>
      <c r="H184" s="1098"/>
    </row>
    <row r="185" spans="1:8" s="1067" customFormat="1" ht="14.25" customHeight="1" thickBot="1">
      <c r="A185" s="1079" t="s">
        <v>1409</v>
      </c>
      <c r="B185" s="1073" t="s">
        <v>1328</v>
      </c>
      <c r="C185" s="1073">
        <v>7260</v>
      </c>
      <c r="D185" s="1073">
        <v>7230</v>
      </c>
      <c r="E185" s="1073">
        <v>7710</v>
      </c>
      <c r="F185" s="1091">
        <v>1360</v>
      </c>
      <c r="H185" s="1098"/>
    </row>
    <row r="186" spans="1:8" s="1067" customFormat="1" ht="14.25" customHeight="1" thickBot="1">
      <c r="A186" s="1079" t="s">
        <v>1409</v>
      </c>
      <c r="B186" s="1073" t="s">
        <v>1333</v>
      </c>
      <c r="C186" s="1073"/>
      <c r="D186" s="1073"/>
      <c r="E186" s="1073"/>
      <c r="F186" s="1091">
        <v>1560</v>
      </c>
      <c r="H186" s="1098"/>
    </row>
    <row r="187" spans="1:8" s="1067" customFormat="1" ht="14.25" customHeight="1" thickBot="1">
      <c r="A187" s="1079" t="s">
        <v>1409</v>
      </c>
      <c r="B187" s="1073" t="s">
        <v>1337</v>
      </c>
      <c r="C187" s="1073"/>
      <c r="D187" s="1073"/>
      <c r="E187" s="1073"/>
      <c r="F187" s="1091">
        <v>1560</v>
      </c>
      <c r="H187" s="1098"/>
    </row>
    <row r="188" spans="1:8" s="1067" customFormat="1" ht="14.25" customHeight="1" thickBot="1">
      <c r="A188" s="1079" t="s">
        <v>1409</v>
      </c>
      <c r="B188" s="1073" t="s">
        <v>1342</v>
      </c>
      <c r="C188" s="1073"/>
      <c r="D188" s="1073"/>
      <c r="E188" s="1073"/>
      <c r="F188" s="1091">
        <v>1560</v>
      </c>
      <c r="H188" s="1098"/>
    </row>
    <row r="189" spans="1:8" s="1067" customFormat="1" ht="14.25" customHeight="1" thickBot="1">
      <c r="A189" s="1079" t="s">
        <v>1409</v>
      </c>
      <c r="B189" s="1073" t="s">
        <v>1347</v>
      </c>
      <c r="C189" s="1073"/>
      <c r="D189" s="1073"/>
      <c r="E189" s="1073"/>
      <c r="F189" s="1091">
        <v>1320</v>
      </c>
      <c r="H189" s="1098"/>
    </row>
    <row r="190" spans="1:8" s="1067" customFormat="1" ht="14.25" customHeight="1" thickBot="1">
      <c r="A190" s="1079" t="s">
        <v>1409</v>
      </c>
      <c r="B190" s="1073" t="s">
        <v>1352</v>
      </c>
      <c r="C190" s="1073"/>
      <c r="D190" s="1073"/>
      <c r="E190" s="1073"/>
      <c r="F190" s="1091">
        <v>1320</v>
      </c>
      <c r="H190" s="1098"/>
    </row>
    <row r="191" spans="1:8" s="1067" customFormat="1" ht="14.25" customHeight="1" thickBot="1">
      <c r="A191" s="1079" t="s">
        <v>1409</v>
      </c>
      <c r="B191" s="1073" t="s">
        <v>1357</v>
      </c>
      <c r="C191" s="1073"/>
      <c r="D191" s="1073"/>
      <c r="E191" s="1073"/>
      <c r="F191" s="1091">
        <v>1320</v>
      </c>
      <c r="H191" s="1098"/>
    </row>
    <row r="192" spans="1:8" s="1067" customFormat="1" ht="14.25" customHeight="1" thickBot="1">
      <c r="A192" s="1079" t="s">
        <v>1409</v>
      </c>
      <c r="B192" s="1073" t="s">
        <v>1361</v>
      </c>
      <c r="C192" s="1073"/>
      <c r="D192" s="1073"/>
      <c r="E192" s="1073"/>
      <c r="F192" s="1091">
        <v>1100</v>
      </c>
      <c r="H192" s="1098"/>
    </row>
    <row r="193" spans="1:8" s="1067" customFormat="1" ht="14.25" customHeight="1" thickBot="1">
      <c r="A193" s="1079" t="s">
        <v>1409</v>
      </c>
      <c r="B193" s="1073" t="s">
        <v>1365</v>
      </c>
      <c r="C193" s="1073"/>
      <c r="D193" s="1073"/>
      <c r="E193" s="1073"/>
      <c r="F193" s="1091">
        <v>1100</v>
      </c>
      <c r="H193" s="1098"/>
    </row>
    <row r="194" spans="1:8" s="1067" customFormat="1" ht="14.25" customHeight="1" thickBot="1">
      <c r="A194" s="1079" t="s">
        <v>1409</v>
      </c>
      <c r="B194" s="1073" t="s">
        <v>1369</v>
      </c>
      <c r="C194" s="1073"/>
      <c r="D194" s="1073"/>
      <c r="E194" s="1073"/>
      <c r="F194" s="1091">
        <v>1080</v>
      </c>
      <c r="H194" s="1098"/>
    </row>
    <row r="195" spans="1:8" s="1067" customFormat="1" ht="14.25" customHeight="1" thickBot="1">
      <c r="A195" s="1079" t="s">
        <v>1409</v>
      </c>
      <c r="B195" s="1073" t="s">
        <v>1373</v>
      </c>
      <c r="C195" s="1073"/>
      <c r="D195" s="1073"/>
      <c r="E195" s="1073"/>
      <c r="F195" s="1091">
        <v>1270</v>
      </c>
      <c r="H195" s="1098"/>
    </row>
    <row r="196" spans="1:8" s="1067" customFormat="1" ht="14.25" customHeight="1" thickBot="1">
      <c r="A196" s="1079" t="s">
        <v>1409</v>
      </c>
      <c r="B196" s="1073" t="s">
        <v>1377</v>
      </c>
      <c r="C196" s="1073"/>
      <c r="D196" s="1073"/>
      <c r="E196" s="1073"/>
      <c r="F196" s="1091">
        <v>1150</v>
      </c>
      <c r="H196" s="1098"/>
    </row>
    <row r="197" spans="1:8" s="1067" customFormat="1" ht="14.25" customHeight="1" thickBot="1">
      <c r="A197" s="1079" t="s">
        <v>1409</v>
      </c>
      <c r="B197" s="1073" t="s">
        <v>1381</v>
      </c>
      <c r="C197" s="1073"/>
      <c r="D197" s="1073"/>
      <c r="E197" s="1073"/>
      <c r="F197" s="1091">
        <v>1330</v>
      </c>
      <c r="H197" s="1098"/>
    </row>
    <row r="198" spans="1:8" s="1067" customFormat="1" ht="14.25" customHeight="1" thickBot="1">
      <c r="A198" s="1079" t="s">
        <v>1409</v>
      </c>
      <c r="B198" s="1073" t="s">
        <v>1384</v>
      </c>
      <c r="C198" s="1073"/>
      <c r="D198" s="1073"/>
      <c r="E198" s="1073"/>
      <c r="F198" s="1091">
        <v>1170</v>
      </c>
      <c r="H198" s="1098"/>
    </row>
    <row r="199" spans="1:8" s="1067" customFormat="1" ht="14.25" customHeight="1" thickBot="1">
      <c r="A199" s="1079" t="s">
        <v>1409</v>
      </c>
      <c r="B199" s="1073" t="s">
        <v>1387</v>
      </c>
      <c r="C199" s="1073"/>
      <c r="D199" s="1073"/>
      <c r="E199" s="1073"/>
      <c r="F199" s="1091">
        <v>1120</v>
      </c>
      <c r="H199" s="1098"/>
    </row>
    <row r="200" spans="1:8" s="1067" customFormat="1" ht="14.25" customHeight="1" thickBot="1">
      <c r="A200" s="1079" t="s">
        <v>1409</v>
      </c>
      <c r="B200" s="1073" t="s">
        <v>1390</v>
      </c>
      <c r="C200" s="1073"/>
      <c r="D200" s="1073"/>
      <c r="E200" s="1073"/>
      <c r="F200" s="1091">
        <v>1120</v>
      </c>
      <c r="H200" s="1098"/>
    </row>
    <row r="201" spans="1:8" s="1067" customFormat="1" ht="14.25" customHeight="1" thickBot="1">
      <c r="A201" s="1079" t="s">
        <v>1409</v>
      </c>
      <c r="B201" s="1073" t="s">
        <v>1393</v>
      </c>
      <c r="C201" s="1073"/>
      <c r="D201" s="1073"/>
      <c r="E201" s="1073"/>
      <c r="F201" s="1091">
        <v>1540</v>
      </c>
      <c r="H201" s="1098"/>
    </row>
    <row r="202" spans="1:8" s="1067" customFormat="1" ht="14.25" customHeight="1" thickBot="1">
      <c r="A202" s="1079" t="s">
        <v>1409</v>
      </c>
      <c r="B202" s="1073" t="s">
        <v>1396</v>
      </c>
      <c r="C202" s="1073"/>
      <c r="D202" s="1073"/>
      <c r="E202" s="1073"/>
      <c r="F202" s="1091">
        <v>1310</v>
      </c>
      <c r="H202" s="1098"/>
    </row>
    <row r="203" spans="1:8" s="1067" customFormat="1" ht="14.25" customHeight="1" thickBot="1">
      <c r="A203" s="1079" t="s">
        <v>1409</v>
      </c>
      <c r="B203" s="1073" t="s">
        <v>1399</v>
      </c>
      <c r="C203" s="1073"/>
      <c r="D203" s="1073"/>
      <c r="E203" s="1073"/>
      <c r="F203" s="1091">
        <v>1310</v>
      </c>
      <c r="H203" s="1098"/>
    </row>
    <row r="204" spans="1:8" s="1067" customFormat="1" ht="14.25" customHeight="1" thickBot="1">
      <c r="A204" s="1079" t="s">
        <v>1409</v>
      </c>
      <c r="B204" s="1073" t="s">
        <v>1401</v>
      </c>
      <c r="C204" s="1073"/>
      <c r="D204" s="1073"/>
      <c r="E204" s="1073"/>
      <c r="F204" s="1091">
        <v>1080</v>
      </c>
      <c r="H204" s="1098"/>
    </row>
    <row r="205" spans="1:8" s="1067" customFormat="1" ht="14.25" customHeight="1" thickBot="1">
      <c r="A205" s="1079" t="s">
        <v>1409</v>
      </c>
      <c r="B205" s="1073" t="s">
        <v>1404</v>
      </c>
      <c r="C205" s="1073"/>
      <c r="D205" s="1073"/>
      <c r="E205" s="1073"/>
      <c r="F205" s="1091">
        <v>1080</v>
      </c>
      <c r="H205" s="1098"/>
    </row>
    <row r="206" spans="1:8" s="1067" customFormat="1" ht="14.25" customHeight="1" thickBot="1">
      <c r="A206" s="1079" t="s">
        <v>1411</v>
      </c>
      <c r="B206" s="1080" t="s">
        <v>1412</v>
      </c>
      <c r="C206" s="1080">
        <v>5450</v>
      </c>
      <c r="D206" s="1080">
        <v>5430</v>
      </c>
      <c r="E206" s="1080">
        <v>5700</v>
      </c>
      <c r="F206" s="1081">
        <v>1020</v>
      </c>
      <c r="H206" s="1098"/>
    </row>
    <row r="207" spans="1:8" s="1067" customFormat="1" ht="14.25" customHeight="1" thickBot="1">
      <c r="A207" s="1079" t="s">
        <v>1411</v>
      </c>
      <c r="B207" s="1073" t="s">
        <v>1075</v>
      </c>
      <c r="C207" s="1073">
        <v>5860</v>
      </c>
      <c r="D207" s="1073">
        <v>5820</v>
      </c>
      <c r="E207" s="1073">
        <v>6050</v>
      </c>
      <c r="F207" s="1091">
        <v>1080</v>
      </c>
      <c r="H207" s="1098"/>
    </row>
    <row r="208" spans="1:8" s="1067" customFormat="1" ht="14.25" customHeight="1" thickBot="1">
      <c r="A208" s="1079" t="s">
        <v>1411</v>
      </c>
      <c r="B208" s="1073" t="s">
        <v>1089</v>
      </c>
      <c r="C208" s="1073">
        <v>4630</v>
      </c>
      <c r="D208" s="1073">
        <v>4600</v>
      </c>
      <c r="E208" s="1073">
        <v>4840</v>
      </c>
      <c r="F208" s="1091">
        <v>900</v>
      </c>
      <c r="H208" s="1098"/>
    </row>
    <row r="209" spans="1:8" s="1067" customFormat="1" ht="14.25" customHeight="1" thickBot="1">
      <c r="A209" s="1079" t="s">
        <v>1411</v>
      </c>
      <c r="B209" s="1073" t="s">
        <v>1102</v>
      </c>
      <c r="C209" s="1073">
        <v>5320</v>
      </c>
      <c r="D209" s="1073">
        <v>5270</v>
      </c>
      <c r="E209" s="1073">
        <v>5540</v>
      </c>
      <c r="F209" s="1091">
        <v>980</v>
      </c>
      <c r="H209" s="1098"/>
    </row>
    <row r="210" spans="1:8" s="1067" customFormat="1" ht="14.25" customHeight="1" thickBot="1">
      <c r="A210" s="1079" t="s">
        <v>1411</v>
      </c>
      <c r="B210" s="1073" t="s">
        <v>1116</v>
      </c>
      <c r="C210" s="1073">
        <v>5760</v>
      </c>
      <c r="D210" s="1073">
        <v>5710</v>
      </c>
      <c r="E210" s="1073">
        <v>6010</v>
      </c>
      <c r="F210" s="1091">
        <v>870</v>
      </c>
      <c r="H210" s="1098"/>
    </row>
    <row r="211" spans="1:8" s="1067" customFormat="1" ht="14.25" customHeight="1" thickBot="1">
      <c r="A211" s="1079" t="s">
        <v>1411</v>
      </c>
      <c r="B211" s="1073" t="s">
        <v>1127</v>
      </c>
      <c r="C211" s="1073">
        <v>4160</v>
      </c>
      <c r="D211" s="1073">
        <v>4100</v>
      </c>
      <c r="E211" s="1073">
        <v>4270</v>
      </c>
      <c r="F211" s="1091">
        <v>790</v>
      </c>
      <c r="H211" s="1098"/>
    </row>
    <row r="212" spans="1:8" s="1067" customFormat="1" ht="14.25" customHeight="1" thickBot="1">
      <c r="A212" s="1079" t="s">
        <v>1411</v>
      </c>
      <c r="B212" s="1073" t="s">
        <v>1138</v>
      </c>
      <c r="C212" s="1073">
        <v>4880</v>
      </c>
      <c r="D212" s="1073">
        <v>4850</v>
      </c>
      <c r="E212" s="1073">
        <v>5110</v>
      </c>
      <c r="F212" s="1091">
        <v>940</v>
      </c>
      <c r="H212" s="1098"/>
    </row>
    <row r="213" spans="1:8" s="1067" customFormat="1" ht="14.25" customHeight="1" thickBot="1">
      <c r="A213" s="1079" t="s">
        <v>1411</v>
      </c>
      <c r="B213" s="1073" t="s">
        <v>1149</v>
      </c>
      <c r="C213" s="1073">
        <v>4640</v>
      </c>
      <c r="D213" s="1073">
        <v>4590</v>
      </c>
      <c r="E213" s="1073">
        <v>4700</v>
      </c>
      <c r="F213" s="1091">
        <v>1030</v>
      </c>
      <c r="H213" s="1098"/>
    </row>
    <row r="214" spans="1:8" s="1067" customFormat="1" ht="14.25" customHeight="1" thickBot="1">
      <c r="A214" s="1079" t="s">
        <v>1411</v>
      </c>
      <c r="B214" s="1073" t="s">
        <v>1161</v>
      </c>
      <c r="C214" s="1073">
        <v>4540</v>
      </c>
      <c r="D214" s="1073">
        <v>4490</v>
      </c>
      <c r="E214" s="1073">
        <v>4610</v>
      </c>
      <c r="F214" s="1100"/>
      <c r="H214" s="1098"/>
    </row>
    <row r="215" spans="1:8" s="1067" customFormat="1" ht="14.25" customHeight="1" thickBot="1">
      <c r="A215" s="1079" t="s">
        <v>1411</v>
      </c>
      <c r="B215" s="1073" t="s">
        <v>1171</v>
      </c>
      <c r="C215" s="1073">
        <v>5280</v>
      </c>
      <c r="D215" s="1073">
        <v>5250</v>
      </c>
      <c r="E215" s="1073">
        <v>5520</v>
      </c>
      <c r="F215" s="1091">
        <v>1000</v>
      </c>
      <c r="H215" s="1098"/>
    </row>
    <row r="216" spans="1:8" s="1067" customFormat="1" ht="14.25" customHeight="1" thickBot="1">
      <c r="A216" s="1079" t="s">
        <v>1411</v>
      </c>
      <c r="B216" s="1073" t="s">
        <v>1181</v>
      </c>
      <c r="C216" s="1073">
        <v>5100</v>
      </c>
      <c r="D216" s="1073">
        <v>5050</v>
      </c>
      <c r="E216" s="1073">
        <v>5300</v>
      </c>
      <c r="F216" s="1091">
        <v>950</v>
      </c>
      <c r="H216" s="1098"/>
    </row>
    <row r="217" spans="1:8" s="1067" customFormat="1" ht="14.25" customHeight="1" thickBot="1">
      <c r="A217" s="1079" t="s">
        <v>1411</v>
      </c>
      <c r="B217" s="1073" t="s">
        <v>1191</v>
      </c>
      <c r="C217" s="1073">
        <v>5370</v>
      </c>
      <c r="D217" s="1073">
        <v>5320</v>
      </c>
      <c r="E217" s="1073">
        <v>5410</v>
      </c>
      <c r="F217" s="1091">
        <v>950</v>
      </c>
      <c r="H217" s="1098"/>
    </row>
    <row r="218" spans="1:8" s="1067" customFormat="1" ht="14.25" customHeight="1" thickBot="1">
      <c r="A218" s="1079" t="s">
        <v>1411</v>
      </c>
      <c r="B218" s="1073" t="s">
        <v>1201</v>
      </c>
      <c r="C218" s="1073">
        <v>5540</v>
      </c>
      <c r="D218" s="1073">
        <v>5480</v>
      </c>
      <c r="E218" s="1073">
        <v>5740</v>
      </c>
      <c r="F218" s="1091">
        <v>1020</v>
      </c>
      <c r="H218" s="1098"/>
    </row>
    <row r="219" spans="1:8" s="1067" customFormat="1" ht="14.25" customHeight="1" thickBot="1">
      <c r="A219" s="1079" t="s">
        <v>1411</v>
      </c>
      <c r="B219" s="1073" t="s">
        <v>1211</v>
      </c>
      <c r="C219" s="1073">
        <v>5140</v>
      </c>
      <c r="D219" s="1073">
        <v>5100</v>
      </c>
      <c r="E219" s="1073">
        <v>5350</v>
      </c>
      <c r="F219" s="1091">
        <v>1120</v>
      </c>
      <c r="H219" s="1098"/>
    </row>
    <row r="220" spans="1:8" s="1067" customFormat="1" ht="14.25" customHeight="1" thickBot="1">
      <c r="A220" s="1079" t="s">
        <v>1411</v>
      </c>
      <c r="B220" s="1073" t="s">
        <v>1221</v>
      </c>
      <c r="C220" s="1073">
        <v>5040</v>
      </c>
      <c r="D220" s="1073">
        <v>5000</v>
      </c>
      <c r="E220" s="1073">
        <v>5240</v>
      </c>
      <c r="F220" s="1091">
        <v>980</v>
      </c>
      <c r="H220" s="1098"/>
    </row>
    <row r="221" spans="1:8" s="1067" customFormat="1" ht="14.25" customHeight="1" thickBot="1">
      <c r="A221" s="1079" t="s">
        <v>1411</v>
      </c>
      <c r="B221" s="1073" t="s">
        <v>1231</v>
      </c>
      <c r="C221" s="1101"/>
      <c r="D221" s="1101"/>
      <c r="E221" s="1101"/>
      <c r="F221" s="1091">
        <v>1070</v>
      </c>
      <c r="H221" s="1098"/>
    </row>
    <row r="222" spans="1:8" s="1067" customFormat="1" ht="14.25" customHeight="1" thickBot="1">
      <c r="A222" s="1079" t="s">
        <v>1411</v>
      </c>
      <c r="B222" s="1073" t="s">
        <v>1241</v>
      </c>
      <c r="C222" s="1101"/>
      <c r="D222" s="1101"/>
      <c r="E222" s="1101"/>
      <c r="F222" s="1091">
        <v>870</v>
      </c>
      <c r="H222" s="1098"/>
    </row>
    <row r="223" spans="1:8" s="1067" customFormat="1" ht="14.25" customHeight="1" thickBot="1">
      <c r="A223" s="1079" t="s">
        <v>1411</v>
      </c>
      <c r="B223" s="1073" t="s">
        <v>1251</v>
      </c>
      <c r="C223" s="1101"/>
      <c r="D223" s="1101"/>
      <c r="E223" s="1101"/>
      <c r="F223" s="1091">
        <v>940</v>
      </c>
      <c r="H223" s="1098"/>
    </row>
    <row r="224" spans="1:8" s="1067" customFormat="1" ht="14.25" customHeight="1" thickBot="1">
      <c r="A224" s="1079" t="s">
        <v>1411</v>
      </c>
      <c r="B224" s="1073" t="s">
        <v>1261</v>
      </c>
      <c r="C224" s="1101"/>
      <c r="D224" s="1101"/>
      <c r="E224" s="1101"/>
      <c r="F224" s="1091">
        <v>990</v>
      </c>
      <c r="H224" s="1098"/>
    </row>
    <row r="225" spans="1:8" s="1067" customFormat="1" ht="14.25" customHeight="1" thickBot="1">
      <c r="A225" s="1079" t="s">
        <v>1411</v>
      </c>
      <c r="B225" s="1073" t="s">
        <v>1270</v>
      </c>
      <c r="C225" s="1073">
        <v>5730</v>
      </c>
      <c r="D225" s="1073">
        <v>5680</v>
      </c>
      <c r="E225" s="1073">
        <v>6020</v>
      </c>
      <c r="F225" s="1091">
        <v>1000</v>
      </c>
      <c r="H225" s="1098"/>
    </row>
    <row r="226" spans="1:8" s="1067" customFormat="1" ht="14.25" customHeight="1" thickBot="1">
      <c r="A226" s="1079" t="s">
        <v>1411</v>
      </c>
      <c r="B226" s="1073" t="s">
        <v>1279</v>
      </c>
      <c r="C226" s="1073">
        <v>4970</v>
      </c>
      <c r="D226" s="1073">
        <v>4940</v>
      </c>
      <c r="E226" s="1073">
        <v>5180</v>
      </c>
      <c r="F226" s="1091">
        <v>960</v>
      </c>
      <c r="H226" s="1098"/>
    </row>
    <row r="227" spans="1:8" s="1067" customFormat="1" ht="14.25" customHeight="1" thickBot="1">
      <c r="A227" s="1079" t="s">
        <v>1411</v>
      </c>
      <c r="B227" s="1073" t="s">
        <v>1287</v>
      </c>
      <c r="C227" s="1073">
        <v>5550</v>
      </c>
      <c r="D227" s="1073">
        <v>5500</v>
      </c>
      <c r="E227" s="1073">
        <v>5780</v>
      </c>
      <c r="F227" s="1091">
        <v>940</v>
      </c>
      <c r="H227" s="1098"/>
    </row>
    <row r="228" spans="1:8" s="1067" customFormat="1" ht="14.25" customHeight="1" thickBot="1">
      <c r="A228" s="1079" t="s">
        <v>1411</v>
      </c>
      <c r="B228" s="1073" t="s">
        <v>1294</v>
      </c>
      <c r="C228" s="1073">
        <v>5460</v>
      </c>
      <c r="D228" s="1073">
        <v>5420</v>
      </c>
      <c r="E228" s="1073">
        <v>5690</v>
      </c>
      <c r="F228" s="1091">
        <v>910</v>
      </c>
      <c r="H228" s="1098"/>
    </row>
    <row r="229" spans="1:8" s="1067" customFormat="1" ht="14.25" customHeight="1" thickBot="1">
      <c r="A229" s="1079" t="s">
        <v>1411</v>
      </c>
      <c r="B229" s="1073" t="s">
        <v>1301</v>
      </c>
      <c r="C229" s="1073">
        <v>5310</v>
      </c>
      <c r="D229" s="1073">
        <v>5270</v>
      </c>
      <c r="E229" s="1073">
        <v>5510</v>
      </c>
      <c r="F229" s="1100"/>
      <c r="H229" s="1098"/>
    </row>
    <row r="230" spans="1:8" s="1067" customFormat="1" ht="14.25" customHeight="1" thickBot="1">
      <c r="A230" s="1079" t="s">
        <v>1411</v>
      </c>
      <c r="B230" s="1073" t="s">
        <v>1308</v>
      </c>
      <c r="C230" s="1073">
        <v>4540</v>
      </c>
      <c r="D230" s="1073">
        <v>4500</v>
      </c>
      <c r="E230" s="1073">
        <v>4730</v>
      </c>
      <c r="F230" s="1100"/>
      <c r="H230" s="1098"/>
    </row>
    <row r="231" spans="1:8" s="1067" customFormat="1" ht="14.25" customHeight="1" thickBot="1">
      <c r="A231" s="1079" t="s">
        <v>1411</v>
      </c>
      <c r="B231" s="1073" t="s">
        <v>1315</v>
      </c>
      <c r="C231" s="1073">
        <v>4480</v>
      </c>
      <c r="D231" s="1073">
        <v>4410</v>
      </c>
      <c r="E231" s="1073">
        <v>4640</v>
      </c>
      <c r="F231" s="1100"/>
      <c r="H231" s="1098"/>
    </row>
    <row r="232" spans="1:8" s="1067" customFormat="1" ht="14.25" customHeight="1" thickBot="1">
      <c r="A232" s="1079" t="s">
        <v>1411</v>
      </c>
      <c r="B232" s="1073" t="s">
        <v>1322</v>
      </c>
      <c r="C232" s="1073">
        <v>5670</v>
      </c>
      <c r="D232" s="1073">
        <v>5600</v>
      </c>
      <c r="E232" s="1073">
        <v>5890</v>
      </c>
      <c r="F232" s="1091">
        <v>1150</v>
      </c>
      <c r="H232" s="1098"/>
    </row>
    <row r="233" spans="1:8" s="1067" customFormat="1" ht="14.25" customHeight="1" thickBot="1">
      <c r="A233" s="1079" t="s">
        <v>1411</v>
      </c>
      <c r="B233" s="1073" t="s">
        <v>1329</v>
      </c>
      <c r="C233" s="1073">
        <v>4590</v>
      </c>
      <c r="D233" s="1073">
        <v>4500</v>
      </c>
      <c r="E233" s="1073">
        <v>4600</v>
      </c>
      <c r="F233" s="1100"/>
      <c r="H233" s="1098"/>
    </row>
    <row r="234" spans="1:8" s="1067" customFormat="1" ht="14.25" customHeight="1" thickBot="1">
      <c r="A234" s="1079" t="s">
        <v>1411</v>
      </c>
      <c r="B234" s="1073" t="s">
        <v>2417</v>
      </c>
      <c r="C234" s="1073">
        <v>3990</v>
      </c>
      <c r="D234" s="1073">
        <v>3950</v>
      </c>
      <c r="E234" s="1073">
        <v>4180</v>
      </c>
      <c r="F234" s="1100"/>
      <c r="H234" s="1098"/>
    </row>
    <row r="235" spans="1:8" s="1067" customFormat="1" ht="14.25" customHeight="1" thickBot="1">
      <c r="A235" s="1079" t="s">
        <v>1411</v>
      </c>
      <c r="B235" s="1073" t="s">
        <v>1338</v>
      </c>
      <c r="C235" s="1073">
        <v>5590</v>
      </c>
      <c r="D235" s="1073">
        <v>5540</v>
      </c>
      <c r="E235" s="1073">
        <v>5810</v>
      </c>
      <c r="F235" s="1091">
        <v>970</v>
      </c>
      <c r="H235" s="1098"/>
    </row>
    <row r="236" spans="1:8" s="1067" customFormat="1" ht="14.25" customHeight="1" thickBot="1">
      <c r="A236" s="1079" t="s">
        <v>1411</v>
      </c>
      <c r="B236" s="1073" t="s">
        <v>1343</v>
      </c>
      <c r="C236" s="1073"/>
      <c r="D236" s="1073"/>
      <c r="E236" s="1073"/>
      <c r="F236" s="1091">
        <v>1020</v>
      </c>
      <c r="H236" s="1098"/>
    </row>
    <row r="237" spans="1:8" s="1067" customFormat="1" ht="14.25" customHeight="1" thickBot="1">
      <c r="A237" s="1079" t="s">
        <v>1411</v>
      </c>
      <c r="B237" s="1073" t="s">
        <v>1348</v>
      </c>
      <c r="C237" s="1073"/>
      <c r="D237" s="1073"/>
      <c r="E237" s="1073"/>
      <c r="F237" s="1091">
        <v>960</v>
      </c>
      <c r="H237" s="1098"/>
    </row>
    <row r="238" spans="1:8" s="1067" customFormat="1" ht="14.25" customHeight="1" thickBot="1">
      <c r="A238" s="1079" t="s">
        <v>1411</v>
      </c>
      <c r="B238" s="1073" t="s">
        <v>1353</v>
      </c>
      <c r="C238" s="1073"/>
      <c r="D238" s="1073"/>
      <c r="E238" s="1073"/>
      <c r="F238" s="1091">
        <v>960</v>
      </c>
      <c r="H238" s="1098"/>
    </row>
    <row r="239" spans="1:8" s="1067" customFormat="1" ht="14.25" customHeight="1" thickBot="1">
      <c r="A239" s="1079" t="s">
        <v>1411</v>
      </c>
      <c r="B239" s="1073" t="s">
        <v>1358</v>
      </c>
      <c r="C239" s="1073"/>
      <c r="D239" s="1073"/>
      <c r="E239" s="1073"/>
      <c r="F239" s="1091">
        <v>960</v>
      </c>
      <c r="H239" s="1098"/>
    </row>
    <row r="240" spans="1:8" s="1067" customFormat="1" ht="14.25" customHeight="1" thickBot="1">
      <c r="A240" s="1079" t="s">
        <v>1411</v>
      </c>
      <c r="B240" s="1073" t="s">
        <v>1362</v>
      </c>
      <c r="C240" s="1073"/>
      <c r="D240" s="1073"/>
      <c r="E240" s="1073"/>
      <c r="F240" s="1091">
        <v>990</v>
      </c>
      <c r="H240" s="1098"/>
    </row>
    <row r="241" spans="1:8" s="1067" customFormat="1" ht="14.25" customHeight="1" thickBot="1">
      <c r="A241" s="1079" t="s">
        <v>1411</v>
      </c>
      <c r="B241" s="1073" t="s">
        <v>1366</v>
      </c>
      <c r="C241" s="1073"/>
      <c r="D241" s="1073"/>
      <c r="E241" s="1073"/>
      <c r="F241" s="1091">
        <v>1000</v>
      </c>
      <c r="H241" s="1098"/>
    </row>
    <row r="242" spans="1:8" s="1067" customFormat="1" ht="14.25" customHeight="1" thickBot="1">
      <c r="A242" s="1079" t="s">
        <v>1411</v>
      </c>
      <c r="B242" s="1073" t="s">
        <v>1370</v>
      </c>
      <c r="C242" s="1073"/>
      <c r="D242" s="1073"/>
      <c r="E242" s="1073"/>
      <c r="F242" s="1091">
        <v>980</v>
      </c>
      <c r="H242" s="1098"/>
    </row>
    <row r="243" spans="1:8" s="1067" customFormat="1" ht="14.25" customHeight="1" thickBot="1">
      <c r="A243" s="1079" t="s">
        <v>1411</v>
      </c>
      <c r="B243" s="1073" t="s">
        <v>1374</v>
      </c>
      <c r="C243" s="1073"/>
      <c r="D243" s="1073"/>
      <c r="E243" s="1073"/>
      <c r="F243" s="1091">
        <v>970</v>
      </c>
      <c r="H243" s="1098"/>
    </row>
    <row r="244" spans="1:8" s="1067" customFormat="1" ht="14.25" customHeight="1" thickBot="1">
      <c r="A244" s="1079" t="s">
        <v>1411</v>
      </c>
      <c r="B244" s="1089" t="s">
        <v>1378</v>
      </c>
      <c r="C244" s="1089"/>
      <c r="D244" s="1089"/>
      <c r="E244" s="1089"/>
      <c r="F244" s="1099">
        <v>970</v>
      </c>
      <c r="H244" s="1098"/>
    </row>
    <row r="245" spans="1:8" s="1067" customFormat="1" ht="14.25" customHeight="1" thickBot="1">
      <c r="A245" s="1079" t="s">
        <v>1413</v>
      </c>
      <c r="B245" s="1080" t="s">
        <v>1414</v>
      </c>
      <c r="C245" s="1080">
        <v>4050</v>
      </c>
      <c r="D245" s="1080">
        <v>4020</v>
      </c>
      <c r="E245" s="1080">
        <v>4160</v>
      </c>
      <c r="F245" s="1081">
        <v>840</v>
      </c>
      <c r="H245" s="1098"/>
    </row>
    <row r="246" spans="1:8" s="1067" customFormat="1" ht="14.25" customHeight="1" thickBot="1">
      <c r="A246" s="1079" t="s">
        <v>1413</v>
      </c>
      <c r="B246" s="1073" t="s">
        <v>1076</v>
      </c>
      <c r="C246" s="1073">
        <v>4010</v>
      </c>
      <c r="D246" s="1073">
        <v>3960</v>
      </c>
      <c r="E246" s="1073">
        <v>4130</v>
      </c>
      <c r="F246" s="1091">
        <v>840</v>
      </c>
      <c r="H246" s="1098"/>
    </row>
    <row r="247" spans="1:8" s="1067" customFormat="1" ht="14.25" customHeight="1" thickBot="1">
      <c r="A247" s="1079" t="s">
        <v>1413</v>
      </c>
      <c r="B247" s="1073" t="s">
        <v>1415</v>
      </c>
      <c r="C247" s="1073">
        <v>3170</v>
      </c>
      <c r="D247" s="1073">
        <v>3140</v>
      </c>
      <c r="E247" s="1073">
        <v>3270</v>
      </c>
      <c r="F247" s="1091">
        <v>640</v>
      </c>
      <c r="H247" s="1098"/>
    </row>
    <row r="248" spans="1:8" s="1067" customFormat="1" ht="14.25" customHeight="1" thickBot="1">
      <c r="A248" s="1079" t="s">
        <v>1413</v>
      </c>
      <c r="B248" s="1073" t="s">
        <v>1416</v>
      </c>
      <c r="C248" s="1073">
        <v>3140</v>
      </c>
      <c r="D248" s="1073">
        <v>3120</v>
      </c>
      <c r="E248" s="1073">
        <v>3240</v>
      </c>
      <c r="F248" s="1091">
        <v>620</v>
      </c>
      <c r="H248" s="1098"/>
    </row>
    <row r="249" spans="1:8" s="1067" customFormat="1" ht="14.25" customHeight="1" thickBot="1">
      <c r="A249" s="1079" t="s">
        <v>1413</v>
      </c>
      <c r="B249" s="1073" t="s">
        <v>1117</v>
      </c>
      <c r="C249" s="1073">
        <v>3200</v>
      </c>
      <c r="D249" s="1073">
        <v>3100</v>
      </c>
      <c r="E249" s="1073">
        <v>3230</v>
      </c>
      <c r="F249" s="1091">
        <v>750</v>
      </c>
      <c r="H249" s="1098"/>
    </row>
    <row r="250" spans="1:8" s="1067" customFormat="1" ht="14.25" customHeight="1" thickBot="1">
      <c r="A250" s="1079" t="s">
        <v>1413</v>
      </c>
      <c r="B250" s="1073" t="s">
        <v>1128</v>
      </c>
      <c r="C250" s="1073">
        <v>4060</v>
      </c>
      <c r="D250" s="1073">
        <v>4000</v>
      </c>
      <c r="E250" s="1073">
        <v>4140</v>
      </c>
      <c r="F250" s="1091">
        <v>790</v>
      </c>
      <c r="H250" s="1098"/>
    </row>
    <row r="251" spans="1:8" s="1067" customFormat="1" ht="14.25" customHeight="1" thickBot="1">
      <c r="A251" s="1079" t="s">
        <v>1413</v>
      </c>
      <c r="B251" s="1073" t="s">
        <v>1139</v>
      </c>
      <c r="C251" s="1073">
        <v>3990</v>
      </c>
      <c r="D251" s="1073">
        <v>3970</v>
      </c>
      <c r="E251" s="1073">
        <v>4110</v>
      </c>
      <c r="F251" s="1091">
        <v>730</v>
      </c>
      <c r="H251" s="1098"/>
    </row>
    <row r="252" spans="1:8" s="1067" customFormat="1" ht="14.25" customHeight="1" thickBot="1">
      <c r="A252" s="1079" t="s">
        <v>1413</v>
      </c>
      <c r="B252" s="1073" t="s">
        <v>1150</v>
      </c>
      <c r="C252" s="1073">
        <v>3560</v>
      </c>
      <c r="D252" s="1073">
        <v>3530</v>
      </c>
      <c r="E252" s="1073">
        <v>3650</v>
      </c>
      <c r="F252" s="1091">
        <v>750</v>
      </c>
      <c r="H252" s="1098"/>
    </row>
    <row r="253" spans="1:8" s="1067" customFormat="1" ht="14.25" customHeight="1" thickBot="1">
      <c r="A253" s="1079" t="s">
        <v>1413</v>
      </c>
      <c r="B253" s="1073" t="s">
        <v>1162</v>
      </c>
      <c r="C253" s="1073">
        <v>3780</v>
      </c>
      <c r="D253" s="1073">
        <v>3750</v>
      </c>
      <c r="E253" s="1073">
        <v>3870</v>
      </c>
      <c r="F253" s="1091">
        <v>770</v>
      </c>
      <c r="H253" s="1098"/>
    </row>
    <row r="254" spans="1:8" s="1067" customFormat="1" ht="14.25" customHeight="1" thickBot="1">
      <c r="A254" s="1079" t="s">
        <v>1413</v>
      </c>
      <c r="B254" s="1073" t="s">
        <v>1172</v>
      </c>
      <c r="C254" s="1101"/>
      <c r="D254" s="1101"/>
      <c r="E254" s="1101"/>
      <c r="F254" s="1091">
        <v>740</v>
      </c>
      <c r="H254" s="1098"/>
    </row>
    <row r="255" spans="1:8" s="1067" customFormat="1" ht="14.25" customHeight="1" thickBot="1">
      <c r="A255" s="1079" t="s">
        <v>1413</v>
      </c>
      <c r="B255" s="1073" t="s">
        <v>1182</v>
      </c>
      <c r="C255" s="1101"/>
      <c r="D255" s="1101"/>
      <c r="E255" s="1101"/>
      <c r="F255" s="1091">
        <v>760</v>
      </c>
      <c r="H255" s="1098"/>
    </row>
    <row r="256" spans="1:8" s="1067" customFormat="1" ht="14.25" customHeight="1" thickBot="1">
      <c r="A256" s="1079" t="s">
        <v>1413</v>
      </c>
      <c r="B256" s="1073" t="s">
        <v>1192</v>
      </c>
      <c r="C256" s="1073">
        <v>3760</v>
      </c>
      <c r="D256" s="1073">
        <v>3730</v>
      </c>
      <c r="E256" s="1073">
        <v>3870</v>
      </c>
      <c r="F256" s="1091">
        <v>830</v>
      </c>
      <c r="H256" s="1098"/>
    </row>
    <row r="257" spans="1:8" s="1067" customFormat="1" ht="14.25" customHeight="1" thickBot="1">
      <c r="A257" s="1079" t="s">
        <v>1413</v>
      </c>
      <c r="B257" s="1073" t="s">
        <v>1202</v>
      </c>
      <c r="C257" s="1073">
        <v>3570</v>
      </c>
      <c r="D257" s="1073">
        <v>3540</v>
      </c>
      <c r="E257" s="1073">
        <v>3650</v>
      </c>
      <c r="F257" s="1091">
        <v>790</v>
      </c>
      <c r="H257" s="1098"/>
    </row>
    <row r="258" spans="1:8" s="1067" customFormat="1" ht="14.25" customHeight="1" thickBot="1">
      <c r="A258" s="1079" t="s">
        <v>1413</v>
      </c>
      <c r="B258" s="1073" t="s">
        <v>1212</v>
      </c>
      <c r="C258" s="1073">
        <v>3410</v>
      </c>
      <c r="D258" s="1073">
        <v>3380</v>
      </c>
      <c r="E258" s="1073">
        <v>3500</v>
      </c>
      <c r="F258" s="1091">
        <v>830</v>
      </c>
      <c r="H258" s="1098"/>
    </row>
    <row r="259" spans="1:8" s="1067" customFormat="1" ht="14.25" customHeight="1" thickBot="1">
      <c r="A259" s="1079" t="s">
        <v>1413</v>
      </c>
      <c r="B259" s="1073" t="s">
        <v>1222</v>
      </c>
      <c r="C259" s="1073">
        <v>3870</v>
      </c>
      <c r="D259" s="1073">
        <v>3840</v>
      </c>
      <c r="E259" s="1073">
        <v>3970</v>
      </c>
      <c r="F259" s="1091">
        <v>830</v>
      </c>
      <c r="H259" s="1098"/>
    </row>
    <row r="260" spans="1:8" s="1067" customFormat="1" ht="14.25" customHeight="1" thickBot="1">
      <c r="A260" s="1079" t="s">
        <v>1413</v>
      </c>
      <c r="B260" s="1073" t="s">
        <v>1232</v>
      </c>
      <c r="C260" s="1073">
        <v>3700</v>
      </c>
      <c r="D260" s="1073">
        <v>3660</v>
      </c>
      <c r="E260" s="1073">
        <v>3810</v>
      </c>
      <c r="F260" s="1091">
        <v>790</v>
      </c>
      <c r="H260" s="1098"/>
    </row>
    <row r="261" spans="1:8" s="1067" customFormat="1" ht="14.25" customHeight="1" thickBot="1">
      <c r="A261" s="1079" t="s">
        <v>1413</v>
      </c>
      <c r="B261" s="1073" t="s">
        <v>1242</v>
      </c>
      <c r="C261" s="1073">
        <v>3470</v>
      </c>
      <c r="D261" s="1073">
        <v>3430</v>
      </c>
      <c r="E261" s="1073">
        <v>3640</v>
      </c>
      <c r="F261" s="1091">
        <v>760</v>
      </c>
      <c r="H261" s="1098"/>
    </row>
    <row r="262" spans="1:8" s="1067" customFormat="1" ht="14.25" customHeight="1" thickBot="1">
      <c r="A262" s="1079" t="s">
        <v>1413</v>
      </c>
      <c r="B262" s="1073" t="s">
        <v>1252</v>
      </c>
      <c r="C262" s="1073">
        <v>3510</v>
      </c>
      <c r="D262" s="1073">
        <v>3470</v>
      </c>
      <c r="E262" s="1073">
        <v>3680</v>
      </c>
      <c r="F262" s="1100"/>
      <c r="H262" s="1098"/>
    </row>
    <row r="263" spans="1:8" s="1067" customFormat="1" ht="14.25" customHeight="1" thickBot="1">
      <c r="A263" s="1079" t="s">
        <v>1413</v>
      </c>
      <c r="B263" s="1073" t="s">
        <v>1262</v>
      </c>
      <c r="C263" s="1073">
        <v>3960</v>
      </c>
      <c r="D263" s="1073">
        <v>3930</v>
      </c>
      <c r="E263" s="1073">
        <v>4070</v>
      </c>
      <c r="F263" s="1091">
        <v>830</v>
      </c>
      <c r="H263" s="1098"/>
    </row>
    <row r="264" spans="1:8" s="1067" customFormat="1" ht="14.25" customHeight="1" thickBot="1">
      <c r="A264" s="1079" t="s">
        <v>1413</v>
      </c>
      <c r="B264" s="1073" t="s">
        <v>1271</v>
      </c>
      <c r="C264" s="1073">
        <v>4010</v>
      </c>
      <c r="D264" s="1073">
        <v>3980</v>
      </c>
      <c r="E264" s="1073">
        <v>4150</v>
      </c>
      <c r="F264" s="1091">
        <v>760</v>
      </c>
      <c r="H264" s="1098"/>
    </row>
    <row r="265" spans="1:8" s="1067" customFormat="1" ht="14.25" customHeight="1" thickBot="1">
      <c r="A265" s="1079" t="s">
        <v>1413</v>
      </c>
      <c r="B265" s="1073" t="s">
        <v>1280</v>
      </c>
      <c r="C265" s="1073">
        <v>3910</v>
      </c>
      <c r="D265" s="1073">
        <v>3890</v>
      </c>
      <c r="E265" s="1073">
        <v>4040</v>
      </c>
      <c r="F265" s="1091">
        <v>780</v>
      </c>
      <c r="H265" s="1098"/>
    </row>
    <row r="266" spans="1:8" s="1067" customFormat="1" ht="14.25" customHeight="1" thickBot="1">
      <c r="A266" s="1079" t="s">
        <v>1413</v>
      </c>
      <c r="B266" s="1073" t="s">
        <v>1288</v>
      </c>
      <c r="C266" s="1073">
        <v>3930</v>
      </c>
      <c r="D266" s="1073">
        <v>3900</v>
      </c>
      <c r="E266" s="1073">
        <v>4080</v>
      </c>
      <c r="F266" s="1091">
        <v>770</v>
      </c>
      <c r="H266" s="1098"/>
    </row>
    <row r="267" spans="1:8" s="1067" customFormat="1" ht="14.25" customHeight="1" thickBot="1">
      <c r="A267" s="1079" t="s">
        <v>1413</v>
      </c>
      <c r="B267" s="1073" t="s">
        <v>1295</v>
      </c>
      <c r="C267" s="1073">
        <v>3800</v>
      </c>
      <c r="D267" s="1073">
        <v>3780</v>
      </c>
      <c r="E267" s="1073">
        <v>3930</v>
      </c>
      <c r="F267" s="1100"/>
      <c r="H267" s="1098"/>
    </row>
    <row r="268" spans="1:8" s="1067" customFormat="1" ht="14.25" customHeight="1" thickBot="1">
      <c r="A268" s="1079" t="s">
        <v>1413</v>
      </c>
      <c r="B268" s="1073" t="s">
        <v>1302</v>
      </c>
      <c r="C268" s="1073">
        <v>3460</v>
      </c>
      <c r="D268" s="1073">
        <v>3430</v>
      </c>
      <c r="E268" s="1073">
        <v>3560</v>
      </c>
      <c r="F268" s="1091">
        <v>840</v>
      </c>
      <c r="H268" s="1098"/>
    </row>
    <row r="269" spans="1:8" s="1067" customFormat="1" ht="14.25" customHeight="1" thickBot="1">
      <c r="A269" s="1079" t="s">
        <v>1413</v>
      </c>
      <c r="B269" s="1073" t="s">
        <v>1309</v>
      </c>
      <c r="C269" s="1073">
        <v>3210</v>
      </c>
      <c r="D269" s="1073">
        <v>3190</v>
      </c>
      <c r="E269" s="1073">
        <v>3310</v>
      </c>
      <c r="F269" s="1091">
        <v>730</v>
      </c>
      <c r="H269" s="1098"/>
    </row>
    <row r="270" spans="1:8" s="1067" customFormat="1" ht="14.25" customHeight="1" thickBot="1">
      <c r="A270" s="1079" t="s">
        <v>1413</v>
      </c>
      <c r="B270" s="1073" t="s">
        <v>1316</v>
      </c>
      <c r="C270" s="1073">
        <v>3240</v>
      </c>
      <c r="D270" s="1073">
        <v>3210</v>
      </c>
      <c r="E270" s="1073">
        <v>3390</v>
      </c>
      <c r="F270" s="1091">
        <v>820</v>
      </c>
      <c r="H270" s="1098"/>
    </row>
    <row r="271" spans="1:8" s="1067" customFormat="1" ht="14.25" customHeight="1" thickBot="1">
      <c r="A271" s="1079" t="s">
        <v>1413</v>
      </c>
      <c r="B271" s="1073" t="s">
        <v>1323</v>
      </c>
      <c r="C271" s="1073">
        <v>3300</v>
      </c>
      <c r="D271" s="1073">
        <v>3270</v>
      </c>
      <c r="E271" s="1073">
        <v>3380</v>
      </c>
      <c r="F271" s="1091">
        <v>750</v>
      </c>
      <c r="H271" s="1098"/>
    </row>
    <row r="272" spans="1:8" s="1067" customFormat="1" ht="14.25" customHeight="1" thickBot="1">
      <c r="A272" s="1079" t="s">
        <v>1413</v>
      </c>
      <c r="B272" s="1073" t="s">
        <v>1330</v>
      </c>
      <c r="C272" s="1101"/>
      <c r="D272" s="1101"/>
      <c r="E272" s="1101"/>
      <c r="F272" s="1091">
        <v>740</v>
      </c>
      <c r="H272" s="1098"/>
    </row>
    <row r="273" spans="1:8" s="1067" customFormat="1" ht="14.25" customHeight="1" thickBot="1">
      <c r="A273" s="1079" t="s">
        <v>1413</v>
      </c>
      <c r="B273" s="1073" t="s">
        <v>1334</v>
      </c>
      <c r="C273" s="1073">
        <v>3130</v>
      </c>
      <c r="D273" s="1073">
        <v>3100</v>
      </c>
      <c r="E273" s="1073">
        <v>3230</v>
      </c>
      <c r="F273" s="1091">
        <v>700</v>
      </c>
      <c r="H273" s="1098"/>
    </row>
    <row r="274" spans="1:8" s="1067" customFormat="1" ht="14.25" customHeight="1" thickBot="1">
      <c r="A274" s="1079" t="s">
        <v>1413</v>
      </c>
      <c r="B274" s="1073" t="s">
        <v>1339</v>
      </c>
      <c r="C274" s="1073">
        <v>3460</v>
      </c>
      <c r="D274" s="1073">
        <v>3430</v>
      </c>
      <c r="E274" s="1073">
        <v>3560</v>
      </c>
      <c r="F274" s="1091">
        <v>690</v>
      </c>
      <c r="H274" s="1098"/>
    </row>
    <row r="275" spans="1:8" s="1067" customFormat="1" ht="14.25" customHeight="1" thickBot="1">
      <c r="A275" s="1079" t="s">
        <v>1413</v>
      </c>
      <c r="B275" s="1073" t="s">
        <v>1344</v>
      </c>
      <c r="C275" s="1073">
        <v>4040</v>
      </c>
      <c r="D275" s="1073">
        <v>4020</v>
      </c>
      <c r="E275" s="1073">
        <v>4160</v>
      </c>
      <c r="F275" s="1091">
        <v>820</v>
      </c>
      <c r="H275" s="1098"/>
    </row>
    <row r="276" spans="1:8" s="1067" customFormat="1" ht="14.25" customHeight="1" thickBot="1">
      <c r="A276" s="1079" t="s">
        <v>1413</v>
      </c>
      <c r="B276" s="1073" t="s">
        <v>1349</v>
      </c>
      <c r="C276" s="1073">
        <v>3270</v>
      </c>
      <c r="D276" s="1073">
        <v>3240</v>
      </c>
      <c r="E276" s="1073">
        <v>3350</v>
      </c>
      <c r="F276" s="1091">
        <v>680</v>
      </c>
      <c r="H276" s="1098"/>
    </row>
    <row r="277" spans="1:8" s="1067" customFormat="1" ht="14.25" customHeight="1" thickBot="1">
      <c r="A277" s="1079" t="s">
        <v>1413</v>
      </c>
      <c r="B277" s="1073" t="s">
        <v>1354</v>
      </c>
      <c r="C277" s="1073">
        <v>2930</v>
      </c>
      <c r="D277" s="1073">
        <v>2900</v>
      </c>
      <c r="E277" s="1073">
        <v>3000</v>
      </c>
      <c r="F277" s="1091">
        <v>640</v>
      </c>
      <c r="H277" s="1098"/>
    </row>
    <row r="278" spans="1:8" s="1067" customFormat="1" ht="14.25" customHeight="1" thickBot="1">
      <c r="A278" s="1079" t="s">
        <v>1413</v>
      </c>
      <c r="B278" s="1073" t="s">
        <v>1359</v>
      </c>
      <c r="C278" s="1073">
        <v>4080</v>
      </c>
      <c r="D278" s="1073">
        <v>4030</v>
      </c>
      <c r="E278" s="1073">
        <v>4140</v>
      </c>
      <c r="F278" s="1091">
        <v>850</v>
      </c>
      <c r="H278" s="1098"/>
    </row>
    <row r="279" spans="1:8" s="1067" customFormat="1" ht="14.25" customHeight="1" thickBot="1">
      <c r="A279" s="1079" t="s">
        <v>1413</v>
      </c>
      <c r="B279" s="1073" t="s">
        <v>1363</v>
      </c>
      <c r="C279" s="1073"/>
      <c r="D279" s="1073"/>
      <c r="E279" s="1073"/>
      <c r="F279" s="1091">
        <v>760</v>
      </c>
      <c r="H279" s="1098"/>
    </row>
    <row r="280" spans="1:8" s="1067" customFormat="1" ht="14.25" customHeight="1" thickBot="1">
      <c r="A280" s="1079" t="s">
        <v>1413</v>
      </c>
      <c r="B280" s="1073" t="s">
        <v>1367</v>
      </c>
      <c r="C280" s="1073"/>
      <c r="D280" s="1073"/>
      <c r="E280" s="1073"/>
      <c r="F280" s="1091">
        <v>760</v>
      </c>
      <c r="H280" s="1098"/>
    </row>
    <row r="281" spans="1:8" s="1067" customFormat="1" ht="14.25" customHeight="1" thickBot="1">
      <c r="A281" s="1079" t="s">
        <v>1413</v>
      </c>
      <c r="B281" s="1073" t="s">
        <v>1371</v>
      </c>
      <c r="C281" s="1073"/>
      <c r="D281" s="1073"/>
      <c r="E281" s="1073"/>
      <c r="F281" s="1091">
        <v>780</v>
      </c>
      <c r="H281" s="1098"/>
    </row>
    <row r="282" spans="1:8" s="1067" customFormat="1" ht="14.25" customHeight="1" thickBot="1">
      <c r="A282" s="1079" t="s">
        <v>1413</v>
      </c>
      <c r="B282" s="1073" t="s">
        <v>1375</v>
      </c>
      <c r="C282" s="1073"/>
      <c r="D282" s="1073"/>
      <c r="E282" s="1073"/>
      <c r="F282" s="1091">
        <v>730</v>
      </c>
      <c r="H282" s="1098"/>
    </row>
    <row r="283" spans="1:8" s="1067" customFormat="1" ht="14.25" customHeight="1" thickBot="1">
      <c r="A283" s="1079" t="s">
        <v>1413</v>
      </c>
      <c r="B283" s="1073" t="s">
        <v>1379</v>
      </c>
      <c r="C283" s="1073"/>
      <c r="D283" s="1073"/>
      <c r="E283" s="1073"/>
      <c r="F283" s="1091">
        <v>770</v>
      </c>
      <c r="H283" s="1098"/>
    </row>
    <row r="284" spans="1:8" s="1067" customFormat="1" ht="14.25" customHeight="1" thickBot="1">
      <c r="A284" s="1079" t="s">
        <v>1413</v>
      </c>
      <c r="B284" s="1073" t="s">
        <v>1382</v>
      </c>
      <c r="C284" s="1073"/>
      <c r="D284" s="1073"/>
      <c r="E284" s="1073"/>
      <c r="F284" s="1091">
        <v>640</v>
      </c>
      <c r="H284" s="1098"/>
    </row>
    <row r="285" spans="1:8" s="1067" customFormat="1" ht="14.25" customHeight="1" thickBot="1">
      <c r="A285" s="1079" t="s">
        <v>1413</v>
      </c>
      <c r="B285" s="1073" t="s">
        <v>1385</v>
      </c>
      <c r="C285" s="1073"/>
      <c r="D285" s="1073"/>
      <c r="E285" s="1073"/>
      <c r="F285" s="1091">
        <v>640</v>
      </c>
      <c r="H285" s="1098"/>
    </row>
    <row r="286" spans="1:8" s="1067" customFormat="1" ht="14.25" customHeight="1" thickBot="1">
      <c r="A286" s="1079" t="s">
        <v>1413</v>
      </c>
      <c r="B286" s="1073" t="s">
        <v>1388</v>
      </c>
      <c r="C286" s="1073"/>
      <c r="D286" s="1073"/>
      <c r="E286" s="1073"/>
      <c r="F286" s="1091">
        <v>850</v>
      </c>
      <c r="H286" s="1098"/>
    </row>
    <row r="287" spans="1:8" s="1067" customFormat="1" ht="14.25" customHeight="1" thickBot="1">
      <c r="A287" s="1079" t="s">
        <v>1413</v>
      </c>
      <c r="B287" s="1073" t="s">
        <v>1391</v>
      </c>
      <c r="C287" s="1073"/>
      <c r="D287" s="1073"/>
      <c r="E287" s="1073"/>
      <c r="F287" s="1091">
        <v>760</v>
      </c>
      <c r="H287" s="1098"/>
    </row>
    <row r="288" spans="1:8" s="1067" customFormat="1" ht="14.25" customHeight="1" thickBot="1">
      <c r="A288" s="1079" t="s">
        <v>1413</v>
      </c>
      <c r="B288" s="1073" t="s">
        <v>1394</v>
      </c>
      <c r="C288" s="1073"/>
      <c r="D288" s="1073"/>
      <c r="E288" s="1073"/>
      <c r="F288" s="1091">
        <v>830</v>
      </c>
      <c r="H288" s="1098"/>
    </row>
    <row r="289" spans="1:8" s="1067" customFormat="1" ht="14.25" customHeight="1" thickBot="1">
      <c r="A289" s="1079" t="s">
        <v>1413</v>
      </c>
      <c r="B289" s="1089" t="s">
        <v>1397</v>
      </c>
      <c r="C289" s="1089"/>
      <c r="D289" s="1089"/>
      <c r="E289" s="1089"/>
      <c r="F289" s="1099">
        <v>680</v>
      </c>
      <c r="H289" s="1098"/>
    </row>
    <row r="290" spans="1:8" s="1067" customFormat="1" ht="14.25" customHeight="1" thickBot="1">
      <c r="A290" s="1079" t="s">
        <v>1417</v>
      </c>
      <c r="B290" s="1080" t="s">
        <v>1418</v>
      </c>
      <c r="C290" s="1080">
        <v>2770</v>
      </c>
      <c r="D290" s="1080">
        <v>2740</v>
      </c>
      <c r="E290" s="1080">
        <v>2720</v>
      </c>
      <c r="F290" s="1102"/>
      <c r="H290" s="1098"/>
    </row>
    <row r="291" spans="1:8" s="1067" customFormat="1" ht="14.25" customHeight="1" thickBot="1">
      <c r="A291" s="1079" t="s">
        <v>1417</v>
      </c>
      <c r="B291" s="1073" t="s">
        <v>1077</v>
      </c>
      <c r="C291" s="1073">
        <v>2670</v>
      </c>
      <c r="D291" s="1073">
        <v>2640</v>
      </c>
      <c r="E291" s="1073">
        <v>2620</v>
      </c>
      <c r="F291" s="1100"/>
      <c r="H291" s="1098"/>
    </row>
    <row r="292" spans="1:8" s="1067" customFormat="1" ht="14.25" customHeight="1" thickBot="1">
      <c r="A292" s="1079" t="s">
        <v>1417</v>
      </c>
      <c r="B292" s="1073" t="s">
        <v>1419</v>
      </c>
      <c r="C292" s="1073">
        <v>2180</v>
      </c>
      <c r="D292" s="1073">
        <v>2140</v>
      </c>
      <c r="E292" s="1073">
        <v>2120</v>
      </c>
      <c r="F292" s="1091">
        <v>490</v>
      </c>
      <c r="H292" s="1098"/>
    </row>
    <row r="293" spans="1:8" s="1067" customFormat="1" ht="14.25" customHeight="1" thickBot="1">
      <c r="A293" s="1079" t="s">
        <v>1417</v>
      </c>
      <c r="B293" s="1073" t="s">
        <v>1420</v>
      </c>
      <c r="C293" s="1073"/>
      <c r="D293" s="1073"/>
      <c r="E293" s="1073"/>
      <c r="F293" s="1091">
        <v>470</v>
      </c>
      <c r="H293" s="1098"/>
    </row>
    <row r="294" spans="1:8" s="1067" customFormat="1" ht="14.25" customHeight="1" thickBot="1">
      <c r="A294" s="1079" t="s">
        <v>1417</v>
      </c>
      <c r="B294" s="1073" t="s">
        <v>1421</v>
      </c>
      <c r="C294" s="1073">
        <v>2730</v>
      </c>
      <c r="D294" s="1073">
        <v>2700</v>
      </c>
      <c r="E294" s="1073">
        <v>2680</v>
      </c>
      <c r="F294" s="1091">
        <v>490</v>
      </c>
      <c r="H294" s="1098"/>
    </row>
    <row r="295" spans="1:8" s="1067" customFormat="1" ht="14.25" customHeight="1" thickBot="1">
      <c r="A295" s="1079" t="s">
        <v>1417</v>
      </c>
      <c r="B295" s="1073" t="s">
        <v>1118</v>
      </c>
      <c r="C295" s="1073">
        <v>2380</v>
      </c>
      <c r="D295" s="1073">
        <v>2350</v>
      </c>
      <c r="E295" s="1073">
        <v>2330</v>
      </c>
      <c r="F295" s="1091">
        <v>530</v>
      </c>
      <c r="H295" s="1098"/>
    </row>
    <row r="296" spans="1:8" s="1067" customFormat="1" ht="14.25" customHeight="1" thickBot="1">
      <c r="A296" s="1079" t="s">
        <v>1417</v>
      </c>
      <c r="B296" s="1073" t="s">
        <v>1129</v>
      </c>
      <c r="C296" s="1073">
        <v>2650</v>
      </c>
      <c r="D296" s="1073">
        <v>2620</v>
      </c>
      <c r="E296" s="1073">
        <v>2590</v>
      </c>
      <c r="F296" s="1091">
        <v>590</v>
      </c>
      <c r="H296" s="1098"/>
    </row>
    <row r="297" spans="1:8" s="1067" customFormat="1" ht="14.25" customHeight="1" thickBot="1">
      <c r="A297" s="1079" t="s">
        <v>1417</v>
      </c>
      <c r="B297" s="1073" t="s">
        <v>1140</v>
      </c>
      <c r="C297" s="1073">
        <v>2700</v>
      </c>
      <c r="D297" s="1073">
        <v>2670</v>
      </c>
      <c r="E297" s="1073">
        <v>2650</v>
      </c>
      <c r="F297" s="1091">
        <v>630</v>
      </c>
      <c r="H297" s="1098"/>
    </row>
    <row r="298" spans="1:8" s="1067" customFormat="1" ht="14.25" customHeight="1" thickBot="1">
      <c r="A298" s="1079" t="s">
        <v>1417</v>
      </c>
      <c r="B298" s="1073" t="s">
        <v>1151</v>
      </c>
      <c r="C298" s="1073">
        <v>2650</v>
      </c>
      <c r="D298" s="1073">
        <v>2620</v>
      </c>
      <c r="E298" s="1073">
        <v>2590</v>
      </c>
      <c r="F298" s="1091">
        <v>640</v>
      </c>
      <c r="H298" s="1098"/>
    </row>
    <row r="299" spans="1:8" s="1067" customFormat="1" ht="14.25" customHeight="1" thickBot="1">
      <c r="A299" s="1079" t="s">
        <v>1417</v>
      </c>
      <c r="B299" s="1073" t="s">
        <v>1163</v>
      </c>
      <c r="C299" s="1073">
        <v>2500</v>
      </c>
      <c r="D299" s="1073">
        <v>2480</v>
      </c>
      <c r="E299" s="1073">
        <v>2460</v>
      </c>
      <c r="F299" s="1100"/>
      <c r="H299" s="1098"/>
    </row>
    <row r="300" spans="1:8" s="1067" customFormat="1" ht="14.25" customHeight="1" thickBot="1">
      <c r="A300" s="1079" t="s">
        <v>1417</v>
      </c>
      <c r="B300" s="1073" t="s">
        <v>1173</v>
      </c>
      <c r="C300" s="1073">
        <v>2760</v>
      </c>
      <c r="D300" s="1073">
        <v>2730</v>
      </c>
      <c r="E300" s="1073">
        <v>2700</v>
      </c>
      <c r="F300" s="1091">
        <v>630</v>
      </c>
      <c r="H300" s="1098"/>
    </row>
    <row r="301" spans="1:8" s="1067" customFormat="1" ht="14.25" customHeight="1" thickBot="1">
      <c r="A301" s="1079" t="s">
        <v>1417</v>
      </c>
      <c r="B301" s="1073" t="s">
        <v>1183</v>
      </c>
      <c r="C301" s="1073">
        <v>2510</v>
      </c>
      <c r="D301" s="1073">
        <v>2480</v>
      </c>
      <c r="E301" s="1073">
        <v>2460</v>
      </c>
      <c r="F301" s="1100"/>
      <c r="H301" s="1098"/>
    </row>
    <row r="302" spans="1:8" s="1067" customFormat="1" ht="14.25" customHeight="1" thickBot="1">
      <c r="A302" s="1079" t="s">
        <v>1417</v>
      </c>
      <c r="B302" s="1073" t="s">
        <v>1193</v>
      </c>
      <c r="C302" s="1073">
        <v>2480</v>
      </c>
      <c r="D302" s="1073">
        <v>2450</v>
      </c>
      <c r="E302" s="1073">
        <v>2420</v>
      </c>
      <c r="F302" s="1091">
        <v>600</v>
      </c>
      <c r="H302" s="1098"/>
    </row>
    <row r="303" spans="1:8" s="1067" customFormat="1" ht="14.25" customHeight="1" thickBot="1">
      <c r="A303" s="1079" t="s">
        <v>1417</v>
      </c>
      <c r="B303" s="1073" t="s">
        <v>1203</v>
      </c>
      <c r="C303" s="1073">
        <v>2270</v>
      </c>
      <c r="D303" s="1073">
        <v>2240</v>
      </c>
      <c r="E303" s="1073">
        <v>2210</v>
      </c>
      <c r="F303" s="1091">
        <v>540</v>
      </c>
      <c r="H303" s="1098"/>
    </row>
    <row r="304" spans="1:8" s="1067" customFormat="1" ht="14.25" customHeight="1" thickBot="1">
      <c r="A304" s="1079" t="s">
        <v>1417</v>
      </c>
      <c r="B304" s="1073" t="s">
        <v>1213</v>
      </c>
      <c r="C304" s="1073">
        <v>2310</v>
      </c>
      <c r="D304" s="1073">
        <v>2290</v>
      </c>
      <c r="E304" s="1073">
        <v>2270</v>
      </c>
      <c r="F304" s="1100"/>
      <c r="H304" s="1098"/>
    </row>
    <row r="305" spans="1:8" s="1067" customFormat="1" ht="14.25" customHeight="1" thickBot="1">
      <c r="A305" s="1079" t="s">
        <v>1417</v>
      </c>
      <c r="B305" s="1073" t="s">
        <v>1223</v>
      </c>
      <c r="C305" s="1073">
        <v>2490</v>
      </c>
      <c r="D305" s="1073">
        <v>2470</v>
      </c>
      <c r="E305" s="1073">
        <v>2440</v>
      </c>
      <c r="F305" s="1091">
        <v>560</v>
      </c>
      <c r="H305" s="1098"/>
    </row>
    <row r="306" spans="1:8" s="1067" customFormat="1" ht="14.25" customHeight="1" thickBot="1">
      <c r="A306" s="1079" t="s">
        <v>1417</v>
      </c>
      <c r="B306" s="1073" t="s">
        <v>1233</v>
      </c>
      <c r="C306" s="1073">
        <v>2420</v>
      </c>
      <c r="D306" s="1073">
        <v>2400</v>
      </c>
      <c r="E306" s="1073">
        <v>2380</v>
      </c>
      <c r="F306" s="1100"/>
      <c r="H306" s="1098"/>
    </row>
    <row r="307" spans="1:8" s="1067" customFormat="1" ht="14.25" customHeight="1" thickBot="1">
      <c r="A307" s="1079" t="s">
        <v>1417</v>
      </c>
      <c r="B307" s="1073" t="s">
        <v>1243</v>
      </c>
      <c r="C307" s="1073">
        <v>2770</v>
      </c>
      <c r="D307" s="1073">
        <v>2740</v>
      </c>
      <c r="E307" s="1073">
        <v>2710</v>
      </c>
      <c r="F307" s="1091">
        <v>650</v>
      </c>
      <c r="H307" s="1098"/>
    </row>
    <row r="308" spans="1:8" s="1067" customFormat="1" ht="14.25" customHeight="1" thickBot="1">
      <c r="A308" s="1079" t="s">
        <v>1417</v>
      </c>
      <c r="B308" s="1073" t="s">
        <v>1253</v>
      </c>
      <c r="C308" s="1073">
        <v>2610</v>
      </c>
      <c r="D308" s="1073">
        <v>2580</v>
      </c>
      <c r="E308" s="1073">
        <v>2550</v>
      </c>
      <c r="F308" s="1091">
        <v>580</v>
      </c>
      <c r="H308" s="1098"/>
    </row>
    <row r="309" spans="1:8" s="1067" customFormat="1" ht="14.25" customHeight="1" thickBot="1">
      <c r="A309" s="1079" t="s">
        <v>1417</v>
      </c>
      <c r="B309" s="1073" t="s">
        <v>1263</v>
      </c>
      <c r="C309" s="1073">
        <v>2690</v>
      </c>
      <c r="D309" s="1073">
        <v>2670</v>
      </c>
      <c r="E309" s="1073">
        <v>2650</v>
      </c>
      <c r="F309" s="1100"/>
      <c r="H309" s="1098"/>
    </row>
    <row r="310" spans="1:8" s="1067" customFormat="1" ht="14.25" customHeight="1" thickBot="1">
      <c r="A310" s="1079" t="s">
        <v>1417</v>
      </c>
      <c r="B310" s="1073" t="s">
        <v>1272</v>
      </c>
      <c r="C310" s="1073">
        <v>2360</v>
      </c>
      <c r="D310" s="1073">
        <v>2330</v>
      </c>
      <c r="E310" s="1073">
        <v>2310</v>
      </c>
      <c r="F310" s="1091">
        <v>560</v>
      </c>
      <c r="H310" s="1098"/>
    </row>
    <row r="311" spans="1:8" s="1067" customFormat="1" ht="14.25" customHeight="1" thickBot="1">
      <c r="A311" s="1079" t="s">
        <v>1417</v>
      </c>
      <c r="B311" s="1073" t="s">
        <v>1281</v>
      </c>
      <c r="C311" s="1073">
        <v>1970</v>
      </c>
      <c r="D311" s="1073">
        <v>1950</v>
      </c>
      <c r="E311" s="1073">
        <v>1920</v>
      </c>
      <c r="F311" s="1091">
        <v>470</v>
      </c>
      <c r="H311" s="1098"/>
    </row>
    <row r="312" spans="1:8" s="1067" customFormat="1" ht="14.25" customHeight="1" thickBot="1">
      <c r="A312" s="1079" t="s">
        <v>1417</v>
      </c>
      <c r="B312" s="1073" t="s">
        <v>1289</v>
      </c>
      <c r="C312" s="1073">
        <v>2230</v>
      </c>
      <c r="D312" s="1073">
        <v>2200</v>
      </c>
      <c r="E312" s="1073">
        <v>2170</v>
      </c>
      <c r="F312" s="1091">
        <v>460</v>
      </c>
      <c r="H312" s="1098"/>
    </row>
    <row r="313" spans="1:8" s="1067" customFormat="1" ht="14.25" customHeight="1" thickBot="1">
      <c r="A313" s="1079" t="s">
        <v>1417</v>
      </c>
      <c r="B313" s="1073" t="s">
        <v>1296</v>
      </c>
      <c r="C313" s="1073">
        <v>2770</v>
      </c>
      <c r="D313" s="1073">
        <v>2740</v>
      </c>
      <c r="E313" s="1073">
        <v>2710</v>
      </c>
      <c r="F313" s="1091">
        <v>610</v>
      </c>
      <c r="H313" s="1098"/>
    </row>
    <row r="314" spans="1:8" s="1067" customFormat="1" ht="14.25" customHeight="1" thickBot="1">
      <c r="A314" s="1079" t="s">
        <v>1417</v>
      </c>
      <c r="B314" s="1073" t="s">
        <v>1303</v>
      </c>
      <c r="C314" s="1073"/>
      <c r="D314" s="1073"/>
      <c r="E314" s="1073"/>
      <c r="F314" s="1091">
        <v>490</v>
      </c>
      <c r="H314" s="1098"/>
    </row>
    <row r="315" spans="1:8" s="1067" customFormat="1" ht="14.25" customHeight="1" thickBot="1">
      <c r="A315" s="1079" t="s">
        <v>1417</v>
      </c>
      <c r="B315" s="1073" t="s">
        <v>1310</v>
      </c>
      <c r="C315" s="1073"/>
      <c r="D315" s="1073"/>
      <c r="E315" s="1073"/>
      <c r="F315" s="1091">
        <v>520</v>
      </c>
      <c r="H315" s="1098"/>
    </row>
    <row r="316" spans="1:8" s="1067" customFormat="1" ht="14.25" customHeight="1" thickBot="1">
      <c r="A316" s="1079" t="s">
        <v>1417</v>
      </c>
      <c r="B316" s="1089" t="s">
        <v>1317</v>
      </c>
      <c r="C316" s="1089"/>
      <c r="D316" s="1089"/>
      <c r="E316" s="1089"/>
      <c r="F316" s="1099">
        <v>460</v>
      </c>
      <c r="H316" s="1098"/>
    </row>
    <row r="317" spans="1:8" s="1067" customFormat="1" ht="14.25" customHeight="1" thickBot="1">
      <c r="A317" s="1079" t="s">
        <v>914</v>
      </c>
      <c r="B317" s="1080" t="s">
        <v>1422</v>
      </c>
      <c r="C317" s="1080">
        <v>1200</v>
      </c>
      <c r="D317" s="1080">
        <v>1180</v>
      </c>
      <c r="E317" s="1080">
        <v>1160</v>
      </c>
      <c r="F317" s="1081">
        <v>370</v>
      </c>
      <c r="H317" s="1064"/>
    </row>
    <row r="318" spans="1:8" s="1067" customFormat="1" ht="14.25" customHeight="1" thickBot="1">
      <c r="A318" s="1079" t="s">
        <v>914</v>
      </c>
      <c r="B318" s="1073" t="s">
        <v>1423</v>
      </c>
      <c r="C318" s="1073">
        <v>1090</v>
      </c>
      <c r="D318" s="1073">
        <v>1060</v>
      </c>
      <c r="E318" s="1073">
        <v>1040</v>
      </c>
      <c r="F318" s="1100"/>
      <c r="H318" s="1064"/>
    </row>
    <row r="319" spans="1:8" s="1067" customFormat="1" ht="14.25" customHeight="1" thickBot="1">
      <c r="A319" s="1079" t="s">
        <v>914</v>
      </c>
      <c r="B319" s="1073" t="s">
        <v>1424</v>
      </c>
      <c r="C319" s="1073">
        <v>1520</v>
      </c>
      <c r="D319" s="1073">
        <v>1470</v>
      </c>
      <c r="E319" s="1073">
        <v>1440</v>
      </c>
      <c r="F319" s="1091">
        <v>370</v>
      </c>
      <c r="H319" s="1064"/>
    </row>
    <row r="320" spans="1:8" s="1067" customFormat="1" ht="14.25" customHeight="1" thickBot="1">
      <c r="A320" s="1079" t="s">
        <v>914</v>
      </c>
      <c r="B320" s="1073" t="s">
        <v>1105</v>
      </c>
      <c r="C320" s="1073">
        <v>1360</v>
      </c>
      <c r="D320" s="1073">
        <v>1300</v>
      </c>
      <c r="E320" s="1073">
        <v>1270</v>
      </c>
      <c r="F320" s="1100"/>
      <c r="H320" s="1064"/>
    </row>
    <row r="321" spans="1:8" s="1067" customFormat="1" ht="14.25" customHeight="1" thickBot="1">
      <c r="A321" s="1079" t="s">
        <v>914</v>
      </c>
      <c r="B321" s="1073" t="s">
        <v>1119</v>
      </c>
      <c r="C321" s="1073">
        <v>1750</v>
      </c>
      <c r="D321" s="1073">
        <v>1690</v>
      </c>
      <c r="E321" s="1073">
        <v>1660</v>
      </c>
      <c r="F321" s="1100"/>
      <c r="H321" s="1064"/>
    </row>
    <row r="322" spans="1:8" s="1067" customFormat="1" ht="14.25" customHeight="1" thickBot="1">
      <c r="A322" s="1079" t="s">
        <v>914</v>
      </c>
      <c r="B322" s="1073" t="s">
        <v>1130</v>
      </c>
      <c r="C322" s="1073">
        <v>1650</v>
      </c>
      <c r="D322" s="1073">
        <v>1610</v>
      </c>
      <c r="E322" s="1073">
        <v>1580</v>
      </c>
      <c r="F322" s="1091">
        <v>500</v>
      </c>
      <c r="H322" s="1064"/>
    </row>
    <row r="323" spans="1:8" s="1067" customFormat="1" ht="14.25" customHeight="1" thickBot="1">
      <c r="A323" s="1079" t="s">
        <v>914</v>
      </c>
      <c r="B323" s="1073" t="s">
        <v>1141</v>
      </c>
      <c r="C323" s="1073">
        <v>1780</v>
      </c>
      <c r="D323" s="1073">
        <v>1740</v>
      </c>
      <c r="E323" s="1073">
        <v>1720</v>
      </c>
      <c r="F323" s="1100"/>
      <c r="H323" s="1064"/>
    </row>
    <row r="324" spans="1:8" s="1067" customFormat="1" ht="14.25" customHeight="1" thickBot="1">
      <c r="A324" s="1079" t="s">
        <v>914</v>
      </c>
      <c r="B324" s="1073" t="s">
        <v>1152</v>
      </c>
      <c r="C324" s="1073">
        <v>1650</v>
      </c>
      <c r="D324" s="1073">
        <v>1610</v>
      </c>
      <c r="E324" s="1073">
        <v>1580</v>
      </c>
      <c r="F324" s="1100"/>
      <c r="H324" s="1064"/>
    </row>
    <row r="325" spans="1:8" s="1067" customFormat="1" ht="14.25" customHeight="1" thickBot="1">
      <c r="A325" s="1079" t="s">
        <v>914</v>
      </c>
      <c r="B325" s="1073" t="s">
        <v>1164</v>
      </c>
      <c r="C325" s="1073">
        <v>1330</v>
      </c>
      <c r="D325" s="1073">
        <v>1270</v>
      </c>
      <c r="E325" s="1073">
        <v>1240</v>
      </c>
      <c r="F325" s="1091">
        <v>430</v>
      </c>
      <c r="H325" s="1064"/>
    </row>
    <row r="326" spans="1:8" s="1067" customFormat="1" ht="14.25" customHeight="1" thickBot="1">
      <c r="A326" s="1079" t="s">
        <v>914</v>
      </c>
      <c r="B326" s="1073" t="s">
        <v>1174</v>
      </c>
      <c r="C326" s="1073">
        <v>1470</v>
      </c>
      <c r="D326" s="1073">
        <v>1430</v>
      </c>
      <c r="E326" s="1073">
        <v>1400</v>
      </c>
      <c r="F326" s="1100"/>
      <c r="H326" s="1064"/>
    </row>
    <row r="327" spans="1:8" s="1067" customFormat="1" ht="14.25" customHeight="1" thickBot="1">
      <c r="A327" s="1079" t="s">
        <v>914</v>
      </c>
      <c r="B327" s="1073" t="s">
        <v>1184</v>
      </c>
      <c r="C327" s="1073">
        <v>1420</v>
      </c>
      <c r="D327" s="1073">
        <v>1380</v>
      </c>
      <c r="E327" s="1073">
        <v>1360</v>
      </c>
      <c r="F327" s="1091">
        <v>420</v>
      </c>
      <c r="H327" s="1064"/>
    </row>
    <row r="328" spans="1:8" s="1067" customFormat="1" ht="14.25" customHeight="1" thickBot="1">
      <c r="A328" s="1079" t="s">
        <v>914</v>
      </c>
      <c r="B328" s="1073" t="s">
        <v>1194</v>
      </c>
      <c r="C328" s="1073">
        <v>1400</v>
      </c>
      <c r="D328" s="1073">
        <v>1360</v>
      </c>
      <c r="E328" s="1073">
        <v>1330</v>
      </c>
      <c r="F328" s="1091">
        <v>460</v>
      </c>
      <c r="H328" s="1064"/>
    </row>
    <row r="329" spans="1:8" s="1067" customFormat="1" ht="14.25" customHeight="1" thickBot="1">
      <c r="A329" s="1079" t="s">
        <v>914</v>
      </c>
      <c r="B329" s="1073" t="s">
        <v>1204</v>
      </c>
      <c r="C329" s="1073">
        <v>1640</v>
      </c>
      <c r="D329" s="1073">
        <v>1610</v>
      </c>
      <c r="E329" s="1073">
        <v>1580</v>
      </c>
      <c r="F329" s="1091">
        <v>410</v>
      </c>
      <c r="H329" s="1064"/>
    </row>
    <row r="330" spans="1:8" s="1067" customFormat="1" ht="14.25" customHeight="1" thickBot="1">
      <c r="A330" s="1079" t="s">
        <v>914</v>
      </c>
      <c r="B330" s="1073" t="s">
        <v>1214</v>
      </c>
      <c r="C330" s="1073">
        <v>1260</v>
      </c>
      <c r="D330" s="1073">
        <v>1220</v>
      </c>
      <c r="E330" s="1073">
        <v>1200</v>
      </c>
      <c r="F330" s="1100"/>
      <c r="H330" s="1064"/>
    </row>
    <row r="331" spans="1:8" s="1067" customFormat="1" ht="14.25" customHeight="1" thickBot="1">
      <c r="A331" s="1079" t="s">
        <v>914</v>
      </c>
      <c r="B331" s="1073" t="s">
        <v>1224</v>
      </c>
      <c r="C331" s="1073">
        <v>1620</v>
      </c>
      <c r="D331" s="1073">
        <v>1560</v>
      </c>
      <c r="E331" s="1073">
        <v>1530</v>
      </c>
      <c r="F331" s="1091">
        <v>490</v>
      </c>
      <c r="H331" s="1064"/>
    </row>
    <row r="332" spans="1:8" s="1067" customFormat="1" ht="14.25" customHeight="1" thickBot="1">
      <c r="A332" s="1079" t="s">
        <v>914</v>
      </c>
      <c r="B332" s="1073" t="s">
        <v>1234</v>
      </c>
      <c r="C332" s="1073">
        <v>1520</v>
      </c>
      <c r="D332" s="1073">
        <v>1470</v>
      </c>
      <c r="E332" s="1073">
        <v>1440</v>
      </c>
      <c r="F332" s="1091">
        <v>440</v>
      </c>
      <c r="H332" s="1064"/>
    </row>
    <row r="333" spans="1:8" s="1067" customFormat="1" ht="14.25" customHeight="1" thickBot="1">
      <c r="A333" s="1079" t="s">
        <v>914</v>
      </c>
      <c r="B333" s="1073" t="s">
        <v>1244</v>
      </c>
      <c r="C333" s="1073">
        <v>1370</v>
      </c>
      <c r="D333" s="1073">
        <v>1320</v>
      </c>
      <c r="E333" s="1073">
        <v>1300</v>
      </c>
      <c r="F333" s="1091">
        <v>460</v>
      </c>
      <c r="H333" s="1064"/>
    </row>
    <row r="334" spans="1:8" s="1067" customFormat="1" ht="14.25" customHeight="1" thickBot="1">
      <c r="A334" s="1079" t="s">
        <v>914</v>
      </c>
      <c r="B334" s="1073" t="s">
        <v>1254</v>
      </c>
      <c r="C334" s="1073">
        <v>1410</v>
      </c>
      <c r="D334" s="1073">
        <v>1340</v>
      </c>
      <c r="E334" s="1073">
        <v>1310</v>
      </c>
      <c r="F334" s="1091">
        <v>410</v>
      </c>
      <c r="H334" s="1064"/>
    </row>
    <row r="335" spans="1:8" s="1067" customFormat="1" ht="14.25" customHeight="1" thickBot="1">
      <c r="A335" s="1079" t="s">
        <v>914</v>
      </c>
      <c r="B335" s="1073" t="s">
        <v>1264</v>
      </c>
      <c r="C335" s="1073">
        <v>1260</v>
      </c>
      <c r="D335" s="1073">
        <v>1220</v>
      </c>
      <c r="E335" s="1073">
        <v>1200</v>
      </c>
      <c r="F335" s="1100"/>
      <c r="H335" s="1064"/>
    </row>
    <row r="336" spans="1:8" s="1067" customFormat="1" ht="14.25" customHeight="1" thickBot="1">
      <c r="A336" s="1079" t="s">
        <v>914</v>
      </c>
      <c r="B336" s="1073" t="s">
        <v>1273</v>
      </c>
      <c r="C336" s="1073">
        <v>1160</v>
      </c>
      <c r="D336" s="1073">
        <v>1140</v>
      </c>
      <c r="E336" s="1073">
        <v>1120</v>
      </c>
      <c r="F336" s="1091">
        <v>430</v>
      </c>
      <c r="H336" s="1064"/>
    </row>
    <row r="337" spans="1:8" s="1067" customFormat="1" ht="14.25" customHeight="1" thickBot="1">
      <c r="A337" s="1079" t="s">
        <v>914</v>
      </c>
      <c r="B337" s="1089" t="s">
        <v>1282</v>
      </c>
      <c r="C337" s="1089"/>
      <c r="D337" s="1089"/>
      <c r="E337" s="1089"/>
      <c r="F337" s="1099">
        <v>380</v>
      </c>
      <c r="H337" s="1064"/>
    </row>
    <row r="338" spans="1:8" s="1067" customFormat="1" ht="14.25" customHeight="1" thickBot="1">
      <c r="A338" s="1079" t="s">
        <v>915</v>
      </c>
      <c r="B338" s="1080" t="s">
        <v>1425</v>
      </c>
      <c r="C338" s="1080">
        <v>880</v>
      </c>
      <c r="D338" s="1080">
        <v>850</v>
      </c>
      <c r="E338" s="1080">
        <v>830</v>
      </c>
      <c r="F338" s="1102"/>
      <c r="H338" s="1064"/>
    </row>
    <row r="339" spans="1:8" s="1067" customFormat="1" ht="14.25" customHeight="1" thickBot="1">
      <c r="A339" s="1079" t="s">
        <v>915</v>
      </c>
      <c r="B339" s="1073" t="s">
        <v>1426</v>
      </c>
      <c r="C339" s="1073">
        <v>830</v>
      </c>
      <c r="D339" s="1073">
        <v>800</v>
      </c>
      <c r="E339" s="1073">
        <v>780</v>
      </c>
      <c r="F339" s="1100"/>
      <c r="H339" s="1064"/>
    </row>
    <row r="340" spans="1:8" s="1067" customFormat="1" ht="14.25" customHeight="1" thickBot="1">
      <c r="A340" s="1079" t="s">
        <v>915</v>
      </c>
      <c r="B340" s="1073" t="s">
        <v>1427</v>
      </c>
      <c r="C340" s="1073">
        <v>980</v>
      </c>
      <c r="D340" s="1073">
        <v>950</v>
      </c>
      <c r="E340" s="1073">
        <v>920</v>
      </c>
      <c r="F340" s="1100"/>
      <c r="H340" s="1064"/>
    </row>
    <row r="341" spans="1:8" s="1067" customFormat="1" ht="14.25" customHeight="1" thickBot="1">
      <c r="A341" s="1079" t="s">
        <v>915</v>
      </c>
      <c r="B341" s="1073" t="s">
        <v>1428</v>
      </c>
      <c r="C341" s="1073">
        <v>760</v>
      </c>
      <c r="D341" s="1073">
        <v>720</v>
      </c>
      <c r="E341" s="1073">
        <v>690</v>
      </c>
      <c r="F341" s="1091">
        <v>350</v>
      </c>
      <c r="H341" s="1064"/>
    </row>
    <row r="342" spans="1:8" s="1067" customFormat="1" ht="14.25" customHeight="1" thickBot="1">
      <c r="A342" s="1079" t="s">
        <v>915</v>
      </c>
      <c r="B342" s="1073" t="s">
        <v>1120</v>
      </c>
      <c r="C342" s="1073">
        <v>910</v>
      </c>
      <c r="D342" s="1073">
        <v>870</v>
      </c>
      <c r="E342" s="1073">
        <v>850</v>
      </c>
      <c r="F342" s="1091">
        <v>370</v>
      </c>
      <c r="H342" s="1064"/>
    </row>
    <row r="343" spans="1:8" s="1067" customFormat="1" ht="14.25" customHeight="1" thickBot="1">
      <c r="A343" s="1079" t="s">
        <v>915</v>
      </c>
      <c r="B343" s="1073" t="s">
        <v>1131</v>
      </c>
      <c r="C343" s="1073">
        <v>800</v>
      </c>
      <c r="D343" s="1073">
        <v>760</v>
      </c>
      <c r="E343" s="1073">
        <v>730</v>
      </c>
      <c r="F343" s="1091">
        <v>340</v>
      </c>
      <c r="H343" s="1064"/>
    </row>
    <row r="344" spans="1:8" s="1067" customFormat="1" ht="14.25" customHeight="1" thickBot="1">
      <c r="A344" s="1079" t="s">
        <v>915</v>
      </c>
      <c r="B344" s="1089" t="s">
        <v>1142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69" t="s">
        <v>2076</v>
      </c>
      <c r="B1" s="3469"/>
    </row>
    <row r="2" spans="1:6" ht="14.25" thickBot="1">
      <c r="A2" s="1847"/>
      <c r="B2" s="1847"/>
    </row>
    <row r="3" spans="1:6" ht="14.25" thickBot="1">
      <c r="A3" s="1847"/>
      <c r="B3" s="1847"/>
      <c r="C3" s="1848" t="s">
        <v>2077</v>
      </c>
      <c r="D3" s="1848" t="s">
        <v>2078</v>
      </c>
      <c r="E3" s="1848" t="s">
        <v>2079</v>
      </c>
      <c r="F3" s="1848" t="s">
        <v>2080</v>
      </c>
    </row>
    <row r="4" spans="1:6" ht="14.25" thickBot="1">
      <c r="A4" s="1849" t="s">
        <v>2081</v>
      </c>
      <c r="B4" s="1850" t="s">
        <v>2082</v>
      </c>
      <c r="C4" s="1848"/>
      <c r="D4" s="1848"/>
      <c r="E4" s="1848"/>
      <c r="F4" s="1848"/>
    </row>
    <row r="5" spans="1:6" ht="14.25" thickBot="1">
      <c r="A5" s="1851" t="s">
        <v>2083</v>
      </c>
      <c r="B5" s="1852" t="s">
        <v>2084</v>
      </c>
      <c r="C5" s="1853">
        <v>8.8999999999999996E-2</v>
      </c>
      <c r="D5" s="1853">
        <v>7.3999999999999996E-2</v>
      </c>
      <c r="E5" s="1853">
        <v>7.4999999999999997E-2</v>
      </c>
      <c r="F5" s="1854">
        <v>0.1</v>
      </c>
    </row>
    <row r="6" spans="1:6" ht="14.25" thickBot="1">
      <c r="A6" s="1851" t="s">
        <v>1094</v>
      </c>
      <c r="B6" s="1855" t="s">
        <v>2085</v>
      </c>
      <c r="C6" s="1856">
        <v>0.1</v>
      </c>
      <c r="D6" s="1856">
        <v>9.0999999999999998E-2</v>
      </c>
      <c r="E6" s="1856">
        <v>9.0999999999999998E-2</v>
      </c>
      <c r="F6" s="1857">
        <v>0.1</v>
      </c>
    </row>
    <row r="7" spans="1:6" ht="14.25" thickBot="1">
      <c r="A7" s="1851" t="s">
        <v>1094</v>
      </c>
      <c r="B7" s="1858" t="s">
        <v>1082</v>
      </c>
      <c r="C7" s="1856">
        <v>8.5999999999999993E-2</v>
      </c>
      <c r="D7" s="1856">
        <v>9.6000000000000002E-2</v>
      </c>
      <c r="E7" s="1856">
        <v>7.5999999999999998E-2</v>
      </c>
      <c r="F7" s="1857">
        <v>0.1</v>
      </c>
    </row>
    <row r="8" spans="1:6" ht="14.25" thickBot="1">
      <c r="A8" s="1851" t="s">
        <v>1094</v>
      </c>
      <c r="B8" s="1855" t="s">
        <v>1095</v>
      </c>
      <c r="C8" s="1856">
        <v>9.9000000000000005E-2</v>
      </c>
      <c r="D8" s="1856">
        <v>9.8000000000000004E-2</v>
      </c>
      <c r="E8" s="1856">
        <v>9.8000000000000004E-2</v>
      </c>
      <c r="F8" s="1857">
        <v>0.1</v>
      </c>
    </row>
    <row r="9" spans="1:6" ht="14.25" thickBot="1">
      <c r="A9" s="1859" t="s">
        <v>1094</v>
      </c>
      <c r="B9" s="1860" t="s">
        <v>1109</v>
      </c>
      <c r="C9" s="1861">
        <v>0.05</v>
      </c>
      <c r="D9" s="1862"/>
      <c r="E9" s="1862"/>
      <c r="F9" s="1863"/>
    </row>
    <row r="10" spans="1:6" ht="14.25" thickBot="1">
      <c r="A10" s="1851" t="s">
        <v>1153</v>
      </c>
      <c r="B10" s="1852" t="s">
        <v>2086</v>
      </c>
      <c r="C10" s="1853">
        <v>8.8999999999999996E-2</v>
      </c>
      <c r="D10" s="1853">
        <v>7.2999999999999995E-2</v>
      </c>
      <c r="E10" s="1853">
        <v>8.2000000000000003E-2</v>
      </c>
      <c r="F10" s="1854">
        <v>0.1</v>
      </c>
    </row>
    <row r="11" spans="1:6" ht="14.25" thickBot="1">
      <c r="A11" s="1851" t="s">
        <v>1153</v>
      </c>
      <c r="B11" s="1858" t="s">
        <v>1069</v>
      </c>
      <c r="C11" s="1856">
        <v>8.8999999999999996E-2</v>
      </c>
      <c r="D11" s="1856">
        <v>7.2999999999999995E-2</v>
      </c>
      <c r="E11" s="1856">
        <v>8.2000000000000003E-2</v>
      </c>
      <c r="F11" s="1857">
        <v>0.1</v>
      </c>
    </row>
    <row r="12" spans="1:6" ht="14.25" thickBot="1">
      <c r="A12" s="1851" t="s">
        <v>1153</v>
      </c>
      <c r="B12" s="1858" t="s">
        <v>1083</v>
      </c>
      <c r="C12" s="1856">
        <v>6.0999999999999999E-2</v>
      </c>
      <c r="D12" s="1856">
        <v>7.0999999999999994E-2</v>
      </c>
      <c r="E12" s="1856">
        <v>9.6000000000000002E-2</v>
      </c>
      <c r="F12" s="1857">
        <v>0.1</v>
      </c>
    </row>
    <row r="13" spans="1:6" ht="14.25" thickBot="1">
      <c r="A13" s="1851" t="s">
        <v>1153</v>
      </c>
      <c r="B13" s="1858" t="s">
        <v>1096</v>
      </c>
      <c r="C13" s="1856">
        <v>6.9000000000000006E-2</v>
      </c>
      <c r="D13" s="1856">
        <v>6.5000000000000002E-2</v>
      </c>
      <c r="E13" s="1856">
        <v>6.6000000000000003E-2</v>
      </c>
      <c r="F13" s="1857">
        <v>0.1</v>
      </c>
    </row>
    <row r="14" spans="1:6" ht="14.25" thickBot="1">
      <c r="A14" s="1851" t="s">
        <v>1153</v>
      </c>
      <c r="B14" s="1858" t="s">
        <v>1110</v>
      </c>
      <c r="C14" s="1856">
        <v>0.1</v>
      </c>
      <c r="D14" s="1856">
        <v>6.5000000000000002E-2</v>
      </c>
      <c r="E14" s="1856">
        <v>7.0000000000000007E-2</v>
      </c>
      <c r="F14" s="1857">
        <v>0.1</v>
      </c>
    </row>
    <row r="15" spans="1:6" ht="14.25" thickBot="1">
      <c r="A15" s="1851" t="s">
        <v>1153</v>
      </c>
      <c r="B15" s="1858" t="s">
        <v>1121</v>
      </c>
      <c r="C15" s="1856">
        <v>9.8000000000000004E-2</v>
      </c>
      <c r="D15" s="1856">
        <v>8.8999999999999996E-2</v>
      </c>
      <c r="E15" s="1856">
        <v>8.8999999999999996E-2</v>
      </c>
      <c r="F15" s="1857">
        <v>0.1</v>
      </c>
    </row>
    <row r="16" spans="1:6" ht="14.25" thickBot="1">
      <c r="A16" s="1851" t="s">
        <v>1153</v>
      </c>
      <c r="B16" s="1858" t="s">
        <v>1132</v>
      </c>
      <c r="C16" s="1856">
        <v>7.0000000000000007E-2</v>
      </c>
      <c r="D16" s="1856">
        <v>9.2999999999999999E-2</v>
      </c>
      <c r="E16" s="1856">
        <v>9.6000000000000002E-2</v>
      </c>
      <c r="F16" s="1857">
        <v>0.1</v>
      </c>
    </row>
    <row r="17" spans="1:6" ht="14.25" thickBot="1">
      <c r="A17" s="1851" t="s">
        <v>1153</v>
      </c>
      <c r="B17" s="1858" t="s">
        <v>1143</v>
      </c>
      <c r="C17" s="1856">
        <v>9.5000000000000001E-2</v>
      </c>
      <c r="D17" s="1856">
        <v>0.1</v>
      </c>
      <c r="E17" s="1856">
        <v>0.1</v>
      </c>
      <c r="F17" s="1864"/>
    </row>
    <row r="18" spans="1:6" ht="14.25" thickBot="1">
      <c r="A18" s="1851" t="s">
        <v>1153</v>
      </c>
      <c r="B18" s="1858" t="s">
        <v>1155</v>
      </c>
      <c r="C18" s="1856">
        <v>7.3999999999999996E-2</v>
      </c>
      <c r="D18" s="1856">
        <v>9.9000000000000005E-2</v>
      </c>
      <c r="E18" s="1856">
        <v>0.1</v>
      </c>
      <c r="F18" s="1864"/>
    </row>
    <row r="19" spans="1:6" ht="14.25" thickBot="1">
      <c r="A19" s="1851" t="s">
        <v>1153</v>
      </c>
      <c r="B19" s="1858" t="s">
        <v>1165</v>
      </c>
      <c r="C19" s="1856">
        <v>9.9000000000000005E-2</v>
      </c>
      <c r="D19" s="1856">
        <v>7.5999999999999998E-2</v>
      </c>
      <c r="E19" s="1856">
        <v>8.6999999999999994E-2</v>
      </c>
      <c r="F19" s="1864"/>
    </row>
    <row r="20" spans="1:6" ht="14.25" thickBot="1">
      <c r="A20" s="1851" t="s">
        <v>1153</v>
      </c>
      <c r="B20" s="1858" t="s">
        <v>1175</v>
      </c>
      <c r="C20" s="1856">
        <v>9.8000000000000004E-2</v>
      </c>
      <c r="D20" s="1856">
        <v>8.5000000000000006E-2</v>
      </c>
      <c r="E20" s="1856">
        <v>8.2000000000000003E-2</v>
      </c>
      <c r="F20" s="1864"/>
    </row>
    <row r="21" spans="1:6" ht="14.25" thickBot="1">
      <c r="A21" s="1851" t="s">
        <v>1153</v>
      </c>
      <c r="B21" s="1858" t="s">
        <v>1185</v>
      </c>
      <c r="C21" s="1856">
        <v>6.6000000000000003E-2</v>
      </c>
      <c r="D21" s="1856">
        <v>6.4000000000000001E-2</v>
      </c>
      <c r="E21" s="1856">
        <v>6.5000000000000002E-2</v>
      </c>
      <c r="F21" s="1864"/>
    </row>
    <row r="22" spans="1:6" ht="14.25" thickBot="1">
      <c r="A22" s="1851" t="s">
        <v>1153</v>
      </c>
      <c r="B22" s="1858" t="s">
        <v>2087</v>
      </c>
      <c r="C22" s="1856">
        <v>0.08</v>
      </c>
      <c r="D22" s="1856">
        <v>9.8000000000000004E-2</v>
      </c>
      <c r="E22" s="1856">
        <v>9.8000000000000004E-2</v>
      </c>
      <c r="F22" s="1864"/>
    </row>
    <row r="23" spans="1:6" ht="14.25" thickBot="1">
      <c r="A23" s="1851" t="s">
        <v>1153</v>
      </c>
      <c r="B23" s="1858" t="s">
        <v>1205</v>
      </c>
      <c r="C23" s="1856">
        <v>9.9000000000000005E-2</v>
      </c>
      <c r="D23" s="1856">
        <v>9.8000000000000004E-2</v>
      </c>
      <c r="E23" s="1856">
        <v>9.0999999999999998E-2</v>
      </c>
      <c r="F23" s="1864"/>
    </row>
    <row r="24" spans="1:6" ht="14.25" thickBot="1">
      <c r="A24" s="1851" t="s">
        <v>1153</v>
      </c>
      <c r="B24" s="1858" t="s">
        <v>1215</v>
      </c>
      <c r="C24" s="1856">
        <v>8.8999999999999996E-2</v>
      </c>
      <c r="D24" s="1856">
        <v>9.7000000000000003E-2</v>
      </c>
      <c r="E24" s="1856">
        <v>7.0000000000000007E-2</v>
      </c>
      <c r="F24" s="1864"/>
    </row>
    <row r="25" spans="1:6" ht="14.25" thickBot="1">
      <c r="A25" s="1851" t="s">
        <v>1153</v>
      </c>
      <c r="B25" s="1858" t="s">
        <v>1225</v>
      </c>
      <c r="C25" s="1856">
        <v>8.8999999999999996E-2</v>
      </c>
      <c r="D25" s="1856">
        <v>0.1</v>
      </c>
      <c r="E25" s="1856">
        <v>8.1000000000000003E-2</v>
      </c>
      <c r="F25" s="1864"/>
    </row>
    <row r="26" spans="1:6" ht="14.25" thickBot="1">
      <c r="A26" s="1851" t="s">
        <v>1153</v>
      </c>
      <c r="B26" s="1858" t="s">
        <v>1235</v>
      </c>
      <c r="C26" s="1865"/>
      <c r="D26" s="1856">
        <v>9.6000000000000002E-2</v>
      </c>
      <c r="E26" s="1856">
        <v>9.2999999999999999E-2</v>
      </c>
      <c r="F26" s="1864"/>
    </row>
    <row r="27" spans="1:6" ht="14.25" thickBot="1">
      <c r="A27" s="1851" t="s">
        <v>1153</v>
      </c>
      <c r="B27" s="1858" t="s">
        <v>1245</v>
      </c>
      <c r="C27" s="1865"/>
      <c r="D27" s="1856">
        <v>7.5999999999999998E-2</v>
      </c>
      <c r="E27" s="1856">
        <v>9.1999999999999998E-2</v>
      </c>
      <c r="F27" s="1864"/>
    </row>
    <row r="28" spans="1:6" ht="14.25" thickBot="1">
      <c r="A28" s="1859" t="s">
        <v>1153</v>
      </c>
      <c r="B28" s="1860" t="s">
        <v>1255</v>
      </c>
      <c r="C28" s="1862"/>
      <c r="D28" s="1861">
        <v>7.5999999999999998E-2</v>
      </c>
      <c r="E28" s="1861">
        <v>9.1999999999999998E-2</v>
      </c>
      <c r="F28" s="1863"/>
    </row>
    <row r="29" spans="1:6" ht="14.25" thickBot="1">
      <c r="A29" s="1851" t="s">
        <v>1324</v>
      </c>
      <c r="B29" s="1852" t="s">
        <v>2088</v>
      </c>
      <c r="C29" s="1853">
        <v>6.4000000000000001E-2</v>
      </c>
      <c r="D29" s="1853">
        <v>6.5000000000000002E-2</v>
      </c>
      <c r="E29" s="1853">
        <v>6.9000000000000006E-2</v>
      </c>
      <c r="F29" s="1854">
        <v>0.1</v>
      </c>
    </row>
    <row r="30" spans="1:6" ht="14.25" thickBot="1">
      <c r="A30" s="1851" t="s">
        <v>1324</v>
      </c>
      <c r="B30" s="1858" t="s">
        <v>1070</v>
      </c>
      <c r="C30" s="1856">
        <v>6.4000000000000001E-2</v>
      </c>
      <c r="D30" s="1856">
        <v>9.9000000000000005E-2</v>
      </c>
      <c r="E30" s="1856">
        <v>0.1</v>
      </c>
      <c r="F30" s="1857">
        <v>0.1</v>
      </c>
    </row>
    <row r="31" spans="1:6" ht="14.25" thickBot="1">
      <c r="A31" s="1851" t="s">
        <v>1324</v>
      </c>
      <c r="B31" s="1858" t="s">
        <v>1084</v>
      </c>
      <c r="C31" s="1856">
        <v>0.1</v>
      </c>
      <c r="D31" s="1856">
        <v>9.5000000000000001E-2</v>
      </c>
      <c r="E31" s="1856">
        <v>8.8999999999999996E-2</v>
      </c>
      <c r="F31" s="1857">
        <v>0.1</v>
      </c>
    </row>
    <row r="32" spans="1:6" ht="14.25" thickBot="1">
      <c r="A32" s="1851" t="s">
        <v>1324</v>
      </c>
      <c r="B32" s="1858" t="s">
        <v>1097</v>
      </c>
      <c r="C32" s="1856">
        <v>0.05</v>
      </c>
      <c r="D32" s="1856">
        <v>0.05</v>
      </c>
      <c r="E32" s="1856">
        <v>8.7999999999999995E-2</v>
      </c>
      <c r="F32" s="1857">
        <v>0.1</v>
      </c>
    </row>
    <row r="33" spans="1:6" ht="14.25" thickBot="1">
      <c r="A33" s="1851" t="s">
        <v>1324</v>
      </c>
      <c r="B33" s="1858" t="s">
        <v>1111</v>
      </c>
      <c r="C33" s="1856">
        <v>7.4999999999999997E-2</v>
      </c>
      <c r="D33" s="1856">
        <v>9.4E-2</v>
      </c>
      <c r="E33" s="1856">
        <v>9.7000000000000003E-2</v>
      </c>
      <c r="F33" s="1857">
        <v>0.1</v>
      </c>
    </row>
    <row r="34" spans="1:6" ht="14.25" thickBot="1">
      <c r="A34" s="1851" t="s">
        <v>1324</v>
      </c>
      <c r="B34" s="1858" t="s">
        <v>1122</v>
      </c>
      <c r="C34" s="1856">
        <v>9.8000000000000004E-2</v>
      </c>
      <c r="D34" s="1856">
        <v>8.5999999999999993E-2</v>
      </c>
      <c r="E34" s="1856">
        <v>9.7000000000000003E-2</v>
      </c>
      <c r="F34" s="1857">
        <v>0.1</v>
      </c>
    </row>
    <row r="35" spans="1:6" ht="14.25" thickBot="1">
      <c r="A35" s="1851" t="s">
        <v>1324</v>
      </c>
      <c r="B35" s="1858" t="s">
        <v>1133</v>
      </c>
      <c r="C35" s="1856">
        <v>5.8999999999999997E-2</v>
      </c>
      <c r="D35" s="1856">
        <v>6.5000000000000002E-2</v>
      </c>
      <c r="E35" s="1856">
        <v>7.0000000000000007E-2</v>
      </c>
      <c r="F35" s="1857">
        <v>0.1</v>
      </c>
    </row>
    <row r="36" spans="1:6" ht="14.25" thickBot="1">
      <c r="A36" s="1851" t="s">
        <v>1324</v>
      </c>
      <c r="B36" s="1858" t="s">
        <v>1144</v>
      </c>
      <c r="C36" s="1856">
        <v>6.3E-2</v>
      </c>
      <c r="D36" s="1856">
        <v>0.1</v>
      </c>
      <c r="E36" s="1856">
        <v>0.1</v>
      </c>
      <c r="F36" s="1857">
        <v>0.1</v>
      </c>
    </row>
    <row r="37" spans="1:6" ht="14.25" thickBot="1">
      <c r="A37" s="1851" t="s">
        <v>1324</v>
      </c>
      <c r="B37" s="1858" t="s">
        <v>1156</v>
      </c>
      <c r="C37" s="1856">
        <v>7.3999999999999996E-2</v>
      </c>
      <c r="D37" s="1856">
        <v>0.1</v>
      </c>
      <c r="E37" s="1856">
        <v>0.1</v>
      </c>
      <c r="F37" s="1857">
        <v>0.1</v>
      </c>
    </row>
    <row r="38" spans="1:6" ht="14.25" thickBot="1">
      <c r="A38" s="1851" t="s">
        <v>1324</v>
      </c>
      <c r="B38" s="1858" t="s">
        <v>1166</v>
      </c>
      <c r="C38" s="1856">
        <v>0.1</v>
      </c>
      <c r="D38" s="1856">
        <v>9.6000000000000002E-2</v>
      </c>
      <c r="E38" s="1856">
        <v>9.6000000000000002E-2</v>
      </c>
      <c r="F38" s="1864"/>
    </row>
    <row r="39" spans="1:6" ht="14.25" thickBot="1">
      <c r="A39" s="1851" t="s">
        <v>1324</v>
      </c>
      <c r="B39" s="1858" t="s">
        <v>1176</v>
      </c>
      <c r="C39" s="1856">
        <v>0.1</v>
      </c>
      <c r="D39" s="1856">
        <v>9.6000000000000002E-2</v>
      </c>
      <c r="E39" s="1856">
        <v>9.6000000000000002E-2</v>
      </c>
      <c r="F39" s="1864"/>
    </row>
    <row r="40" spans="1:6" ht="14.25" thickBot="1">
      <c r="A40" s="1851" t="s">
        <v>1324</v>
      </c>
      <c r="B40" s="1858" t="s">
        <v>1186</v>
      </c>
      <c r="C40" s="1856">
        <v>9.6000000000000002E-2</v>
      </c>
      <c r="D40" s="1856">
        <v>0.1</v>
      </c>
      <c r="E40" s="1856">
        <v>9.9000000000000005E-2</v>
      </c>
      <c r="F40" s="1864"/>
    </row>
    <row r="41" spans="1:6" ht="14.25" thickBot="1">
      <c r="A41" s="1851" t="s">
        <v>1324</v>
      </c>
      <c r="B41" s="1858" t="s">
        <v>1196</v>
      </c>
      <c r="C41" s="1856">
        <v>9.6000000000000002E-2</v>
      </c>
      <c r="D41" s="1856">
        <v>9.8000000000000004E-2</v>
      </c>
      <c r="E41" s="1856">
        <v>9.8000000000000004E-2</v>
      </c>
      <c r="F41" s="1864"/>
    </row>
    <row r="42" spans="1:6" ht="14.25" thickBot="1">
      <c r="A42" s="1851" t="s">
        <v>1324</v>
      </c>
      <c r="B42" s="1858" t="s">
        <v>1206</v>
      </c>
      <c r="C42" s="1856">
        <v>0.1</v>
      </c>
      <c r="D42" s="1856">
        <v>8.7999999999999995E-2</v>
      </c>
      <c r="E42" s="1856">
        <v>0.1</v>
      </c>
      <c r="F42" s="1864"/>
    </row>
    <row r="43" spans="1:6" ht="14.25" thickBot="1">
      <c r="A43" s="1851" t="s">
        <v>1324</v>
      </c>
      <c r="B43" s="1858" t="s">
        <v>1216</v>
      </c>
      <c r="C43" s="1856">
        <v>9.8000000000000004E-2</v>
      </c>
      <c r="D43" s="1856">
        <v>9.7000000000000003E-2</v>
      </c>
      <c r="E43" s="1856">
        <v>9.6000000000000002E-2</v>
      </c>
      <c r="F43" s="1864"/>
    </row>
    <row r="44" spans="1:6" ht="14.25" thickBot="1">
      <c r="A44" s="1851" t="s">
        <v>1324</v>
      </c>
      <c r="B44" s="1858" t="s">
        <v>1226</v>
      </c>
      <c r="C44" s="1856">
        <v>8.5999999999999993E-2</v>
      </c>
      <c r="D44" s="1856">
        <v>7.9000000000000001E-2</v>
      </c>
      <c r="E44" s="1856">
        <v>7.0999999999999994E-2</v>
      </c>
      <c r="F44" s="1864"/>
    </row>
    <row r="45" spans="1:6" ht="14.25" thickBot="1">
      <c r="A45" s="1851" t="s">
        <v>1324</v>
      </c>
      <c r="B45" s="1858" t="s">
        <v>1236</v>
      </c>
      <c r="C45" s="1856">
        <v>9.8000000000000004E-2</v>
      </c>
      <c r="D45" s="1856">
        <v>9.6000000000000002E-2</v>
      </c>
      <c r="E45" s="1856">
        <v>9.6000000000000002E-2</v>
      </c>
      <c r="F45" s="1864"/>
    </row>
    <row r="46" spans="1:6" ht="14.25" thickBot="1">
      <c r="A46" s="1851" t="s">
        <v>1324</v>
      </c>
      <c r="B46" s="1858" t="s">
        <v>1246</v>
      </c>
      <c r="C46" s="1856">
        <v>8.5999999999999993E-2</v>
      </c>
      <c r="D46" s="1856">
        <v>9.8000000000000004E-2</v>
      </c>
      <c r="E46" s="1856">
        <v>8.7999999999999995E-2</v>
      </c>
      <c r="F46" s="1864"/>
    </row>
    <row r="47" spans="1:6" ht="14.25" thickBot="1">
      <c r="A47" s="1851" t="s">
        <v>1324</v>
      </c>
      <c r="B47" s="1858" t="s">
        <v>1256</v>
      </c>
      <c r="C47" s="1856">
        <v>9.6000000000000002E-2</v>
      </c>
      <c r="D47" s="1865"/>
      <c r="E47" s="1856">
        <v>6.9000000000000006E-2</v>
      </c>
      <c r="F47" s="1864"/>
    </row>
    <row r="48" spans="1:6" ht="14.25" thickBot="1">
      <c r="A48" s="1859" t="s">
        <v>1324</v>
      </c>
      <c r="B48" s="1860" t="s">
        <v>1265</v>
      </c>
      <c r="C48" s="1861">
        <v>9.8000000000000004E-2</v>
      </c>
      <c r="D48" s="1862"/>
      <c r="E48" s="1861">
        <v>9.5000000000000001E-2</v>
      </c>
      <c r="F48" s="1863"/>
    </row>
    <row r="49" spans="1:6" ht="14.25" thickBot="1">
      <c r="A49" s="1851" t="s">
        <v>922</v>
      </c>
      <c r="B49" s="1852" t="s">
        <v>2089</v>
      </c>
      <c r="C49" s="1853">
        <v>9.7000000000000003E-2</v>
      </c>
      <c r="D49" s="1853">
        <v>9.5000000000000001E-2</v>
      </c>
      <c r="E49" s="1853">
        <v>9.7000000000000003E-2</v>
      </c>
      <c r="F49" s="1854">
        <v>0.1</v>
      </c>
    </row>
    <row r="50" spans="1:6" ht="14.25" thickBot="1">
      <c r="A50" s="1851" t="s">
        <v>922</v>
      </c>
      <c r="B50" s="1855" t="s">
        <v>1071</v>
      </c>
      <c r="C50" s="1856">
        <v>7.4999999999999997E-2</v>
      </c>
      <c r="D50" s="1856">
        <v>9.5000000000000001E-2</v>
      </c>
      <c r="E50" s="1856">
        <v>0.1</v>
      </c>
      <c r="F50" s="1857">
        <v>0.1</v>
      </c>
    </row>
    <row r="51" spans="1:6" ht="14.25" thickBot="1">
      <c r="A51" s="1851" t="s">
        <v>922</v>
      </c>
      <c r="B51" s="1855" t="s">
        <v>1085</v>
      </c>
      <c r="C51" s="1856">
        <v>9.8000000000000004E-2</v>
      </c>
      <c r="D51" s="1856">
        <v>8.8999999999999996E-2</v>
      </c>
      <c r="E51" s="1856">
        <v>0.1</v>
      </c>
      <c r="F51" s="1857">
        <v>0.1</v>
      </c>
    </row>
    <row r="52" spans="1:6" ht="14.25" thickBot="1">
      <c r="A52" s="1851" t="s">
        <v>922</v>
      </c>
      <c r="B52" s="1855" t="s">
        <v>1098</v>
      </c>
      <c r="C52" s="1856">
        <v>9.8000000000000004E-2</v>
      </c>
      <c r="D52" s="1856">
        <v>9.7000000000000003E-2</v>
      </c>
      <c r="E52" s="1856">
        <v>8.1000000000000003E-2</v>
      </c>
      <c r="F52" s="1857">
        <v>0.1</v>
      </c>
    </row>
    <row r="53" spans="1:6" ht="14.25" thickBot="1">
      <c r="A53" s="1851" t="s">
        <v>922</v>
      </c>
      <c r="B53" s="1855" t="s">
        <v>1112</v>
      </c>
      <c r="C53" s="1856">
        <v>9.7000000000000003E-2</v>
      </c>
      <c r="D53" s="1856">
        <v>7.5999999999999998E-2</v>
      </c>
      <c r="E53" s="1856">
        <v>7.0999999999999994E-2</v>
      </c>
      <c r="F53" s="1857">
        <v>0.1</v>
      </c>
    </row>
    <row r="54" spans="1:6" ht="14.25" thickBot="1">
      <c r="A54" s="1851" t="s">
        <v>922</v>
      </c>
      <c r="B54" s="1855" t="s">
        <v>1123</v>
      </c>
      <c r="C54" s="1856">
        <v>7.5999999999999998E-2</v>
      </c>
      <c r="D54" s="1856">
        <v>0.1</v>
      </c>
      <c r="E54" s="1856">
        <v>9.9000000000000005E-2</v>
      </c>
      <c r="F54" s="1857">
        <v>0.1</v>
      </c>
    </row>
    <row r="55" spans="1:6" ht="14.25" thickBot="1">
      <c r="A55" s="1851" t="s">
        <v>922</v>
      </c>
      <c r="B55" s="1855" t="s">
        <v>1134</v>
      </c>
      <c r="C55" s="1856">
        <v>0.1</v>
      </c>
      <c r="D55" s="1856">
        <v>0.1</v>
      </c>
      <c r="E55" s="1856">
        <v>9.6000000000000002E-2</v>
      </c>
      <c r="F55" s="1857">
        <v>0.1</v>
      </c>
    </row>
    <row r="56" spans="1:6" ht="14.25" thickBot="1">
      <c r="A56" s="1851" t="s">
        <v>922</v>
      </c>
      <c r="B56" s="1855" t="s">
        <v>1145</v>
      </c>
      <c r="C56" s="1856">
        <v>0.1</v>
      </c>
      <c r="D56" s="1856">
        <v>9.6000000000000002E-2</v>
      </c>
      <c r="E56" s="1856">
        <v>5.1999999999999998E-2</v>
      </c>
      <c r="F56" s="1857">
        <v>0.1</v>
      </c>
    </row>
    <row r="57" spans="1:6" ht="14.25" thickBot="1">
      <c r="A57" s="1851" t="s">
        <v>922</v>
      </c>
      <c r="B57" s="1855" t="s">
        <v>1157</v>
      </c>
      <c r="C57" s="1856">
        <v>9.7000000000000003E-2</v>
      </c>
      <c r="D57" s="1856">
        <v>9.6000000000000002E-2</v>
      </c>
      <c r="E57" s="1856">
        <v>9.6000000000000002E-2</v>
      </c>
      <c r="F57" s="1857">
        <v>0.1</v>
      </c>
    </row>
    <row r="58" spans="1:6" ht="14.25" thickBot="1">
      <c r="A58" s="1851" t="s">
        <v>922</v>
      </c>
      <c r="B58" s="1855" t="s">
        <v>1167</v>
      </c>
      <c r="C58" s="1856">
        <v>9.6000000000000002E-2</v>
      </c>
      <c r="D58" s="1856">
        <v>9.9000000000000005E-2</v>
      </c>
      <c r="E58" s="1856">
        <v>9.6000000000000002E-2</v>
      </c>
      <c r="F58" s="1857">
        <v>0.1</v>
      </c>
    </row>
    <row r="59" spans="1:6" ht="14.25" thickBot="1">
      <c r="A59" s="1851" t="s">
        <v>922</v>
      </c>
      <c r="B59" s="1855" t="s">
        <v>1177</v>
      </c>
      <c r="C59" s="1856">
        <v>7.1999999999999995E-2</v>
      </c>
      <c r="D59" s="1856">
        <v>9.6000000000000002E-2</v>
      </c>
      <c r="E59" s="1856">
        <v>7.0999999999999994E-2</v>
      </c>
      <c r="F59" s="1857">
        <v>0.1</v>
      </c>
    </row>
    <row r="60" spans="1:6" ht="14.25" thickBot="1">
      <c r="A60" s="1851" t="s">
        <v>922</v>
      </c>
      <c r="B60" s="1855" t="s">
        <v>1187</v>
      </c>
      <c r="C60" s="1856">
        <v>9.6000000000000002E-2</v>
      </c>
      <c r="D60" s="1856">
        <v>8.8999999999999996E-2</v>
      </c>
      <c r="E60" s="1856">
        <v>9.6000000000000002E-2</v>
      </c>
      <c r="F60" s="1857">
        <v>0.1</v>
      </c>
    </row>
    <row r="61" spans="1:6" ht="14.25" thickBot="1">
      <c r="A61" s="1851" t="s">
        <v>922</v>
      </c>
      <c r="B61" s="1855" t="s">
        <v>1197</v>
      </c>
      <c r="C61" s="1856">
        <v>8.8999999999999996E-2</v>
      </c>
      <c r="D61" s="1856">
        <v>9.8000000000000004E-2</v>
      </c>
      <c r="E61" s="1856">
        <v>8.7999999999999995E-2</v>
      </c>
      <c r="F61" s="1864"/>
    </row>
    <row r="62" spans="1:6" ht="14.25" thickBot="1">
      <c r="A62" s="1851" t="s">
        <v>922</v>
      </c>
      <c r="B62" s="1855" t="s">
        <v>1207</v>
      </c>
      <c r="C62" s="1856">
        <v>9.8000000000000004E-2</v>
      </c>
      <c r="D62" s="1856">
        <v>9.2999999999999999E-2</v>
      </c>
      <c r="E62" s="1856">
        <v>9.7000000000000003E-2</v>
      </c>
      <c r="F62" s="1864"/>
    </row>
    <row r="63" spans="1:6" ht="14.25" thickBot="1">
      <c r="A63" s="1851" t="s">
        <v>922</v>
      </c>
      <c r="B63" s="1855" t="s">
        <v>1217</v>
      </c>
      <c r="C63" s="1856">
        <v>9.6000000000000002E-2</v>
      </c>
      <c r="D63" s="1856">
        <v>9.8000000000000004E-2</v>
      </c>
      <c r="E63" s="1856">
        <v>0.09</v>
      </c>
      <c r="F63" s="1864"/>
    </row>
    <row r="64" spans="1:6" ht="14.25" thickBot="1">
      <c r="A64" s="1851" t="s">
        <v>922</v>
      </c>
      <c r="B64" s="1855" t="s">
        <v>1227</v>
      </c>
      <c r="C64" s="1856">
        <v>9.9000000000000005E-2</v>
      </c>
      <c r="D64" s="1856">
        <v>9.7000000000000003E-2</v>
      </c>
      <c r="E64" s="1856">
        <v>9.9000000000000005E-2</v>
      </c>
      <c r="F64" s="1864"/>
    </row>
    <row r="65" spans="1:6" ht="14.25" thickBot="1">
      <c r="A65" s="1851" t="s">
        <v>922</v>
      </c>
      <c r="B65" s="1855" t="s">
        <v>1237</v>
      </c>
      <c r="C65" s="1856">
        <v>9.8000000000000004E-2</v>
      </c>
      <c r="D65" s="1856">
        <v>9.6000000000000002E-2</v>
      </c>
      <c r="E65" s="1856">
        <v>9.6000000000000002E-2</v>
      </c>
      <c r="F65" s="1864"/>
    </row>
    <row r="66" spans="1:6" ht="14.25" thickBot="1">
      <c r="A66" s="1851" t="s">
        <v>922</v>
      </c>
      <c r="B66" s="1855" t="s">
        <v>1247</v>
      </c>
      <c r="C66" s="1856">
        <v>9.6000000000000002E-2</v>
      </c>
      <c r="D66" s="1856">
        <v>9.1999999999999998E-2</v>
      </c>
      <c r="E66" s="1856">
        <v>9.6000000000000002E-2</v>
      </c>
      <c r="F66" s="1864"/>
    </row>
    <row r="67" spans="1:6" ht="14.25" thickBot="1">
      <c r="A67" s="1851" t="s">
        <v>922</v>
      </c>
      <c r="B67" s="1855" t="s">
        <v>1257</v>
      </c>
      <c r="C67" s="1856">
        <v>9.4E-2</v>
      </c>
      <c r="D67" s="1856">
        <v>0.1</v>
      </c>
      <c r="E67" s="1856">
        <v>8.7999999999999995E-2</v>
      </c>
      <c r="F67" s="1864"/>
    </row>
    <row r="68" spans="1:6" ht="14.25" thickBot="1">
      <c r="A68" s="1851" t="s">
        <v>922</v>
      </c>
      <c r="B68" s="1855" t="s">
        <v>1266</v>
      </c>
      <c r="C68" s="1856">
        <v>0.1</v>
      </c>
      <c r="D68" s="1856">
        <v>8.7999999999999995E-2</v>
      </c>
      <c r="E68" s="1856">
        <v>9.7000000000000003E-2</v>
      </c>
      <c r="F68" s="1864"/>
    </row>
    <row r="69" spans="1:6" ht="14.25" thickBot="1">
      <c r="A69" s="1851" t="s">
        <v>922</v>
      </c>
      <c r="B69" s="1855" t="s">
        <v>1275</v>
      </c>
      <c r="C69" s="1856">
        <v>6.4000000000000001E-2</v>
      </c>
      <c r="D69" s="1856">
        <v>0.1</v>
      </c>
      <c r="E69" s="1856">
        <v>0.1</v>
      </c>
      <c r="F69" s="1864"/>
    </row>
    <row r="70" spans="1:6" ht="14.25" thickBot="1">
      <c r="A70" s="1851" t="s">
        <v>922</v>
      </c>
      <c r="B70" s="1855" t="s">
        <v>1283</v>
      </c>
      <c r="C70" s="1856">
        <v>9.0999999999999998E-2</v>
      </c>
      <c r="D70" s="1865"/>
      <c r="E70" s="1865"/>
      <c r="F70" s="1864"/>
    </row>
    <row r="71" spans="1:6" ht="14.25" thickBot="1">
      <c r="A71" s="1851" t="s">
        <v>922</v>
      </c>
      <c r="B71" s="1855" t="s">
        <v>1290</v>
      </c>
      <c r="C71" s="1856">
        <v>0.1</v>
      </c>
      <c r="D71" s="1865"/>
      <c r="E71" s="1865"/>
      <c r="F71" s="1864"/>
    </row>
    <row r="72" spans="1:6" ht="14.25" thickBot="1">
      <c r="A72" s="1851" t="s">
        <v>922</v>
      </c>
      <c r="B72" s="1855" t="s">
        <v>2090</v>
      </c>
      <c r="C72" s="1865"/>
      <c r="D72" s="1865"/>
      <c r="E72" s="1865"/>
      <c r="F72" s="1857">
        <v>0.05</v>
      </c>
    </row>
    <row r="73" spans="1:6" ht="14.25" thickBot="1">
      <c r="A73" s="1851" t="s">
        <v>922</v>
      </c>
      <c r="B73" s="1855" t="s">
        <v>2091</v>
      </c>
      <c r="C73" s="1865"/>
      <c r="D73" s="1865"/>
      <c r="E73" s="1865"/>
      <c r="F73" s="1857">
        <v>0.05</v>
      </c>
    </row>
    <row r="74" spans="1:6" ht="14.25" thickBot="1">
      <c r="A74" s="1851" t="s">
        <v>922</v>
      </c>
      <c r="B74" s="1855" t="s">
        <v>2092</v>
      </c>
      <c r="C74" s="1865"/>
      <c r="D74" s="1865"/>
      <c r="E74" s="1865"/>
      <c r="F74" s="1857">
        <v>0.05</v>
      </c>
    </row>
    <row r="75" spans="1:6" ht="14.25" thickBot="1">
      <c r="A75" s="1859" t="s">
        <v>922</v>
      </c>
      <c r="B75" s="1866" t="s">
        <v>2093</v>
      </c>
      <c r="C75" s="1862"/>
      <c r="D75" s="1862"/>
      <c r="E75" s="1862"/>
      <c r="F75" s="1867">
        <v>0.05</v>
      </c>
    </row>
    <row r="76" spans="1:6" ht="14.25" thickBot="1">
      <c r="A76" s="1851" t="s">
        <v>1405</v>
      </c>
      <c r="B76" s="1852" t="s">
        <v>2094</v>
      </c>
      <c r="C76" s="1853">
        <v>0.1</v>
      </c>
      <c r="D76" s="1853">
        <v>0.1</v>
      </c>
      <c r="E76" s="1853">
        <v>0.1</v>
      </c>
      <c r="F76" s="1854">
        <v>0.1</v>
      </c>
    </row>
    <row r="77" spans="1:6" ht="14.25" thickBot="1">
      <c r="A77" s="1851" t="s">
        <v>1405</v>
      </c>
      <c r="B77" s="1855" t="s">
        <v>1072</v>
      </c>
      <c r="C77" s="1856">
        <v>8.7999999999999995E-2</v>
      </c>
      <c r="D77" s="1856">
        <v>8.6999999999999994E-2</v>
      </c>
      <c r="E77" s="1856">
        <v>7.9000000000000001E-2</v>
      </c>
      <c r="F77" s="1857">
        <v>0.1</v>
      </c>
    </row>
    <row r="78" spans="1:6" ht="14.25" thickBot="1">
      <c r="A78" s="1851" t="s">
        <v>1405</v>
      </c>
      <c r="B78" s="1855" t="s">
        <v>1086</v>
      </c>
      <c r="C78" s="1856">
        <v>8.6999999999999994E-2</v>
      </c>
      <c r="D78" s="1856">
        <v>8.4000000000000005E-2</v>
      </c>
      <c r="E78" s="1856">
        <v>9.6000000000000002E-2</v>
      </c>
      <c r="F78" s="1857">
        <v>0.1</v>
      </c>
    </row>
    <row r="79" spans="1:6" ht="14.25" thickBot="1">
      <c r="A79" s="1851" t="s">
        <v>1405</v>
      </c>
      <c r="B79" s="1855" t="s">
        <v>1099</v>
      </c>
      <c r="C79" s="1856">
        <v>9.8000000000000004E-2</v>
      </c>
      <c r="D79" s="1856">
        <v>9.8000000000000004E-2</v>
      </c>
      <c r="E79" s="1856">
        <v>9.0999999999999998E-2</v>
      </c>
      <c r="F79" s="1857">
        <v>0.1</v>
      </c>
    </row>
    <row r="80" spans="1:6" ht="14.25" thickBot="1">
      <c r="A80" s="1851" t="s">
        <v>1405</v>
      </c>
      <c r="B80" s="1855" t="s">
        <v>1113</v>
      </c>
      <c r="C80" s="1856">
        <v>9.6000000000000002E-2</v>
      </c>
      <c r="D80" s="1856">
        <v>9.6000000000000002E-2</v>
      </c>
      <c r="E80" s="1856">
        <v>0.1</v>
      </c>
      <c r="F80" s="1857">
        <v>0.1</v>
      </c>
    </row>
    <row r="81" spans="1:6" ht="14.25" thickBot="1">
      <c r="A81" s="1851" t="s">
        <v>1405</v>
      </c>
      <c r="B81" s="1855" t="s">
        <v>1124</v>
      </c>
      <c r="C81" s="1856">
        <v>9.9000000000000005E-2</v>
      </c>
      <c r="D81" s="1856">
        <v>9.9000000000000005E-2</v>
      </c>
      <c r="E81" s="1856">
        <v>9.8000000000000004E-2</v>
      </c>
      <c r="F81" s="1857">
        <v>0.1</v>
      </c>
    </row>
    <row r="82" spans="1:6" ht="14.25" thickBot="1">
      <c r="A82" s="1851" t="s">
        <v>1405</v>
      </c>
      <c r="B82" s="1855" t="s">
        <v>1135</v>
      </c>
      <c r="C82" s="1856">
        <v>9.9000000000000005E-2</v>
      </c>
      <c r="D82" s="1856">
        <v>9.9000000000000005E-2</v>
      </c>
      <c r="E82" s="1856">
        <v>9.7000000000000003E-2</v>
      </c>
      <c r="F82" s="1857">
        <v>0.1</v>
      </c>
    </row>
    <row r="83" spans="1:6" ht="14.25" thickBot="1">
      <c r="A83" s="1851" t="s">
        <v>1405</v>
      </c>
      <c r="B83" s="1855" t="s">
        <v>1146</v>
      </c>
      <c r="C83" s="1856">
        <v>9.8000000000000004E-2</v>
      </c>
      <c r="D83" s="1856">
        <v>9.8000000000000004E-2</v>
      </c>
      <c r="E83" s="1856">
        <v>9.8000000000000004E-2</v>
      </c>
      <c r="F83" s="1857">
        <v>0.1</v>
      </c>
    </row>
    <row r="84" spans="1:6" ht="14.25" thickBot="1">
      <c r="A84" s="1851" t="s">
        <v>1405</v>
      </c>
      <c r="B84" s="1855" t="s">
        <v>1158</v>
      </c>
      <c r="C84" s="1856">
        <v>9.9000000000000005E-2</v>
      </c>
      <c r="D84" s="1856">
        <v>9.9000000000000005E-2</v>
      </c>
      <c r="E84" s="1856">
        <v>9.9000000000000005E-2</v>
      </c>
      <c r="F84" s="1857">
        <v>0.1</v>
      </c>
    </row>
    <row r="85" spans="1:6" ht="14.25" thickBot="1">
      <c r="A85" s="1851" t="s">
        <v>1405</v>
      </c>
      <c r="B85" s="1855" t="s">
        <v>1168</v>
      </c>
      <c r="C85" s="1856">
        <v>9.9000000000000005E-2</v>
      </c>
      <c r="D85" s="1856">
        <v>9.9000000000000005E-2</v>
      </c>
      <c r="E85" s="1856">
        <v>9.9000000000000005E-2</v>
      </c>
      <c r="F85" s="1857">
        <v>0.1</v>
      </c>
    </row>
    <row r="86" spans="1:6" ht="14.25" thickBot="1">
      <c r="A86" s="1851" t="s">
        <v>1405</v>
      </c>
      <c r="B86" s="1855" t="s">
        <v>1178</v>
      </c>
      <c r="C86" s="1856">
        <v>0.1</v>
      </c>
      <c r="D86" s="1856">
        <v>0.1</v>
      </c>
      <c r="E86" s="1856">
        <v>7.6999999999999999E-2</v>
      </c>
      <c r="F86" s="1857">
        <v>0.1</v>
      </c>
    </row>
    <row r="87" spans="1:6" ht="14.25" thickBot="1">
      <c r="A87" s="1851" t="s">
        <v>1405</v>
      </c>
      <c r="B87" s="1855" t="s">
        <v>1188</v>
      </c>
      <c r="C87" s="1856">
        <v>0.1</v>
      </c>
      <c r="D87" s="1856">
        <v>0.1</v>
      </c>
      <c r="E87" s="1856">
        <v>9.8000000000000004E-2</v>
      </c>
      <c r="F87" s="1864"/>
    </row>
    <row r="88" spans="1:6" ht="14.25" thickBot="1">
      <c r="A88" s="1851" t="s">
        <v>1405</v>
      </c>
      <c r="B88" s="1855" t="s">
        <v>1198</v>
      </c>
      <c r="C88" s="1856">
        <v>9.1999999999999998E-2</v>
      </c>
      <c r="D88" s="1856">
        <v>8.5000000000000006E-2</v>
      </c>
      <c r="E88" s="1856">
        <v>9.6000000000000002E-2</v>
      </c>
      <c r="F88" s="1864"/>
    </row>
    <row r="89" spans="1:6" ht="14.25" thickBot="1">
      <c r="A89" s="1851" t="s">
        <v>1405</v>
      </c>
      <c r="B89" s="1855" t="s">
        <v>1208</v>
      </c>
      <c r="C89" s="1856">
        <v>0.1</v>
      </c>
      <c r="D89" s="1856">
        <v>0.1</v>
      </c>
      <c r="E89" s="1856">
        <v>9.7000000000000003E-2</v>
      </c>
      <c r="F89" s="1864"/>
    </row>
    <row r="90" spans="1:6" ht="14.25" thickBot="1">
      <c r="A90" s="1851" t="s">
        <v>1405</v>
      </c>
      <c r="B90" s="1855" t="s">
        <v>1218</v>
      </c>
      <c r="C90" s="1856">
        <v>9.8000000000000004E-2</v>
      </c>
      <c r="D90" s="1856">
        <v>9.8000000000000004E-2</v>
      </c>
      <c r="E90" s="1856">
        <v>8.7999999999999995E-2</v>
      </c>
      <c r="F90" s="1864"/>
    </row>
    <row r="91" spans="1:6" ht="14.25" thickBot="1">
      <c r="A91" s="1851" t="s">
        <v>1405</v>
      </c>
      <c r="B91" s="1855" t="s">
        <v>1228</v>
      </c>
      <c r="C91" s="1856">
        <v>9.9000000000000005E-2</v>
      </c>
      <c r="D91" s="1856">
        <v>9.9000000000000005E-2</v>
      </c>
      <c r="E91" s="1856">
        <v>9.0999999999999998E-2</v>
      </c>
      <c r="F91" s="1864"/>
    </row>
    <row r="92" spans="1:6" ht="14.25" thickBot="1">
      <c r="A92" s="1851" t="s">
        <v>1405</v>
      </c>
      <c r="B92" s="1855" t="s">
        <v>1238</v>
      </c>
      <c r="C92" s="1856">
        <v>9.6000000000000002E-2</v>
      </c>
      <c r="D92" s="1856">
        <v>9.6000000000000002E-2</v>
      </c>
      <c r="E92" s="1856">
        <v>7.2999999999999995E-2</v>
      </c>
      <c r="F92" s="1864"/>
    </row>
    <row r="93" spans="1:6" ht="14.25" thickBot="1">
      <c r="A93" s="1851" t="s">
        <v>1405</v>
      </c>
      <c r="B93" s="1855" t="s">
        <v>1248</v>
      </c>
      <c r="C93" s="1856">
        <v>9.6000000000000002E-2</v>
      </c>
      <c r="D93" s="1856">
        <v>9.6000000000000002E-2</v>
      </c>
      <c r="E93" s="1856">
        <v>9.9000000000000005E-2</v>
      </c>
      <c r="F93" s="1864"/>
    </row>
    <row r="94" spans="1:6" ht="14.25" thickBot="1">
      <c r="A94" s="1851" t="s">
        <v>1405</v>
      </c>
      <c r="B94" s="1855" t="s">
        <v>1258</v>
      </c>
      <c r="C94" s="1856">
        <v>7.5999999999999998E-2</v>
      </c>
      <c r="D94" s="1856">
        <v>7.3999999999999996E-2</v>
      </c>
      <c r="E94" s="1856">
        <v>9.7000000000000003E-2</v>
      </c>
      <c r="F94" s="1864"/>
    </row>
    <row r="95" spans="1:6" ht="14.25" thickBot="1">
      <c r="A95" s="1851" t="s">
        <v>1405</v>
      </c>
      <c r="B95" s="1855" t="s">
        <v>1267</v>
      </c>
      <c r="C95" s="1856">
        <v>9.9000000000000005E-2</v>
      </c>
      <c r="D95" s="1856">
        <v>9.4E-2</v>
      </c>
      <c r="E95" s="1856">
        <v>9.6000000000000002E-2</v>
      </c>
      <c r="F95" s="1864"/>
    </row>
    <row r="96" spans="1:6" ht="14.25" thickBot="1">
      <c r="A96" s="1851" t="s">
        <v>1405</v>
      </c>
      <c r="B96" s="1855" t="s">
        <v>1276</v>
      </c>
      <c r="C96" s="1856">
        <v>9.9000000000000005E-2</v>
      </c>
      <c r="D96" s="1856">
        <v>9.9000000000000005E-2</v>
      </c>
      <c r="E96" s="1856">
        <v>9.9000000000000005E-2</v>
      </c>
      <c r="F96" s="1864"/>
    </row>
    <row r="97" spans="1:6" ht="14.25" thickBot="1">
      <c r="A97" s="1851" t="s">
        <v>1405</v>
      </c>
      <c r="B97" s="1855" t="s">
        <v>1284</v>
      </c>
      <c r="C97" s="1856">
        <v>9.8000000000000004E-2</v>
      </c>
      <c r="D97" s="1856">
        <v>9.8000000000000004E-2</v>
      </c>
      <c r="E97" s="1856">
        <v>9.7000000000000003E-2</v>
      </c>
      <c r="F97" s="1864"/>
    </row>
    <row r="98" spans="1:6" ht="14.25" thickBot="1">
      <c r="A98" s="1851" t="s">
        <v>1405</v>
      </c>
      <c r="B98" s="1855" t="s">
        <v>1291</v>
      </c>
      <c r="C98" s="1856">
        <v>0.1</v>
      </c>
      <c r="D98" s="1856">
        <v>0.1</v>
      </c>
      <c r="E98" s="1856">
        <v>9.7000000000000003E-2</v>
      </c>
      <c r="F98" s="1864"/>
    </row>
    <row r="99" spans="1:6" ht="14.25" thickBot="1">
      <c r="A99" s="1851" t="s">
        <v>1405</v>
      </c>
      <c r="B99" s="1855" t="s">
        <v>1298</v>
      </c>
      <c r="C99" s="1856">
        <v>0.1</v>
      </c>
      <c r="D99" s="1856">
        <v>0.1</v>
      </c>
      <c r="E99" s="1865"/>
      <c r="F99" s="1864"/>
    </row>
    <row r="100" spans="1:6" ht="14.25" thickBot="1">
      <c r="A100" s="1851" t="s">
        <v>1405</v>
      </c>
      <c r="B100" s="1855" t="s">
        <v>1305</v>
      </c>
      <c r="C100" s="1856">
        <v>0.09</v>
      </c>
      <c r="D100" s="1856">
        <v>8.8999999999999996E-2</v>
      </c>
      <c r="E100" s="1865"/>
      <c r="F100" s="1864"/>
    </row>
    <row r="101" spans="1:6" ht="14.25" thickBot="1">
      <c r="A101" s="1851" t="s">
        <v>1405</v>
      </c>
      <c r="B101" s="1855" t="s">
        <v>1312</v>
      </c>
      <c r="C101" s="1856">
        <v>9.8000000000000004E-2</v>
      </c>
      <c r="D101" s="1856">
        <v>9.7000000000000003E-2</v>
      </c>
      <c r="E101" s="1865"/>
      <c r="F101" s="1864"/>
    </row>
    <row r="102" spans="1:6" ht="14.25" thickBot="1">
      <c r="A102" s="1851" t="s">
        <v>1405</v>
      </c>
      <c r="B102" s="1855" t="s">
        <v>2095</v>
      </c>
      <c r="C102" s="1865"/>
      <c r="D102" s="1865"/>
      <c r="E102" s="1865"/>
      <c r="F102" s="1857">
        <v>0.05</v>
      </c>
    </row>
    <row r="103" spans="1:6" ht="24.75" thickBot="1">
      <c r="A103" s="1851" t="s">
        <v>1405</v>
      </c>
      <c r="B103" s="1855" t="s">
        <v>2096</v>
      </c>
      <c r="C103" s="1865"/>
      <c r="D103" s="1865"/>
      <c r="E103" s="1865"/>
      <c r="F103" s="1857">
        <v>0.05</v>
      </c>
    </row>
    <row r="104" spans="1:6" ht="14.25" thickBot="1">
      <c r="A104" s="1851" t="s">
        <v>1405</v>
      </c>
      <c r="B104" s="1855" t="s">
        <v>2097</v>
      </c>
      <c r="C104" s="1865"/>
      <c r="D104" s="1865"/>
      <c r="E104" s="1865"/>
      <c r="F104" s="1857">
        <v>0.05</v>
      </c>
    </row>
    <row r="105" spans="1:6" ht="14.25" thickBot="1">
      <c r="A105" s="1851" t="s">
        <v>1405</v>
      </c>
      <c r="B105" s="1855" t="s">
        <v>2098</v>
      </c>
      <c r="C105" s="1865"/>
      <c r="D105" s="1865"/>
      <c r="E105" s="1865"/>
      <c r="F105" s="1857">
        <v>0.05</v>
      </c>
    </row>
    <row r="106" spans="1:6" ht="14.25" thickBot="1">
      <c r="A106" s="1851" t="s">
        <v>1405</v>
      </c>
      <c r="B106" s="1855" t="s">
        <v>2099</v>
      </c>
      <c r="C106" s="1865"/>
      <c r="D106" s="1865"/>
      <c r="E106" s="1865"/>
      <c r="F106" s="1857">
        <v>0.05</v>
      </c>
    </row>
    <row r="107" spans="1:6" ht="24.75" thickBot="1">
      <c r="A107" s="1851" t="s">
        <v>1405</v>
      </c>
      <c r="B107" s="1855" t="s">
        <v>2100</v>
      </c>
      <c r="C107" s="1865"/>
      <c r="D107" s="1865"/>
      <c r="E107" s="1865"/>
      <c r="F107" s="1857">
        <v>0.05</v>
      </c>
    </row>
    <row r="108" spans="1:6" ht="24.75" thickBot="1">
      <c r="A108" s="1851" t="s">
        <v>1405</v>
      </c>
      <c r="B108" s="1855" t="s">
        <v>2101</v>
      </c>
      <c r="C108" s="1865"/>
      <c r="D108" s="1865"/>
      <c r="E108" s="1865"/>
      <c r="F108" s="1857">
        <v>0.05</v>
      </c>
    </row>
    <row r="109" spans="1:6" ht="24.75" thickBot="1">
      <c r="A109" s="1859" t="s">
        <v>1405</v>
      </c>
      <c r="B109" s="1866" t="s">
        <v>2102</v>
      </c>
      <c r="C109" s="1862"/>
      <c r="D109" s="1862"/>
      <c r="E109" s="1862"/>
      <c r="F109" s="1867">
        <v>0.05</v>
      </c>
    </row>
    <row r="110" spans="1:6" ht="14.25" thickBot="1">
      <c r="A110" s="1851" t="s">
        <v>1407</v>
      </c>
      <c r="B110" s="1852" t="s">
        <v>2103</v>
      </c>
      <c r="C110" s="1853">
        <v>0.129</v>
      </c>
      <c r="D110" s="1853">
        <v>0.129</v>
      </c>
      <c r="E110" s="1853">
        <v>0.126</v>
      </c>
      <c r="F110" s="1854">
        <v>0.13</v>
      </c>
    </row>
    <row r="111" spans="1:6" ht="14.25" thickBot="1">
      <c r="A111" s="1851" t="s">
        <v>1407</v>
      </c>
      <c r="B111" s="1855" t="s">
        <v>1073</v>
      </c>
      <c r="C111" s="1856">
        <v>0.11</v>
      </c>
      <c r="D111" s="1856">
        <v>0.11</v>
      </c>
      <c r="E111" s="1856">
        <v>9.9000000000000005E-2</v>
      </c>
      <c r="F111" s="1857">
        <v>0.128</v>
      </c>
    </row>
    <row r="112" spans="1:6" ht="14.25" thickBot="1">
      <c r="A112" s="1851" t="s">
        <v>1407</v>
      </c>
      <c r="B112" s="1855" t="s">
        <v>1087</v>
      </c>
      <c r="C112" s="1856">
        <v>0.125</v>
      </c>
      <c r="D112" s="1856">
        <v>0.125</v>
      </c>
      <c r="E112" s="1856">
        <v>0.12</v>
      </c>
      <c r="F112" s="1857">
        <v>0.125</v>
      </c>
    </row>
    <row r="113" spans="1:6" ht="14.25" thickBot="1">
      <c r="A113" s="1851" t="s">
        <v>1407</v>
      </c>
      <c r="B113" s="1855" t="s">
        <v>1100</v>
      </c>
      <c r="C113" s="1856">
        <v>0.13</v>
      </c>
      <c r="D113" s="1856">
        <v>0.13</v>
      </c>
      <c r="E113" s="1856">
        <v>0.13</v>
      </c>
      <c r="F113" s="1857">
        <v>0.13</v>
      </c>
    </row>
    <row r="114" spans="1:6" ht="14.25" thickBot="1">
      <c r="A114" s="1851" t="s">
        <v>1407</v>
      </c>
      <c r="B114" s="1855" t="s">
        <v>1114</v>
      </c>
      <c r="C114" s="1856">
        <v>0.123</v>
      </c>
      <c r="D114" s="1856">
        <v>0.123</v>
      </c>
      <c r="E114" s="1856">
        <v>0.12</v>
      </c>
      <c r="F114" s="1857">
        <v>0.13</v>
      </c>
    </row>
    <row r="115" spans="1:6" ht="14.25" thickBot="1">
      <c r="A115" s="1851" t="s">
        <v>1407</v>
      </c>
      <c r="B115" s="1855" t="s">
        <v>1125</v>
      </c>
      <c r="C115" s="1856">
        <v>0.125</v>
      </c>
      <c r="D115" s="1856">
        <v>0.125</v>
      </c>
      <c r="E115" s="1856">
        <v>0.11700000000000001</v>
      </c>
      <c r="F115" s="1857">
        <v>0.13</v>
      </c>
    </row>
    <row r="116" spans="1:6" ht="14.25" thickBot="1">
      <c r="A116" s="1851" t="s">
        <v>1407</v>
      </c>
      <c r="B116" s="1855" t="s">
        <v>1136</v>
      </c>
      <c r="C116" s="1856">
        <v>0.11700000000000001</v>
      </c>
      <c r="D116" s="1856">
        <v>0.11700000000000001</v>
      </c>
      <c r="E116" s="1856">
        <v>8.7999999999999995E-2</v>
      </c>
      <c r="F116" s="1857">
        <v>0.13</v>
      </c>
    </row>
    <row r="117" spans="1:6" ht="14.25" thickBot="1">
      <c r="A117" s="1851" t="s">
        <v>1407</v>
      </c>
      <c r="B117" s="1855" t="s">
        <v>1147</v>
      </c>
      <c r="C117" s="1856">
        <v>0.13</v>
      </c>
      <c r="D117" s="1856">
        <v>0.13</v>
      </c>
      <c r="E117" s="1856">
        <v>0.129</v>
      </c>
      <c r="F117" s="1857">
        <v>0.13</v>
      </c>
    </row>
    <row r="118" spans="1:6" ht="14.25" thickBot="1">
      <c r="A118" s="1851" t="s">
        <v>1407</v>
      </c>
      <c r="B118" s="1855" t="s">
        <v>1159</v>
      </c>
      <c r="C118" s="1856">
        <v>0.123</v>
      </c>
      <c r="D118" s="1856">
        <v>0.123</v>
      </c>
      <c r="E118" s="1856">
        <v>0.11600000000000001</v>
      </c>
      <c r="F118" s="1857">
        <v>0.13</v>
      </c>
    </row>
    <row r="119" spans="1:6" ht="14.25" thickBot="1">
      <c r="A119" s="1851" t="s">
        <v>1407</v>
      </c>
      <c r="B119" s="1855" t="s">
        <v>1169</v>
      </c>
      <c r="C119" s="1856">
        <v>0.127</v>
      </c>
      <c r="D119" s="1856">
        <v>0.127</v>
      </c>
      <c r="E119" s="1856">
        <v>0.124</v>
      </c>
      <c r="F119" s="1857">
        <v>0.13</v>
      </c>
    </row>
    <row r="120" spans="1:6" ht="14.25" thickBot="1">
      <c r="A120" s="1851" t="s">
        <v>1407</v>
      </c>
      <c r="B120" s="1855" t="s">
        <v>1179</v>
      </c>
      <c r="C120" s="1856">
        <v>0.125</v>
      </c>
      <c r="D120" s="1856">
        <v>0.125</v>
      </c>
      <c r="E120" s="1856">
        <v>0.122</v>
      </c>
      <c r="F120" s="1857">
        <v>0.13</v>
      </c>
    </row>
    <row r="121" spans="1:6" ht="14.25" thickBot="1">
      <c r="A121" s="1851" t="s">
        <v>1407</v>
      </c>
      <c r="B121" s="1855" t="s">
        <v>1189</v>
      </c>
      <c r="C121" s="1856">
        <v>0.13</v>
      </c>
      <c r="D121" s="1856">
        <v>0.13</v>
      </c>
      <c r="E121" s="1856">
        <v>0.13</v>
      </c>
      <c r="F121" s="1857">
        <v>0.13</v>
      </c>
    </row>
    <row r="122" spans="1:6" ht="14.25" thickBot="1">
      <c r="A122" s="1851" t="s">
        <v>1407</v>
      </c>
      <c r="B122" s="1855" t="s">
        <v>1199</v>
      </c>
      <c r="C122" s="1856">
        <v>0.13</v>
      </c>
      <c r="D122" s="1856">
        <v>0.13</v>
      </c>
      <c r="E122" s="1856">
        <v>0.125</v>
      </c>
      <c r="F122" s="1857">
        <v>0.13</v>
      </c>
    </row>
    <row r="123" spans="1:6" ht="14.25" thickBot="1">
      <c r="A123" s="1851" t="s">
        <v>1407</v>
      </c>
      <c r="B123" s="1855" t="s">
        <v>1209</v>
      </c>
      <c r="C123" s="1856">
        <v>0.129</v>
      </c>
      <c r="D123" s="1856">
        <v>0.129</v>
      </c>
      <c r="E123" s="1856">
        <v>0.123</v>
      </c>
      <c r="F123" s="1857">
        <v>0.13</v>
      </c>
    </row>
    <row r="124" spans="1:6" ht="14.25" thickBot="1">
      <c r="A124" s="1851" t="s">
        <v>1407</v>
      </c>
      <c r="B124" s="1855" t="s">
        <v>1219</v>
      </c>
      <c r="C124" s="1856">
        <v>0.10199999999999999</v>
      </c>
      <c r="D124" s="1856">
        <v>0.10100000000000001</v>
      </c>
      <c r="E124" s="1856">
        <v>0.08</v>
      </c>
      <c r="F124" s="1864"/>
    </row>
    <row r="125" spans="1:6" ht="14.25" thickBot="1">
      <c r="A125" s="1851" t="s">
        <v>1407</v>
      </c>
      <c r="B125" s="1855" t="s">
        <v>1229</v>
      </c>
      <c r="C125" s="1856">
        <v>0.13</v>
      </c>
      <c r="D125" s="1856">
        <v>0.13</v>
      </c>
      <c r="E125" s="1856">
        <v>0.129</v>
      </c>
      <c r="F125" s="1864"/>
    </row>
    <row r="126" spans="1:6" ht="14.25" thickBot="1">
      <c r="A126" s="1851" t="s">
        <v>1407</v>
      </c>
      <c r="B126" s="1855" t="s">
        <v>1239</v>
      </c>
      <c r="C126" s="1856">
        <v>0.13</v>
      </c>
      <c r="D126" s="1856">
        <v>0.13</v>
      </c>
      <c r="E126" s="1856">
        <v>0.126</v>
      </c>
      <c r="F126" s="1864"/>
    </row>
    <row r="127" spans="1:6" ht="14.25" thickBot="1">
      <c r="A127" s="1851" t="s">
        <v>1407</v>
      </c>
      <c r="B127" s="1855" t="s">
        <v>1249</v>
      </c>
      <c r="C127" s="1856">
        <v>0.125</v>
      </c>
      <c r="D127" s="1856">
        <v>0.125</v>
      </c>
      <c r="E127" s="1856">
        <v>0.121</v>
      </c>
      <c r="F127" s="1864"/>
    </row>
    <row r="128" spans="1:6" ht="14.25" thickBot="1">
      <c r="A128" s="1851" t="s">
        <v>1407</v>
      </c>
      <c r="B128" s="1855" t="s">
        <v>1259</v>
      </c>
      <c r="C128" s="1856">
        <v>0.12</v>
      </c>
      <c r="D128" s="1856">
        <v>0.12</v>
      </c>
      <c r="E128" s="1856">
        <v>0.105</v>
      </c>
      <c r="F128" s="1864"/>
    </row>
    <row r="129" spans="1:6" ht="14.25" thickBot="1">
      <c r="A129" s="1851" t="s">
        <v>1407</v>
      </c>
      <c r="B129" s="1855" t="s">
        <v>1268</v>
      </c>
      <c r="C129" s="1856">
        <v>0.13</v>
      </c>
      <c r="D129" s="1856">
        <v>0.13</v>
      </c>
      <c r="E129" s="1856">
        <v>0.126</v>
      </c>
      <c r="F129" s="1864"/>
    </row>
    <row r="130" spans="1:6" ht="14.25" thickBot="1">
      <c r="A130" s="1851" t="s">
        <v>1407</v>
      </c>
      <c r="B130" s="1855" t="s">
        <v>1277</v>
      </c>
      <c r="C130" s="1856">
        <v>0.125</v>
      </c>
      <c r="D130" s="1856">
        <v>0.125</v>
      </c>
      <c r="E130" s="1856">
        <v>0.122</v>
      </c>
      <c r="F130" s="1864"/>
    </row>
    <row r="131" spans="1:6" ht="14.25" thickBot="1">
      <c r="A131" s="1851" t="s">
        <v>1407</v>
      </c>
      <c r="B131" s="1855" t="s">
        <v>1285</v>
      </c>
      <c r="C131" s="1856">
        <v>0.127</v>
      </c>
      <c r="D131" s="1856">
        <v>0.126</v>
      </c>
      <c r="E131" s="1856">
        <v>0.123</v>
      </c>
      <c r="F131" s="1864"/>
    </row>
    <row r="132" spans="1:6" ht="14.25" thickBot="1">
      <c r="A132" s="1851" t="s">
        <v>1407</v>
      </c>
      <c r="B132" s="1855" t="s">
        <v>1292</v>
      </c>
      <c r="C132" s="1856">
        <v>9.0999999999999998E-2</v>
      </c>
      <c r="D132" s="1856">
        <v>0.121</v>
      </c>
      <c r="E132" s="1856">
        <v>9.9000000000000005E-2</v>
      </c>
      <c r="F132" s="1864"/>
    </row>
    <row r="133" spans="1:6" ht="14.25" thickBot="1">
      <c r="A133" s="1851" t="s">
        <v>1407</v>
      </c>
      <c r="B133" s="1855" t="s">
        <v>1299</v>
      </c>
      <c r="C133" s="1856">
        <v>0.13</v>
      </c>
      <c r="D133" s="1856">
        <v>0.13</v>
      </c>
      <c r="E133" s="1856">
        <v>0.129</v>
      </c>
      <c r="F133" s="1864"/>
    </row>
    <row r="134" spans="1:6" ht="14.25" thickBot="1">
      <c r="A134" s="1851" t="s">
        <v>1407</v>
      </c>
      <c r="B134" s="1855" t="s">
        <v>2104</v>
      </c>
      <c r="C134" s="1856">
        <v>6.8000000000000005E-2</v>
      </c>
      <c r="D134" s="1856">
        <v>6.5000000000000002E-2</v>
      </c>
      <c r="E134" s="1856">
        <v>6.5000000000000002E-2</v>
      </c>
      <c r="F134" s="1857">
        <v>0.13</v>
      </c>
    </row>
    <row r="135" spans="1:6" ht="14.25" thickBot="1">
      <c r="A135" s="1851" t="s">
        <v>1407</v>
      </c>
      <c r="B135" s="1855" t="s">
        <v>1313</v>
      </c>
      <c r="C135" s="1856">
        <v>0.123</v>
      </c>
      <c r="D135" s="1856">
        <v>0.123</v>
      </c>
      <c r="E135" s="1856">
        <v>0.11</v>
      </c>
      <c r="F135" s="1864"/>
    </row>
    <row r="136" spans="1:6" ht="14.25" thickBot="1">
      <c r="A136" s="1851" t="s">
        <v>1407</v>
      </c>
      <c r="B136" s="1855" t="s">
        <v>1320</v>
      </c>
      <c r="C136" s="1856">
        <v>0.13</v>
      </c>
      <c r="D136" s="1856">
        <v>0.13</v>
      </c>
      <c r="E136" s="1856">
        <v>0.125</v>
      </c>
      <c r="F136" s="1864"/>
    </row>
    <row r="137" spans="1:6" ht="14.25" thickBot="1">
      <c r="A137" s="1851" t="s">
        <v>1407</v>
      </c>
      <c r="B137" s="1855" t="s">
        <v>1327</v>
      </c>
      <c r="C137" s="1856">
        <v>0.121</v>
      </c>
      <c r="D137" s="1856">
        <v>0.122</v>
      </c>
      <c r="E137" s="1856">
        <v>0.115</v>
      </c>
      <c r="F137" s="1864"/>
    </row>
    <row r="138" spans="1:6" ht="14.25" thickBot="1">
      <c r="A138" s="1851" t="s">
        <v>1407</v>
      </c>
      <c r="B138" s="1855" t="s">
        <v>2105</v>
      </c>
      <c r="C138" s="1856">
        <v>0.105</v>
      </c>
      <c r="D138" s="1856">
        <v>0.125</v>
      </c>
      <c r="E138" s="1856">
        <v>0.112</v>
      </c>
      <c r="F138" s="1864"/>
    </row>
    <row r="139" spans="1:6" ht="14.25" thickBot="1">
      <c r="A139" s="1851" t="s">
        <v>1407</v>
      </c>
      <c r="B139" s="1855" t="s">
        <v>2106</v>
      </c>
      <c r="C139" s="1856">
        <v>0.127</v>
      </c>
      <c r="D139" s="1856">
        <v>0.127</v>
      </c>
      <c r="E139" s="1856">
        <v>0.122</v>
      </c>
      <c r="F139" s="1857">
        <v>0.13</v>
      </c>
    </row>
    <row r="140" spans="1:6" ht="14.25" thickBot="1">
      <c r="A140" s="1851" t="s">
        <v>1407</v>
      </c>
      <c r="B140" s="1855" t="s">
        <v>2107</v>
      </c>
      <c r="C140" s="1856">
        <v>0.125</v>
      </c>
      <c r="D140" s="1856">
        <v>0.125</v>
      </c>
      <c r="E140" s="1856">
        <v>0.11899999999999999</v>
      </c>
      <c r="F140" s="1857">
        <v>0.13</v>
      </c>
    </row>
    <row r="141" spans="1:6" ht="14.25" thickBot="1">
      <c r="A141" s="1851" t="s">
        <v>1407</v>
      </c>
      <c r="B141" s="1855" t="s">
        <v>1346</v>
      </c>
      <c r="C141" s="1856">
        <v>0.125</v>
      </c>
      <c r="D141" s="1856">
        <v>0.125</v>
      </c>
      <c r="E141" s="1856">
        <v>0.11700000000000001</v>
      </c>
      <c r="F141" s="1864"/>
    </row>
    <row r="142" spans="1:6" ht="14.25" thickBot="1">
      <c r="A142" s="1851" t="s">
        <v>1407</v>
      </c>
      <c r="B142" s="1855" t="s">
        <v>1351</v>
      </c>
      <c r="C142" s="1856">
        <v>0.125</v>
      </c>
      <c r="D142" s="1856">
        <v>0.125</v>
      </c>
      <c r="E142" s="1856">
        <v>0.115</v>
      </c>
      <c r="F142" s="1864"/>
    </row>
    <row r="143" spans="1:6" ht="14.25" thickBot="1">
      <c r="A143" s="1851" t="s">
        <v>1407</v>
      </c>
      <c r="B143" s="1855" t="s">
        <v>1356</v>
      </c>
      <c r="C143" s="1856">
        <v>0.121</v>
      </c>
      <c r="D143" s="1856">
        <v>0.121</v>
      </c>
      <c r="E143" s="1856">
        <v>0.108</v>
      </c>
      <c r="F143" s="1864"/>
    </row>
    <row r="144" spans="1:6" ht="14.25" thickBot="1">
      <c r="A144" s="1851" t="s">
        <v>1407</v>
      </c>
      <c r="B144" s="1868" t="s">
        <v>2108</v>
      </c>
      <c r="C144" s="1869">
        <v>0.126</v>
      </c>
      <c r="D144" s="1869">
        <v>0.126</v>
      </c>
      <c r="E144" s="1869">
        <v>0.121</v>
      </c>
      <c r="F144" s="1864"/>
    </row>
    <row r="145" spans="1:6" ht="14.25" thickBot="1">
      <c r="A145" s="1859" t="s">
        <v>1407</v>
      </c>
      <c r="B145" s="1870" t="s">
        <v>2109</v>
      </c>
      <c r="C145" s="1871"/>
      <c r="D145" s="1871"/>
      <c r="E145" s="1871"/>
      <c r="F145" s="1872">
        <v>0.05</v>
      </c>
    </row>
    <row r="146" spans="1:6" ht="24.75" thickBot="1">
      <c r="A146" s="1873" t="s">
        <v>1407</v>
      </c>
      <c r="B146" s="1858" t="s">
        <v>2110</v>
      </c>
      <c r="C146" s="1865"/>
      <c r="D146" s="1865"/>
      <c r="E146" s="1865"/>
      <c r="F146" s="1874">
        <v>0.05</v>
      </c>
    </row>
    <row r="147" spans="1:6" ht="24.75" thickBot="1">
      <c r="A147" s="1851" t="s">
        <v>1407</v>
      </c>
      <c r="B147" s="1855" t="s">
        <v>2111</v>
      </c>
      <c r="C147" s="1865"/>
      <c r="D147" s="1865"/>
      <c r="E147" s="1865"/>
      <c r="F147" s="1857">
        <v>0.05</v>
      </c>
    </row>
    <row r="148" spans="1:6" ht="24.75" thickBot="1">
      <c r="A148" s="1851" t="s">
        <v>1407</v>
      </c>
      <c r="B148" s="1855" t="s">
        <v>2112</v>
      </c>
      <c r="C148" s="1865"/>
      <c r="D148" s="1865"/>
      <c r="E148" s="1865"/>
      <c r="F148" s="1857">
        <v>0.05</v>
      </c>
    </row>
    <row r="149" spans="1:6" ht="24.75" thickBot="1">
      <c r="A149" s="1851" t="s">
        <v>1407</v>
      </c>
      <c r="B149" s="1855" t="s">
        <v>2113</v>
      </c>
      <c r="C149" s="1865"/>
      <c r="D149" s="1865"/>
      <c r="E149" s="1865"/>
      <c r="F149" s="1857">
        <v>0.05</v>
      </c>
    </row>
    <row r="150" spans="1:6" ht="24.75" thickBot="1">
      <c r="A150" s="1851" t="s">
        <v>1407</v>
      </c>
      <c r="B150" s="1855" t="s">
        <v>2114</v>
      </c>
      <c r="C150" s="1865"/>
      <c r="D150" s="1865"/>
      <c r="E150" s="1865"/>
      <c r="F150" s="1857">
        <v>0.05</v>
      </c>
    </row>
    <row r="151" spans="1:6" ht="24.75" thickBot="1">
      <c r="A151" s="1851" t="s">
        <v>1407</v>
      </c>
      <c r="B151" s="1855" t="s">
        <v>2115</v>
      </c>
      <c r="C151" s="1865"/>
      <c r="D151" s="1865"/>
      <c r="E151" s="1865"/>
      <c r="F151" s="1857">
        <v>0.05</v>
      </c>
    </row>
    <row r="152" spans="1:6" ht="24.75" thickBot="1">
      <c r="A152" s="1851" t="s">
        <v>1407</v>
      </c>
      <c r="B152" s="1855" t="s">
        <v>1389</v>
      </c>
      <c r="C152" s="1865"/>
      <c r="D152" s="1865"/>
      <c r="E152" s="1865"/>
      <c r="F152" s="1857">
        <v>0.05</v>
      </c>
    </row>
    <row r="153" spans="1:6" ht="14.25" thickBot="1">
      <c r="A153" s="1851" t="s">
        <v>1407</v>
      </c>
      <c r="B153" s="1855" t="s">
        <v>2116</v>
      </c>
      <c r="C153" s="1865"/>
      <c r="D153" s="1865"/>
      <c r="E153" s="1865"/>
      <c r="F153" s="1857">
        <v>0.05</v>
      </c>
    </row>
    <row r="154" spans="1:6" ht="14.25" thickBot="1">
      <c r="A154" s="1851" t="s">
        <v>1407</v>
      </c>
      <c r="B154" s="1855" t="s">
        <v>2117</v>
      </c>
      <c r="C154" s="1865"/>
      <c r="D154" s="1865"/>
      <c r="E154" s="1865"/>
      <c r="F154" s="1857">
        <v>0.05</v>
      </c>
    </row>
    <row r="155" spans="1:6" ht="24.75" thickBot="1">
      <c r="A155" s="1851" t="s">
        <v>1407</v>
      </c>
      <c r="B155" s="1855" t="s">
        <v>2118</v>
      </c>
      <c r="C155" s="1865"/>
      <c r="D155" s="1865"/>
      <c r="E155" s="1865"/>
      <c r="F155" s="1857">
        <v>0.05</v>
      </c>
    </row>
    <row r="156" spans="1:6" ht="24.75" thickBot="1">
      <c r="A156" s="1851" t="s">
        <v>1407</v>
      </c>
      <c r="B156" s="1855" t="s">
        <v>2119</v>
      </c>
      <c r="C156" s="1865"/>
      <c r="D156" s="1865"/>
      <c r="E156" s="1865"/>
      <c r="F156" s="1857">
        <v>0.05</v>
      </c>
    </row>
    <row r="157" spans="1:6" ht="14.25" thickBot="1">
      <c r="A157" s="1859" t="s">
        <v>1407</v>
      </c>
      <c r="B157" s="1866" t="s">
        <v>2120</v>
      </c>
      <c r="C157" s="1862"/>
      <c r="D157" s="1862"/>
      <c r="E157" s="1862"/>
      <c r="F157" s="1867">
        <v>0.05</v>
      </c>
    </row>
    <row r="158" spans="1:6" ht="14.25" thickBot="1">
      <c r="A158" s="1851" t="s">
        <v>1409</v>
      </c>
      <c r="B158" s="1852" t="s">
        <v>2121</v>
      </c>
      <c r="C158" s="1853">
        <v>0.13</v>
      </c>
      <c r="D158" s="1853">
        <v>0.13</v>
      </c>
      <c r="E158" s="1853">
        <v>0.13</v>
      </c>
      <c r="F158" s="1854">
        <v>0.13</v>
      </c>
    </row>
    <row r="159" spans="1:6" ht="14.25" thickBot="1">
      <c r="A159" s="1851" t="s">
        <v>1409</v>
      </c>
      <c r="B159" s="1855" t="s">
        <v>1074</v>
      </c>
      <c r="C159" s="1856">
        <v>0.13</v>
      </c>
      <c r="D159" s="1856">
        <v>0.13</v>
      </c>
      <c r="E159" s="1856">
        <v>0.13</v>
      </c>
      <c r="F159" s="1857">
        <v>0.13</v>
      </c>
    </row>
    <row r="160" spans="1:6" ht="14.25" thickBot="1">
      <c r="A160" s="1851" t="s">
        <v>1409</v>
      </c>
      <c r="B160" s="1855" t="s">
        <v>1088</v>
      </c>
      <c r="C160" s="1856">
        <v>0.13</v>
      </c>
      <c r="D160" s="1856">
        <v>0.13</v>
      </c>
      <c r="E160" s="1856">
        <v>0.129</v>
      </c>
      <c r="F160" s="1857">
        <v>0.13</v>
      </c>
    </row>
    <row r="161" spans="1:6" ht="14.25" thickBot="1">
      <c r="A161" s="1851" t="s">
        <v>1409</v>
      </c>
      <c r="B161" s="1855" t="s">
        <v>1101</v>
      </c>
      <c r="C161" s="1856">
        <v>0.128</v>
      </c>
      <c r="D161" s="1856">
        <v>0.128</v>
      </c>
      <c r="E161" s="1856">
        <v>0.125</v>
      </c>
      <c r="F161" s="1857">
        <v>0.13</v>
      </c>
    </row>
    <row r="162" spans="1:6" ht="14.25" thickBot="1">
      <c r="A162" s="1851" t="s">
        <v>1409</v>
      </c>
      <c r="B162" s="1855" t="s">
        <v>1115</v>
      </c>
      <c r="C162" s="1856">
        <v>0.122</v>
      </c>
      <c r="D162" s="1856">
        <v>0.122</v>
      </c>
      <c r="E162" s="1856">
        <v>0.126</v>
      </c>
      <c r="F162" s="1857">
        <v>0.122</v>
      </c>
    </row>
    <row r="163" spans="1:6" ht="14.25" thickBot="1">
      <c r="A163" s="1851" t="s">
        <v>1409</v>
      </c>
      <c r="B163" s="1855" t="s">
        <v>1126</v>
      </c>
      <c r="C163" s="1856">
        <v>0.13</v>
      </c>
      <c r="D163" s="1856">
        <v>0.13</v>
      </c>
      <c r="E163" s="1856">
        <v>0.125</v>
      </c>
      <c r="F163" s="1857">
        <v>0.13</v>
      </c>
    </row>
    <row r="164" spans="1:6" ht="14.25" thickBot="1">
      <c r="A164" s="1851" t="s">
        <v>1409</v>
      </c>
      <c r="B164" s="1855" t="s">
        <v>1137</v>
      </c>
      <c r="C164" s="1856">
        <v>0.13</v>
      </c>
      <c r="D164" s="1856">
        <v>0.13</v>
      </c>
      <c r="E164" s="1856">
        <v>0.13</v>
      </c>
      <c r="F164" s="1857">
        <v>0.13</v>
      </c>
    </row>
    <row r="165" spans="1:6" ht="14.25" thickBot="1">
      <c r="A165" s="1851" t="s">
        <v>1409</v>
      </c>
      <c r="B165" s="1855" t="s">
        <v>1148</v>
      </c>
      <c r="C165" s="1856">
        <v>0.13</v>
      </c>
      <c r="D165" s="1856">
        <v>0.13</v>
      </c>
      <c r="E165" s="1856">
        <v>0.124</v>
      </c>
      <c r="F165" s="1857">
        <v>0.13</v>
      </c>
    </row>
    <row r="166" spans="1:6" ht="14.25" thickBot="1">
      <c r="A166" s="1851" t="s">
        <v>1409</v>
      </c>
      <c r="B166" s="1855" t="s">
        <v>1160</v>
      </c>
      <c r="C166" s="1856">
        <v>0.13</v>
      </c>
      <c r="D166" s="1856">
        <v>0.13</v>
      </c>
      <c r="E166" s="1856">
        <v>0.13</v>
      </c>
      <c r="F166" s="1857">
        <v>0.13</v>
      </c>
    </row>
    <row r="167" spans="1:6" ht="14.25" thickBot="1">
      <c r="A167" s="1851" t="s">
        <v>1409</v>
      </c>
      <c r="B167" s="1855" t="s">
        <v>1170</v>
      </c>
      <c r="C167" s="1856">
        <v>0.125</v>
      </c>
      <c r="D167" s="1856">
        <v>0.125</v>
      </c>
      <c r="E167" s="1856">
        <v>0.121</v>
      </c>
      <c r="F167" s="1864"/>
    </row>
    <row r="168" spans="1:6" ht="14.25" thickBot="1">
      <c r="A168" s="1851" t="s">
        <v>1409</v>
      </c>
      <c r="B168" s="1855" t="s">
        <v>1180</v>
      </c>
      <c r="C168" s="1856">
        <v>0.13</v>
      </c>
      <c r="D168" s="1856">
        <v>0.13</v>
      </c>
      <c r="E168" s="1856">
        <v>0.126</v>
      </c>
      <c r="F168" s="1864"/>
    </row>
    <row r="169" spans="1:6" ht="14.25" thickBot="1">
      <c r="A169" s="1851" t="s">
        <v>1409</v>
      </c>
      <c r="B169" s="1855" t="s">
        <v>1190</v>
      </c>
      <c r="C169" s="1856">
        <v>0.128</v>
      </c>
      <c r="D169" s="1856">
        <v>0.129</v>
      </c>
      <c r="E169" s="1856">
        <v>0.13</v>
      </c>
      <c r="F169" s="1864"/>
    </row>
    <row r="170" spans="1:6" ht="14.25" thickBot="1">
      <c r="A170" s="1851" t="s">
        <v>1409</v>
      </c>
      <c r="B170" s="1855" t="s">
        <v>1200</v>
      </c>
      <c r="C170" s="1856">
        <v>0.14099999999999999</v>
      </c>
      <c r="D170" s="1856">
        <v>0.13</v>
      </c>
      <c r="E170" s="1856">
        <v>0.125</v>
      </c>
      <c r="F170" s="1864"/>
    </row>
    <row r="171" spans="1:6" ht="14.25" thickBot="1">
      <c r="A171" s="1851" t="s">
        <v>1409</v>
      </c>
      <c r="B171" s="1855" t="s">
        <v>2122</v>
      </c>
      <c r="C171" s="1856">
        <v>0.127</v>
      </c>
      <c r="D171" s="1856">
        <v>0.126</v>
      </c>
      <c r="E171" s="1856">
        <v>0.126</v>
      </c>
      <c r="F171" s="1857">
        <v>0.11799999999999999</v>
      </c>
    </row>
    <row r="172" spans="1:6" ht="14.25" thickBot="1">
      <c r="A172" s="1851" t="s">
        <v>1409</v>
      </c>
      <c r="B172" s="1855" t="s">
        <v>2123</v>
      </c>
      <c r="C172" s="1856">
        <v>0.13</v>
      </c>
      <c r="D172" s="1856">
        <v>0.13</v>
      </c>
      <c r="E172" s="1856">
        <v>0.13</v>
      </c>
      <c r="F172" s="1864"/>
    </row>
    <row r="173" spans="1:6" ht="14.25" thickBot="1">
      <c r="A173" s="1851" t="s">
        <v>1409</v>
      </c>
      <c r="B173" s="1855" t="s">
        <v>1230</v>
      </c>
      <c r="C173" s="1856">
        <v>0.13</v>
      </c>
      <c r="D173" s="1856">
        <v>0.13</v>
      </c>
      <c r="E173" s="1856">
        <v>0.13</v>
      </c>
      <c r="F173" s="1864"/>
    </row>
    <row r="174" spans="1:6" ht="14.25" thickBot="1">
      <c r="A174" s="1851" t="s">
        <v>1409</v>
      </c>
      <c r="B174" s="1855" t="s">
        <v>2124</v>
      </c>
      <c r="C174" s="1856">
        <v>0.13</v>
      </c>
      <c r="D174" s="1856">
        <v>0.13</v>
      </c>
      <c r="E174" s="1856">
        <v>0.13</v>
      </c>
      <c r="F174" s="1857">
        <v>0.13</v>
      </c>
    </row>
    <row r="175" spans="1:6" ht="14.25" thickBot="1">
      <c r="A175" s="1851" t="s">
        <v>1409</v>
      </c>
      <c r="B175" s="1855" t="s">
        <v>2125</v>
      </c>
      <c r="C175" s="1856">
        <v>0.13</v>
      </c>
      <c r="D175" s="1856">
        <v>0.13</v>
      </c>
      <c r="E175" s="1856">
        <v>0.13</v>
      </c>
      <c r="F175" s="1857">
        <v>0.13</v>
      </c>
    </row>
    <row r="176" spans="1:6" ht="14.25" thickBot="1">
      <c r="A176" s="1851" t="s">
        <v>1409</v>
      </c>
      <c r="B176" s="1855" t="s">
        <v>1260</v>
      </c>
      <c r="C176" s="1856">
        <v>0.13</v>
      </c>
      <c r="D176" s="1856">
        <v>0.13</v>
      </c>
      <c r="E176" s="1856">
        <v>0.13</v>
      </c>
      <c r="F176" s="1857">
        <v>0.13</v>
      </c>
    </row>
    <row r="177" spans="1:6" ht="14.25" thickBot="1">
      <c r="A177" s="1851" t="s">
        <v>1409</v>
      </c>
      <c r="B177" s="1855" t="s">
        <v>2126</v>
      </c>
      <c r="C177" s="1856">
        <v>0.13</v>
      </c>
      <c r="D177" s="1856">
        <v>0.13</v>
      </c>
      <c r="E177" s="1856">
        <v>0.13</v>
      </c>
      <c r="F177" s="1857">
        <v>0.13</v>
      </c>
    </row>
    <row r="178" spans="1:6" ht="14.25" thickBot="1">
      <c r="A178" s="1851" t="s">
        <v>1409</v>
      </c>
      <c r="B178" s="1855" t="s">
        <v>1278</v>
      </c>
      <c r="C178" s="1856">
        <v>0.13</v>
      </c>
      <c r="D178" s="1856">
        <v>0.13</v>
      </c>
      <c r="E178" s="1856">
        <v>0.13</v>
      </c>
      <c r="F178" s="1857">
        <v>0.127</v>
      </c>
    </row>
    <row r="179" spans="1:6" ht="14.25" thickBot="1">
      <c r="A179" s="1851" t="s">
        <v>1409</v>
      </c>
      <c r="B179" s="1855" t="s">
        <v>1286</v>
      </c>
      <c r="C179" s="1856">
        <v>0.13</v>
      </c>
      <c r="D179" s="1856">
        <v>0.13</v>
      </c>
      <c r="E179" s="1856">
        <v>0.13</v>
      </c>
      <c r="F179" s="1864"/>
    </row>
    <row r="180" spans="1:6" ht="14.25" thickBot="1">
      <c r="A180" s="1851" t="s">
        <v>1409</v>
      </c>
      <c r="B180" s="1855" t="s">
        <v>2127</v>
      </c>
      <c r="C180" s="1856">
        <v>0.13</v>
      </c>
      <c r="D180" s="1856">
        <v>0.13</v>
      </c>
      <c r="E180" s="1856">
        <v>0.125</v>
      </c>
      <c r="F180" s="1857">
        <v>0.13</v>
      </c>
    </row>
    <row r="181" spans="1:6" ht="14.25" thickBot="1">
      <c r="A181" s="1851" t="s">
        <v>1409</v>
      </c>
      <c r="B181" s="1855" t="s">
        <v>1300</v>
      </c>
      <c r="C181" s="1856">
        <v>0.122</v>
      </c>
      <c r="D181" s="1856">
        <v>0.123</v>
      </c>
      <c r="E181" s="1856">
        <v>0.126</v>
      </c>
      <c r="F181" s="1857">
        <v>0.121</v>
      </c>
    </row>
    <row r="182" spans="1:6" ht="14.25" thickBot="1">
      <c r="A182" s="1851" t="s">
        <v>1409</v>
      </c>
      <c r="B182" s="1855" t="s">
        <v>1307</v>
      </c>
      <c r="C182" s="1856">
        <v>0.125</v>
      </c>
      <c r="D182" s="1856">
        <v>0.125</v>
      </c>
      <c r="E182" s="1856">
        <v>0.11700000000000001</v>
      </c>
      <c r="F182" s="1857">
        <v>0.13</v>
      </c>
    </row>
    <row r="183" spans="1:6" ht="14.25" thickBot="1">
      <c r="A183" s="1851" t="s">
        <v>1409</v>
      </c>
      <c r="B183" s="1855" t="s">
        <v>1314</v>
      </c>
      <c r="C183" s="1856">
        <v>0.127</v>
      </c>
      <c r="D183" s="1856">
        <v>0.127</v>
      </c>
      <c r="E183" s="1856">
        <v>0.128</v>
      </c>
      <c r="F183" s="1864"/>
    </row>
    <row r="184" spans="1:6" ht="14.25" thickBot="1">
      <c r="A184" s="1851" t="s">
        <v>1409</v>
      </c>
      <c r="B184" s="1855" t="s">
        <v>1321</v>
      </c>
      <c r="C184" s="1856">
        <v>0.125</v>
      </c>
      <c r="D184" s="1856">
        <v>0.125</v>
      </c>
      <c r="E184" s="1856">
        <v>0.127</v>
      </c>
      <c r="F184" s="1864"/>
    </row>
    <row r="185" spans="1:6" ht="14.25" thickBot="1">
      <c r="A185" s="1851" t="s">
        <v>1409</v>
      </c>
      <c r="B185" s="1855" t="s">
        <v>2128</v>
      </c>
      <c r="C185" s="1856">
        <v>0.127</v>
      </c>
      <c r="D185" s="1856">
        <v>0.127</v>
      </c>
      <c r="E185" s="1856">
        <v>0.128</v>
      </c>
      <c r="F185" s="1857">
        <v>0.13</v>
      </c>
    </row>
    <row r="186" spans="1:6" ht="24.75" thickBot="1">
      <c r="A186" s="1851" t="s">
        <v>1409</v>
      </c>
      <c r="B186" s="1855" t="s">
        <v>2129</v>
      </c>
      <c r="C186" s="1865"/>
      <c r="D186" s="1865"/>
      <c r="E186" s="1865"/>
      <c r="F186" s="1857">
        <v>0.05</v>
      </c>
    </row>
    <row r="187" spans="1:6" ht="14.25" thickBot="1">
      <c r="A187" s="1851" t="s">
        <v>1409</v>
      </c>
      <c r="B187" s="1855" t="s">
        <v>2130</v>
      </c>
      <c r="C187" s="1865"/>
      <c r="D187" s="1865"/>
      <c r="E187" s="1865"/>
      <c r="F187" s="1857">
        <v>0.05</v>
      </c>
    </row>
    <row r="188" spans="1:6" ht="14.25" thickBot="1">
      <c r="A188" s="1851" t="s">
        <v>1409</v>
      </c>
      <c r="B188" s="1855" t="s">
        <v>2131</v>
      </c>
      <c r="C188" s="1865"/>
      <c r="D188" s="1865"/>
      <c r="E188" s="1865"/>
      <c r="F188" s="1857">
        <v>0.05</v>
      </c>
    </row>
    <row r="189" spans="1:6" ht="24.75" thickBot="1">
      <c r="A189" s="1851" t="s">
        <v>1409</v>
      </c>
      <c r="B189" s="1855" t="s">
        <v>2132</v>
      </c>
      <c r="C189" s="1865"/>
      <c r="D189" s="1865"/>
      <c r="E189" s="1865"/>
      <c r="F189" s="1857">
        <v>0.05</v>
      </c>
    </row>
    <row r="190" spans="1:6" ht="24.75" thickBot="1">
      <c r="A190" s="1851" t="s">
        <v>1409</v>
      </c>
      <c r="B190" s="1855" t="s">
        <v>2133</v>
      </c>
      <c r="C190" s="1865"/>
      <c r="D190" s="1865"/>
      <c r="E190" s="1865"/>
      <c r="F190" s="1857">
        <v>0.05</v>
      </c>
    </row>
    <row r="191" spans="1:6" ht="24.75" thickBot="1">
      <c r="A191" s="1851" t="s">
        <v>1409</v>
      </c>
      <c r="B191" s="1855" t="s">
        <v>2134</v>
      </c>
      <c r="C191" s="1865"/>
      <c r="D191" s="1865"/>
      <c r="E191" s="1865"/>
      <c r="F191" s="1857">
        <v>0.05</v>
      </c>
    </row>
    <row r="192" spans="1:6" ht="24.75" thickBot="1">
      <c r="A192" s="1851" t="s">
        <v>1409</v>
      </c>
      <c r="B192" s="1855" t="s">
        <v>2135</v>
      </c>
      <c r="C192" s="1865"/>
      <c r="D192" s="1865"/>
      <c r="E192" s="1865"/>
      <c r="F192" s="1857">
        <v>0.05</v>
      </c>
    </row>
    <row r="193" spans="1:6" ht="24.75" thickBot="1">
      <c r="A193" s="1851" t="s">
        <v>1409</v>
      </c>
      <c r="B193" s="1855" t="s">
        <v>2136</v>
      </c>
      <c r="C193" s="1865"/>
      <c r="D193" s="1865"/>
      <c r="E193" s="1865"/>
      <c r="F193" s="1857">
        <v>0.05</v>
      </c>
    </row>
    <row r="194" spans="1:6" ht="24.75" thickBot="1">
      <c r="A194" s="1851" t="s">
        <v>1409</v>
      </c>
      <c r="B194" s="1855" t="s">
        <v>2137</v>
      </c>
      <c r="C194" s="1865"/>
      <c r="D194" s="1865"/>
      <c r="E194" s="1865"/>
      <c r="F194" s="1857">
        <v>0.05</v>
      </c>
    </row>
    <row r="195" spans="1:6" ht="14.25" thickBot="1">
      <c r="A195" s="1851" t="s">
        <v>1409</v>
      </c>
      <c r="B195" s="1855" t="s">
        <v>2138</v>
      </c>
      <c r="C195" s="1865"/>
      <c r="D195" s="1865"/>
      <c r="E195" s="1865"/>
      <c r="F195" s="1857">
        <v>0.05</v>
      </c>
    </row>
    <row r="196" spans="1:6" ht="24.75" thickBot="1">
      <c r="A196" s="1851" t="s">
        <v>1409</v>
      </c>
      <c r="B196" s="1855" t="s">
        <v>2139</v>
      </c>
      <c r="C196" s="1865"/>
      <c r="D196" s="1865"/>
      <c r="E196" s="1865"/>
      <c r="F196" s="1857">
        <v>0.05</v>
      </c>
    </row>
    <row r="197" spans="1:6" ht="24.75" thickBot="1">
      <c r="A197" s="1851" t="s">
        <v>1409</v>
      </c>
      <c r="B197" s="1855" t="s">
        <v>2140</v>
      </c>
      <c r="C197" s="1865"/>
      <c r="D197" s="1865"/>
      <c r="E197" s="1865"/>
      <c r="F197" s="1857">
        <v>0.05</v>
      </c>
    </row>
    <row r="198" spans="1:6" ht="24.75" thickBot="1">
      <c r="A198" s="1851" t="s">
        <v>1409</v>
      </c>
      <c r="B198" s="1855" t="s">
        <v>2141</v>
      </c>
      <c r="C198" s="1865"/>
      <c r="D198" s="1865"/>
      <c r="E198" s="1865"/>
      <c r="F198" s="1857">
        <v>0.05</v>
      </c>
    </row>
    <row r="199" spans="1:6" ht="24.75" thickBot="1">
      <c r="A199" s="1851" t="s">
        <v>1409</v>
      </c>
      <c r="B199" s="1855" t="s">
        <v>2142</v>
      </c>
      <c r="C199" s="1865"/>
      <c r="D199" s="1865"/>
      <c r="E199" s="1865"/>
      <c r="F199" s="1857">
        <v>0.05</v>
      </c>
    </row>
    <row r="200" spans="1:6" ht="24.75" thickBot="1">
      <c r="A200" s="1851" t="s">
        <v>1409</v>
      </c>
      <c r="B200" s="1855" t="s">
        <v>2143</v>
      </c>
      <c r="C200" s="1865"/>
      <c r="D200" s="1865"/>
      <c r="E200" s="1865"/>
      <c r="F200" s="1857">
        <v>0.05</v>
      </c>
    </row>
    <row r="201" spans="1:6" ht="24.75" thickBot="1">
      <c r="A201" s="1851" t="s">
        <v>1409</v>
      </c>
      <c r="B201" s="1855" t="s">
        <v>2144</v>
      </c>
      <c r="C201" s="1865"/>
      <c r="D201" s="1865"/>
      <c r="E201" s="1865"/>
      <c r="F201" s="1857">
        <v>0.05</v>
      </c>
    </row>
    <row r="202" spans="1:6" ht="24.75" thickBot="1">
      <c r="A202" s="1851" t="s">
        <v>1409</v>
      </c>
      <c r="B202" s="1855" t="s">
        <v>2145</v>
      </c>
      <c r="C202" s="1865"/>
      <c r="D202" s="1865"/>
      <c r="E202" s="1865"/>
      <c r="F202" s="1857">
        <v>0.05</v>
      </c>
    </row>
    <row r="203" spans="1:6" ht="24.75" thickBot="1">
      <c r="A203" s="1851" t="s">
        <v>1409</v>
      </c>
      <c r="B203" s="1855" t="s">
        <v>2146</v>
      </c>
      <c r="C203" s="1865"/>
      <c r="D203" s="1865"/>
      <c r="E203" s="1865"/>
      <c r="F203" s="1857">
        <v>0.05</v>
      </c>
    </row>
    <row r="204" spans="1:6" ht="14.25" thickBot="1">
      <c r="A204" s="1851" t="s">
        <v>1409</v>
      </c>
      <c r="B204" s="1855" t="s">
        <v>2147</v>
      </c>
      <c r="C204" s="1865"/>
      <c r="D204" s="1865"/>
      <c r="E204" s="1865"/>
      <c r="F204" s="1857">
        <v>0.05</v>
      </c>
    </row>
    <row r="205" spans="1:6" ht="14.25" thickBot="1">
      <c r="A205" s="1859" t="s">
        <v>1409</v>
      </c>
      <c r="B205" s="1866" t="s">
        <v>2148</v>
      </c>
      <c r="C205" s="1862"/>
      <c r="D205" s="1862"/>
      <c r="E205" s="1862"/>
      <c r="F205" s="1867">
        <v>0.05</v>
      </c>
    </row>
    <row r="206" spans="1:6" ht="14.25" thickBot="1">
      <c r="A206" s="1851" t="s">
        <v>1411</v>
      </c>
      <c r="B206" s="1852" t="s">
        <v>2149</v>
      </c>
      <c r="C206" s="1853">
        <v>0.15</v>
      </c>
      <c r="D206" s="1853">
        <v>0.15</v>
      </c>
      <c r="E206" s="1853">
        <v>0.15</v>
      </c>
      <c r="F206" s="1854">
        <v>0.15</v>
      </c>
    </row>
    <row r="207" spans="1:6" ht="14.25" thickBot="1">
      <c r="A207" s="1851" t="s">
        <v>1411</v>
      </c>
      <c r="B207" s="1855" t="s">
        <v>1075</v>
      </c>
      <c r="C207" s="1856">
        <v>0.15</v>
      </c>
      <c r="D207" s="1856">
        <v>0.15</v>
      </c>
      <c r="E207" s="1856">
        <v>0.15</v>
      </c>
      <c r="F207" s="1857">
        <v>0.14399999999999999</v>
      </c>
    </row>
    <row r="208" spans="1:6" ht="14.25" thickBot="1">
      <c r="A208" s="1851" t="s">
        <v>1411</v>
      </c>
      <c r="B208" s="1855" t="s">
        <v>1089</v>
      </c>
      <c r="C208" s="1856">
        <v>0.15</v>
      </c>
      <c r="D208" s="1856">
        <v>0.15</v>
      </c>
      <c r="E208" s="1856">
        <v>0.15</v>
      </c>
      <c r="F208" s="1857">
        <v>0.15</v>
      </c>
    </row>
    <row r="209" spans="1:6" ht="14.25" thickBot="1">
      <c r="A209" s="1851" t="s">
        <v>1411</v>
      </c>
      <c r="B209" s="1855" t="s">
        <v>1102</v>
      </c>
      <c r="C209" s="1856">
        <v>0.13700000000000001</v>
      </c>
      <c r="D209" s="1856">
        <v>0.13700000000000001</v>
      </c>
      <c r="E209" s="1856">
        <v>0.14000000000000001</v>
      </c>
      <c r="F209" s="1857">
        <v>0.11700000000000001</v>
      </c>
    </row>
    <row r="210" spans="1:6" ht="14.25" thickBot="1">
      <c r="A210" s="1851" t="s">
        <v>1411</v>
      </c>
      <c r="B210" s="1855" t="s">
        <v>2150</v>
      </c>
      <c r="C210" s="1856">
        <v>0.15</v>
      </c>
      <c r="D210" s="1856">
        <v>0.15</v>
      </c>
      <c r="E210" s="1856">
        <v>0.15</v>
      </c>
      <c r="F210" s="1857">
        <v>0.13800000000000001</v>
      </c>
    </row>
    <row r="211" spans="1:6" ht="14.25" thickBot="1">
      <c r="A211" s="1851" t="s">
        <v>1411</v>
      </c>
      <c r="B211" s="1855" t="s">
        <v>2151</v>
      </c>
      <c r="C211" s="1856">
        <v>0.13700000000000001</v>
      </c>
      <c r="D211" s="1856">
        <v>0.13500000000000001</v>
      </c>
      <c r="E211" s="1856">
        <v>0.13600000000000001</v>
      </c>
      <c r="F211" s="1857">
        <v>0.1</v>
      </c>
    </row>
    <row r="212" spans="1:6" ht="14.25" thickBot="1">
      <c r="A212" s="1851" t="s">
        <v>1411</v>
      </c>
      <c r="B212" s="1855" t="s">
        <v>2152</v>
      </c>
      <c r="C212" s="1856">
        <v>0.15</v>
      </c>
      <c r="D212" s="1856">
        <v>0.15</v>
      </c>
      <c r="E212" s="1856">
        <v>0.14799999999999999</v>
      </c>
      <c r="F212" s="1857">
        <v>0.13600000000000001</v>
      </c>
    </row>
    <row r="213" spans="1:6" ht="14.25" thickBot="1">
      <c r="A213" s="1851" t="s">
        <v>1411</v>
      </c>
      <c r="B213" s="1855" t="s">
        <v>1149</v>
      </c>
      <c r="C213" s="1856">
        <v>0.15</v>
      </c>
      <c r="D213" s="1856">
        <v>0.15</v>
      </c>
      <c r="E213" s="1856">
        <v>0.15</v>
      </c>
      <c r="F213" s="1857">
        <v>0.13800000000000001</v>
      </c>
    </row>
    <row r="214" spans="1:6" ht="14.25" thickBot="1">
      <c r="A214" s="1851" t="s">
        <v>1411</v>
      </c>
      <c r="B214" s="1855" t="s">
        <v>1161</v>
      </c>
      <c r="C214" s="1856">
        <v>9.0999999999999998E-2</v>
      </c>
      <c r="D214" s="1856">
        <v>0.09</v>
      </c>
      <c r="E214" s="1856">
        <v>9.1999999999999998E-2</v>
      </c>
      <c r="F214" s="1864"/>
    </row>
    <row r="215" spans="1:6" ht="14.25" thickBot="1">
      <c r="A215" s="1851" t="s">
        <v>1411</v>
      </c>
      <c r="B215" s="1855" t="s">
        <v>2153</v>
      </c>
      <c r="C215" s="1856">
        <v>0.15</v>
      </c>
      <c r="D215" s="1856">
        <v>0.15</v>
      </c>
      <c r="E215" s="1856">
        <v>0.15</v>
      </c>
      <c r="F215" s="1857">
        <v>0.15</v>
      </c>
    </row>
    <row r="216" spans="1:6" ht="14.25" thickBot="1">
      <c r="A216" s="1851" t="s">
        <v>1411</v>
      </c>
      <c r="B216" s="1855" t="s">
        <v>1181</v>
      </c>
      <c r="C216" s="1856">
        <v>0.14699999999999999</v>
      </c>
      <c r="D216" s="1856">
        <v>0.14699999999999999</v>
      </c>
      <c r="E216" s="1856">
        <v>0.15</v>
      </c>
      <c r="F216" s="1857">
        <v>0.14000000000000001</v>
      </c>
    </row>
    <row r="217" spans="1:6" ht="14.25" thickBot="1">
      <c r="A217" s="1851" t="s">
        <v>1411</v>
      </c>
      <c r="B217" s="1855" t="s">
        <v>1191</v>
      </c>
      <c r="C217" s="1856">
        <v>0.15</v>
      </c>
      <c r="D217" s="1856">
        <v>0.15</v>
      </c>
      <c r="E217" s="1856">
        <v>0.15</v>
      </c>
      <c r="F217" s="1857">
        <v>0.15</v>
      </c>
    </row>
    <row r="218" spans="1:6" ht="14.25" thickBot="1">
      <c r="A218" s="1851" t="s">
        <v>1411</v>
      </c>
      <c r="B218" s="1855" t="s">
        <v>2154</v>
      </c>
      <c r="C218" s="1856">
        <v>0.15</v>
      </c>
      <c r="D218" s="1856">
        <v>0.15</v>
      </c>
      <c r="E218" s="1856">
        <v>0.15</v>
      </c>
      <c r="F218" s="1857">
        <v>0.15</v>
      </c>
    </row>
    <row r="219" spans="1:6" ht="14.25" thickBot="1">
      <c r="A219" s="1851" t="s">
        <v>1411</v>
      </c>
      <c r="B219" s="1855" t="s">
        <v>1211</v>
      </c>
      <c r="C219" s="1856">
        <v>0.15</v>
      </c>
      <c r="D219" s="1856">
        <v>0.15</v>
      </c>
      <c r="E219" s="1856">
        <v>0.15</v>
      </c>
      <c r="F219" s="1857">
        <v>0.14799999999999999</v>
      </c>
    </row>
    <row r="220" spans="1:6" ht="14.25" thickBot="1">
      <c r="A220" s="1851" t="s">
        <v>1411</v>
      </c>
      <c r="B220" s="1855" t="s">
        <v>2155</v>
      </c>
      <c r="C220" s="1856">
        <v>0.15</v>
      </c>
      <c r="D220" s="1856">
        <v>0.15</v>
      </c>
      <c r="E220" s="1856">
        <v>0.15</v>
      </c>
      <c r="F220" s="1857">
        <v>0.15</v>
      </c>
    </row>
    <row r="221" spans="1:6" ht="14.25" thickBot="1">
      <c r="A221" s="1851" t="s">
        <v>1411</v>
      </c>
      <c r="B221" s="1855" t="s">
        <v>1231</v>
      </c>
      <c r="C221" s="1856"/>
      <c r="D221" s="1865"/>
      <c r="E221" s="1865"/>
      <c r="F221" s="1857">
        <v>0.14799999999999999</v>
      </c>
    </row>
    <row r="222" spans="1:6" ht="14.25" thickBot="1">
      <c r="A222" s="1851" t="s">
        <v>1411</v>
      </c>
      <c r="B222" s="1855" t="s">
        <v>1241</v>
      </c>
      <c r="C222" s="1856"/>
      <c r="D222" s="1865"/>
      <c r="E222" s="1865"/>
      <c r="F222" s="1857">
        <v>0.1</v>
      </c>
    </row>
    <row r="223" spans="1:6" ht="14.25" thickBot="1">
      <c r="A223" s="1851" t="s">
        <v>1411</v>
      </c>
      <c r="B223" s="1855" t="s">
        <v>1251</v>
      </c>
      <c r="C223" s="1856"/>
      <c r="D223" s="1865"/>
      <c r="E223" s="1865"/>
      <c r="F223" s="1857">
        <v>0.15</v>
      </c>
    </row>
    <row r="224" spans="1:6" ht="14.25" thickBot="1">
      <c r="A224" s="1851" t="s">
        <v>1411</v>
      </c>
      <c r="B224" s="1855" t="s">
        <v>1261</v>
      </c>
      <c r="C224" s="1856"/>
      <c r="D224" s="1865"/>
      <c r="E224" s="1865"/>
      <c r="F224" s="1857">
        <v>0.15</v>
      </c>
    </row>
    <row r="225" spans="1:6" ht="14.25" thickBot="1">
      <c r="A225" s="1851" t="s">
        <v>1411</v>
      </c>
      <c r="B225" s="1855" t="s">
        <v>2156</v>
      </c>
      <c r="C225" s="1856">
        <v>0.15</v>
      </c>
      <c r="D225" s="1856">
        <v>0.15</v>
      </c>
      <c r="E225" s="1856">
        <v>0.15</v>
      </c>
      <c r="F225" s="1857">
        <v>0.15</v>
      </c>
    </row>
    <row r="226" spans="1:6" ht="14.25" thickBot="1">
      <c r="A226" s="1851" t="s">
        <v>1411</v>
      </c>
      <c r="B226" s="1855" t="s">
        <v>1279</v>
      </c>
      <c r="C226" s="1856">
        <v>0.15</v>
      </c>
      <c r="D226" s="1856">
        <v>0.15</v>
      </c>
      <c r="E226" s="1856">
        <v>0.15</v>
      </c>
      <c r="F226" s="1857">
        <v>0.14799999999999999</v>
      </c>
    </row>
    <row r="227" spans="1:6" ht="14.25" thickBot="1">
      <c r="A227" s="1851" t="s">
        <v>1411</v>
      </c>
      <c r="B227" s="1855" t="s">
        <v>2157</v>
      </c>
      <c r="C227" s="1856">
        <v>0.15</v>
      </c>
      <c r="D227" s="1856">
        <v>0.15</v>
      </c>
      <c r="E227" s="1856">
        <v>0.15</v>
      </c>
      <c r="F227" s="1857">
        <v>0.15</v>
      </c>
    </row>
    <row r="228" spans="1:6" ht="14.25" thickBot="1">
      <c r="A228" s="1851" t="s">
        <v>1411</v>
      </c>
      <c r="B228" s="1855" t="s">
        <v>1294</v>
      </c>
      <c r="C228" s="1856">
        <v>0.15</v>
      </c>
      <c r="D228" s="1856">
        <v>0.15</v>
      </c>
      <c r="E228" s="1856">
        <v>0.15</v>
      </c>
      <c r="F228" s="1857">
        <v>0.15</v>
      </c>
    </row>
    <row r="229" spans="1:6" ht="14.25" thickBot="1">
      <c r="A229" s="1851" t="s">
        <v>1411</v>
      </c>
      <c r="B229" s="1855" t="s">
        <v>1301</v>
      </c>
      <c r="C229" s="1856">
        <v>0.15</v>
      </c>
      <c r="D229" s="1856">
        <v>0.15</v>
      </c>
      <c r="E229" s="1856">
        <v>0.15</v>
      </c>
      <c r="F229" s="1864"/>
    </row>
    <row r="230" spans="1:6" ht="14.25" thickBot="1">
      <c r="A230" s="1851" t="s">
        <v>1411</v>
      </c>
      <c r="B230" s="1855" t="s">
        <v>1308</v>
      </c>
      <c r="C230" s="1856">
        <v>0.14499999999999999</v>
      </c>
      <c r="D230" s="1856">
        <v>0.14499999999999999</v>
      </c>
      <c r="E230" s="1856">
        <v>0.14399999999999999</v>
      </c>
      <c r="F230" s="1864"/>
    </row>
    <row r="231" spans="1:6" ht="14.25" thickBot="1">
      <c r="A231" s="1851" t="s">
        <v>1411</v>
      </c>
      <c r="B231" s="1855" t="s">
        <v>2158</v>
      </c>
      <c r="C231" s="1856">
        <v>0.128</v>
      </c>
      <c r="D231" s="1856">
        <v>0.125</v>
      </c>
      <c r="E231" s="1856">
        <v>0.13200000000000001</v>
      </c>
      <c r="F231" s="1864"/>
    </row>
    <row r="232" spans="1:6" ht="14.25" thickBot="1">
      <c r="A232" s="1851" t="s">
        <v>1411</v>
      </c>
      <c r="B232" s="1855" t="s">
        <v>2159</v>
      </c>
      <c r="C232" s="1856">
        <v>0.14499999999999999</v>
      </c>
      <c r="D232" s="1856">
        <v>0.14399999999999999</v>
      </c>
      <c r="E232" s="1856">
        <v>0.14599999999999999</v>
      </c>
      <c r="F232" s="1857">
        <v>0.13800000000000001</v>
      </c>
    </row>
    <row r="233" spans="1:6" ht="14.25" thickBot="1">
      <c r="A233" s="1851" t="s">
        <v>1411</v>
      </c>
      <c r="B233" s="1855" t="s">
        <v>2160</v>
      </c>
      <c r="C233" s="1856">
        <v>0.14499999999999999</v>
      </c>
      <c r="D233" s="1856">
        <v>0.14299999999999999</v>
      </c>
      <c r="E233" s="1856">
        <v>0.14199999999999999</v>
      </c>
      <c r="F233" s="1864"/>
    </row>
    <row r="234" spans="1:6" ht="14.25" thickBot="1">
      <c r="A234" s="1851" t="s">
        <v>1411</v>
      </c>
      <c r="B234" s="1855" t="s">
        <v>2161</v>
      </c>
      <c r="C234" s="1856">
        <v>0.14000000000000001</v>
      </c>
      <c r="D234" s="1856">
        <v>0.14000000000000001</v>
      </c>
      <c r="E234" s="1856">
        <v>0.14399999999999999</v>
      </c>
      <c r="F234" s="1864"/>
    </row>
    <row r="235" spans="1:6" ht="14.25" thickBot="1">
      <c r="A235" s="1851" t="s">
        <v>1411</v>
      </c>
      <c r="B235" s="1855" t="s">
        <v>2162</v>
      </c>
      <c r="C235" s="1856">
        <v>0.14099999999999999</v>
      </c>
      <c r="D235" s="1856">
        <v>0.14199999999999999</v>
      </c>
      <c r="E235" s="1856">
        <v>0.14499999999999999</v>
      </c>
      <c r="F235" s="1857">
        <v>0.15</v>
      </c>
    </row>
    <row r="236" spans="1:6" ht="14.25" thickBot="1">
      <c r="A236" s="1851" t="s">
        <v>1411</v>
      </c>
      <c r="B236" s="1855" t="s">
        <v>1343</v>
      </c>
      <c r="C236" s="1865"/>
      <c r="D236" s="1865"/>
      <c r="E236" s="1865"/>
      <c r="F236" s="1857">
        <v>0.14299999999999999</v>
      </c>
    </row>
    <row r="237" spans="1:6" ht="24.75" thickBot="1">
      <c r="A237" s="1851" t="s">
        <v>1411</v>
      </c>
      <c r="B237" s="1855" t="s">
        <v>2163</v>
      </c>
      <c r="C237" s="1865"/>
      <c r="D237" s="1865"/>
      <c r="E237" s="1865"/>
      <c r="F237" s="1857">
        <v>0.05</v>
      </c>
    </row>
    <row r="238" spans="1:6" ht="24.75" thickBot="1">
      <c r="A238" s="1851" t="s">
        <v>1411</v>
      </c>
      <c r="B238" s="1855" t="s">
        <v>2164</v>
      </c>
      <c r="C238" s="1865"/>
      <c r="D238" s="1865"/>
      <c r="E238" s="1865"/>
      <c r="F238" s="1857">
        <v>0.05</v>
      </c>
    </row>
    <row r="239" spans="1:6" ht="24.75" thickBot="1">
      <c r="A239" s="1851" t="s">
        <v>1411</v>
      </c>
      <c r="B239" s="1855" t="s">
        <v>2165</v>
      </c>
      <c r="C239" s="1865"/>
      <c r="D239" s="1865"/>
      <c r="E239" s="1865"/>
      <c r="F239" s="1857">
        <v>0.05</v>
      </c>
    </row>
    <row r="240" spans="1:6" ht="24.75" thickBot="1">
      <c r="A240" s="1851" t="s">
        <v>1411</v>
      </c>
      <c r="B240" s="1855" t="s">
        <v>2166</v>
      </c>
      <c r="C240" s="1865"/>
      <c r="D240" s="1865"/>
      <c r="E240" s="1865"/>
      <c r="F240" s="1857">
        <v>0.05</v>
      </c>
    </row>
    <row r="241" spans="1:6" ht="24.75" thickBot="1">
      <c r="A241" s="1851" t="s">
        <v>1411</v>
      </c>
      <c r="B241" s="1855" t="s">
        <v>2167</v>
      </c>
      <c r="C241" s="1865"/>
      <c r="D241" s="1865"/>
      <c r="E241" s="1865"/>
      <c r="F241" s="1857">
        <v>0.05</v>
      </c>
    </row>
    <row r="242" spans="1:6" ht="24.75" thickBot="1">
      <c r="A242" s="1851" t="s">
        <v>1411</v>
      </c>
      <c r="B242" s="1855" t="s">
        <v>2168</v>
      </c>
      <c r="C242" s="1865"/>
      <c r="D242" s="1865"/>
      <c r="E242" s="1865"/>
      <c r="F242" s="1857">
        <v>0.05</v>
      </c>
    </row>
    <row r="243" spans="1:6" ht="24.75" thickBot="1">
      <c r="A243" s="1851" t="s">
        <v>1411</v>
      </c>
      <c r="B243" s="1855" t="s">
        <v>2169</v>
      </c>
      <c r="C243" s="1865"/>
      <c r="D243" s="1865"/>
      <c r="E243" s="1865"/>
      <c r="F243" s="1857">
        <v>0.05</v>
      </c>
    </row>
    <row r="244" spans="1:6" ht="24.75" thickBot="1">
      <c r="A244" s="1859" t="s">
        <v>1411</v>
      </c>
      <c r="B244" s="1866" t="s">
        <v>2170</v>
      </c>
      <c r="C244" s="1862"/>
      <c r="D244" s="1862"/>
      <c r="E244" s="1862"/>
      <c r="F244" s="1867">
        <v>0.05</v>
      </c>
    </row>
    <row r="245" spans="1:6" ht="14.25" thickBot="1">
      <c r="A245" s="1851" t="s">
        <v>1413</v>
      </c>
      <c r="B245" s="1852" t="s">
        <v>2171</v>
      </c>
      <c r="C245" s="1853">
        <v>0.15</v>
      </c>
      <c r="D245" s="1853">
        <v>0.15</v>
      </c>
      <c r="E245" s="1853">
        <v>0.15</v>
      </c>
      <c r="F245" s="1854">
        <v>0.14299999999999999</v>
      </c>
    </row>
    <row r="246" spans="1:6" ht="14.25" thickBot="1">
      <c r="A246" s="1851" t="s">
        <v>1413</v>
      </c>
      <c r="B246" s="1855" t="s">
        <v>1076</v>
      </c>
      <c r="C246" s="1856">
        <v>0.15</v>
      </c>
      <c r="D246" s="1856">
        <v>0.15</v>
      </c>
      <c r="E246" s="1856">
        <v>0.15</v>
      </c>
      <c r="F246" s="1857">
        <v>0.114</v>
      </c>
    </row>
    <row r="247" spans="1:6" ht="14.25" thickBot="1">
      <c r="A247" s="1851" t="s">
        <v>1413</v>
      </c>
      <c r="B247" s="1855" t="s">
        <v>2172</v>
      </c>
      <c r="C247" s="1856">
        <v>0.15</v>
      </c>
      <c r="D247" s="1856">
        <v>0.15</v>
      </c>
      <c r="E247" s="1856">
        <v>0.15</v>
      </c>
      <c r="F247" s="1857">
        <v>0.15</v>
      </c>
    </row>
    <row r="248" spans="1:6" ht="14.25" thickBot="1">
      <c r="A248" s="1851" t="s">
        <v>1413</v>
      </c>
      <c r="B248" s="1855" t="s">
        <v>2173</v>
      </c>
      <c r="C248" s="1856">
        <v>0.15</v>
      </c>
      <c r="D248" s="1856">
        <v>0.15</v>
      </c>
      <c r="E248" s="1856">
        <v>0.15</v>
      </c>
      <c r="F248" s="1857">
        <v>0.14000000000000001</v>
      </c>
    </row>
    <row r="249" spans="1:6" ht="14.25" thickBot="1">
      <c r="A249" s="1851" t="s">
        <v>1413</v>
      </c>
      <c r="B249" s="1855" t="s">
        <v>2174</v>
      </c>
      <c r="C249" s="1856">
        <v>0.15</v>
      </c>
      <c r="D249" s="1856">
        <v>0.14899999999999999</v>
      </c>
      <c r="E249" s="1856">
        <v>0.15</v>
      </c>
      <c r="F249" s="1857">
        <v>0.1</v>
      </c>
    </row>
    <row r="250" spans="1:6" ht="14.25" thickBot="1">
      <c r="A250" s="1851" t="s">
        <v>1413</v>
      </c>
      <c r="B250" s="1855" t="s">
        <v>2175</v>
      </c>
      <c r="C250" s="1856">
        <v>0.15</v>
      </c>
      <c r="D250" s="1856">
        <v>0.15</v>
      </c>
      <c r="E250" s="1856">
        <v>0.15</v>
      </c>
      <c r="F250" s="1857">
        <v>0.14399999999999999</v>
      </c>
    </row>
    <row r="251" spans="1:6" ht="14.25" thickBot="1">
      <c r="A251" s="1851" t="s">
        <v>1413</v>
      </c>
      <c r="B251" s="1855" t="s">
        <v>1139</v>
      </c>
      <c r="C251" s="1856">
        <v>0.15</v>
      </c>
      <c r="D251" s="1856">
        <v>0.15</v>
      </c>
      <c r="E251" s="1856">
        <v>0.15</v>
      </c>
      <c r="F251" s="1857">
        <v>0.14299999999999999</v>
      </c>
    </row>
    <row r="252" spans="1:6" ht="14.25" thickBot="1">
      <c r="A252" s="1851" t="s">
        <v>1413</v>
      </c>
      <c r="B252" s="1855" t="s">
        <v>1150</v>
      </c>
      <c r="C252" s="1856">
        <v>0.15</v>
      </c>
      <c r="D252" s="1856">
        <v>0.15</v>
      </c>
      <c r="E252" s="1856">
        <v>0.15</v>
      </c>
      <c r="F252" s="1857">
        <v>0.1</v>
      </c>
    </row>
    <row r="253" spans="1:6" ht="14.25" thickBot="1">
      <c r="A253" s="1851" t="s">
        <v>1413</v>
      </c>
      <c r="B253" s="1855" t="s">
        <v>1162</v>
      </c>
      <c r="C253" s="1856">
        <v>0.15</v>
      </c>
      <c r="D253" s="1856">
        <v>0.15</v>
      </c>
      <c r="E253" s="1856">
        <v>0.15</v>
      </c>
      <c r="F253" s="1857">
        <v>0.1</v>
      </c>
    </row>
    <row r="254" spans="1:6" ht="14.25" thickBot="1">
      <c r="A254" s="1851" t="s">
        <v>1413</v>
      </c>
      <c r="B254" s="1855" t="s">
        <v>1172</v>
      </c>
      <c r="C254" s="1865"/>
      <c r="D254" s="1865"/>
      <c r="E254" s="1865"/>
      <c r="F254" s="1857">
        <v>0.15</v>
      </c>
    </row>
    <row r="255" spans="1:6" ht="14.25" thickBot="1">
      <c r="A255" s="1851" t="s">
        <v>1413</v>
      </c>
      <c r="B255" s="1855" t="s">
        <v>1182</v>
      </c>
      <c r="C255" s="1865"/>
      <c r="D255" s="1865"/>
      <c r="E255" s="1865"/>
      <c r="F255" s="1857">
        <v>0.14299999999999999</v>
      </c>
    </row>
    <row r="256" spans="1:6" ht="14.25" thickBot="1">
      <c r="A256" s="1851" t="s">
        <v>1413</v>
      </c>
      <c r="B256" s="1855" t="s">
        <v>2176</v>
      </c>
      <c r="C256" s="1856">
        <v>0.14599999999999999</v>
      </c>
      <c r="D256" s="1856">
        <v>0.14699999999999999</v>
      </c>
      <c r="E256" s="1856">
        <v>0.15</v>
      </c>
      <c r="F256" s="1857">
        <v>0.13200000000000001</v>
      </c>
    </row>
    <row r="257" spans="1:6" ht="14.25" thickBot="1">
      <c r="A257" s="1851" t="s">
        <v>1413</v>
      </c>
      <c r="B257" s="1855" t="s">
        <v>1202</v>
      </c>
      <c r="C257" s="1856">
        <v>0.15</v>
      </c>
      <c r="D257" s="1856">
        <v>0.15</v>
      </c>
      <c r="E257" s="1856">
        <v>0.15</v>
      </c>
      <c r="F257" s="1857">
        <v>0.13900000000000001</v>
      </c>
    </row>
    <row r="258" spans="1:6" ht="14.25" thickBot="1">
      <c r="A258" s="1851" t="s">
        <v>1413</v>
      </c>
      <c r="B258" s="1855" t="s">
        <v>1212</v>
      </c>
      <c r="C258" s="1856">
        <v>0.15</v>
      </c>
      <c r="D258" s="1856">
        <v>0.15</v>
      </c>
      <c r="E258" s="1856">
        <v>0.15</v>
      </c>
      <c r="F258" s="1857">
        <v>0.13</v>
      </c>
    </row>
    <row r="259" spans="1:6" ht="14.25" thickBot="1">
      <c r="A259" s="1851" t="s">
        <v>1413</v>
      </c>
      <c r="B259" s="1855" t="s">
        <v>2177</v>
      </c>
      <c r="C259" s="1856">
        <v>0.14799999999999999</v>
      </c>
      <c r="D259" s="1856">
        <v>0.14899999999999999</v>
      </c>
      <c r="E259" s="1856">
        <v>0.15</v>
      </c>
      <c r="F259" s="1857">
        <v>0.13700000000000001</v>
      </c>
    </row>
    <row r="260" spans="1:6" ht="14.25" thickBot="1">
      <c r="A260" s="1851" t="s">
        <v>1413</v>
      </c>
      <c r="B260" s="1855" t="s">
        <v>1232</v>
      </c>
      <c r="C260" s="1856">
        <v>0.15</v>
      </c>
      <c r="D260" s="1856">
        <v>0.15</v>
      </c>
      <c r="E260" s="1856">
        <v>0.15</v>
      </c>
      <c r="F260" s="1857">
        <v>0.14199999999999999</v>
      </c>
    </row>
    <row r="261" spans="1:6" ht="14.25" thickBot="1">
      <c r="A261" s="1851" t="s">
        <v>1413</v>
      </c>
      <c r="B261" s="1855" t="s">
        <v>1242</v>
      </c>
      <c r="C261" s="1856">
        <v>0.15</v>
      </c>
      <c r="D261" s="1856">
        <v>0.15</v>
      </c>
      <c r="E261" s="1856">
        <v>0.14899999999999999</v>
      </c>
      <c r="F261" s="1857">
        <v>0.14799999999999999</v>
      </c>
    </row>
    <row r="262" spans="1:6" ht="14.25" thickBot="1">
      <c r="A262" s="1851" t="s">
        <v>1413</v>
      </c>
      <c r="B262" s="1855" t="s">
        <v>1252</v>
      </c>
      <c r="C262" s="1856">
        <v>0.15</v>
      </c>
      <c r="D262" s="1856">
        <v>0.15</v>
      </c>
      <c r="E262" s="1856">
        <v>0.15</v>
      </c>
      <c r="F262" s="1864"/>
    </row>
    <row r="263" spans="1:6" ht="14.25" thickBot="1">
      <c r="A263" s="1851" t="s">
        <v>1413</v>
      </c>
      <c r="B263" s="1855" t="s">
        <v>2178</v>
      </c>
      <c r="C263" s="1856">
        <v>0.14899999999999999</v>
      </c>
      <c r="D263" s="1856">
        <v>0.14899999999999999</v>
      </c>
      <c r="E263" s="1856">
        <v>0.15</v>
      </c>
      <c r="F263" s="1857">
        <v>0.13</v>
      </c>
    </row>
    <row r="264" spans="1:6" ht="14.25" thickBot="1">
      <c r="A264" s="1851" t="s">
        <v>1413</v>
      </c>
      <c r="B264" s="1855" t="s">
        <v>1271</v>
      </c>
      <c r="C264" s="1856">
        <v>0.14799999999999999</v>
      </c>
      <c r="D264" s="1856">
        <v>0.14699999999999999</v>
      </c>
      <c r="E264" s="1856">
        <v>0.15</v>
      </c>
      <c r="F264" s="1857">
        <v>7.8E-2</v>
      </c>
    </row>
    <row r="265" spans="1:6" ht="14.25" thickBot="1">
      <c r="A265" s="1851" t="s">
        <v>1413</v>
      </c>
      <c r="B265" s="1855" t="s">
        <v>1280</v>
      </c>
      <c r="C265" s="1856">
        <v>0.15</v>
      </c>
      <c r="D265" s="1856">
        <v>0.15</v>
      </c>
      <c r="E265" s="1856">
        <v>0.15</v>
      </c>
      <c r="F265" s="1857">
        <v>7.3999999999999996E-2</v>
      </c>
    </row>
    <row r="266" spans="1:6" ht="14.25" thickBot="1">
      <c r="A266" s="1851" t="s">
        <v>1413</v>
      </c>
      <c r="B266" s="1855" t="s">
        <v>1288</v>
      </c>
      <c r="C266" s="1856">
        <v>0.14699999999999999</v>
      </c>
      <c r="D266" s="1856">
        <v>0.14699999999999999</v>
      </c>
      <c r="E266" s="1856">
        <v>0.15</v>
      </c>
      <c r="F266" s="1857">
        <v>0.14299999999999999</v>
      </c>
    </row>
    <row r="267" spans="1:6" ht="14.25" thickBot="1">
      <c r="A267" s="1851" t="s">
        <v>1413</v>
      </c>
      <c r="B267" s="1855" t="s">
        <v>1295</v>
      </c>
      <c r="C267" s="1856">
        <v>0.14199999999999999</v>
      </c>
      <c r="D267" s="1856">
        <v>0.14299999999999999</v>
      </c>
      <c r="E267" s="1856">
        <v>0.15</v>
      </c>
      <c r="F267" s="1864"/>
    </row>
    <row r="268" spans="1:6" ht="14.25" thickBot="1">
      <c r="A268" s="1851" t="s">
        <v>1413</v>
      </c>
      <c r="B268" s="1855" t="s">
        <v>2179</v>
      </c>
      <c r="C268" s="1856">
        <v>0.15</v>
      </c>
      <c r="D268" s="1856">
        <v>0.15</v>
      </c>
      <c r="E268" s="1856">
        <v>0.15</v>
      </c>
      <c r="F268" s="1857">
        <v>0.13</v>
      </c>
    </row>
    <row r="269" spans="1:6" ht="14.25" thickBot="1">
      <c r="A269" s="1851" t="s">
        <v>1413</v>
      </c>
      <c r="B269" s="1855" t="s">
        <v>1309</v>
      </c>
      <c r="C269" s="1856">
        <v>0.15</v>
      </c>
      <c r="D269" s="1856">
        <v>0.15</v>
      </c>
      <c r="E269" s="1856">
        <v>0.15</v>
      </c>
      <c r="F269" s="1857">
        <v>0.14299999999999999</v>
      </c>
    </row>
    <row r="270" spans="1:6" ht="14.25" thickBot="1">
      <c r="A270" s="1851" t="s">
        <v>1413</v>
      </c>
      <c r="B270" s="1855" t="s">
        <v>1316</v>
      </c>
      <c r="C270" s="1856">
        <v>0.14499999999999999</v>
      </c>
      <c r="D270" s="1856">
        <v>0.14499999999999999</v>
      </c>
      <c r="E270" s="1856">
        <v>0.15</v>
      </c>
      <c r="F270" s="1857">
        <v>0.14699999999999999</v>
      </c>
    </row>
    <row r="271" spans="1:6" ht="14.25" thickBot="1">
      <c r="A271" s="1851" t="s">
        <v>1413</v>
      </c>
      <c r="B271" s="1855" t="s">
        <v>1323</v>
      </c>
      <c r="C271" s="1856">
        <v>0.15</v>
      </c>
      <c r="D271" s="1856">
        <v>0.15</v>
      </c>
      <c r="E271" s="1856">
        <v>0.15</v>
      </c>
      <c r="F271" s="1857">
        <v>0.13800000000000001</v>
      </c>
    </row>
    <row r="272" spans="1:6" ht="14.25" thickBot="1">
      <c r="A272" s="1851" t="s">
        <v>1413</v>
      </c>
      <c r="B272" s="1855" t="s">
        <v>1330</v>
      </c>
      <c r="C272" s="1865"/>
      <c r="D272" s="1865"/>
      <c r="E272" s="1865"/>
      <c r="F272" s="1857">
        <v>0.14000000000000001</v>
      </c>
    </row>
    <row r="273" spans="1:6" ht="14.25" thickBot="1">
      <c r="A273" s="1851" t="s">
        <v>1413</v>
      </c>
      <c r="B273" s="1855" t="s">
        <v>2180</v>
      </c>
      <c r="C273" s="1856">
        <v>0.14199999999999999</v>
      </c>
      <c r="D273" s="1856">
        <v>0.14299999999999999</v>
      </c>
      <c r="E273" s="1856">
        <v>0.15</v>
      </c>
      <c r="F273" s="1857">
        <v>0.1</v>
      </c>
    </row>
    <row r="274" spans="1:6" ht="14.25" thickBot="1">
      <c r="A274" s="1851" t="s">
        <v>1413</v>
      </c>
      <c r="B274" s="1855" t="s">
        <v>2181</v>
      </c>
      <c r="C274" s="1856">
        <v>0.14799999999999999</v>
      </c>
      <c r="D274" s="1856">
        <v>0.14799999999999999</v>
      </c>
      <c r="E274" s="1856">
        <v>0.15</v>
      </c>
      <c r="F274" s="1857">
        <v>6.7000000000000004E-2</v>
      </c>
    </row>
    <row r="275" spans="1:6" ht="14.25" thickBot="1">
      <c r="A275" s="1851" t="s">
        <v>1413</v>
      </c>
      <c r="B275" s="1855" t="s">
        <v>2182</v>
      </c>
      <c r="C275" s="1856">
        <v>0.15</v>
      </c>
      <c r="D275" s="1856">
        <v>0.15</v>
      </c>
      <c r="E275" s="1856">
        <v>0.15</v>
      </c>
      <c r="F275" s="1857">
        <v>0.15</v>
      </c>
    </row>
    <row r="276" spans="1:6" ht="14.25" thickBot="1">
      <c r="A276" s="1851" t="s">
        <v>1413</v>
      </c>
      <c r="B276" s="1855" t="s">
        <v>2183</v>
      </c>
      <c r="C276" s="1856">
        <v>0.14499999999999999</v>
      </c>
      <c r="D276" s="1856">
        <v>0.14299999999999999</v>
      </c>
      <c r="E276" s="1856">
        <v>0.15</v>
      </c>
      <c r="F276" s="1857">
        <v>5.8999999999999997E-2</v>
      </c>
    </row>
    <row r="277" spans="1:6" ht="14.25" thickBot="1">
      <c r="A277" s="1851" t="s">
        <v>1413</v>
      </c>
      <c r="B277" s="1855" t="s">
        <v>2184</v>
      </c>
      <c r="C277" s="1856">
        <v>0.15</v>
      </c>
      <c r="D277" s="1856">
        <v>0.15</v>
      </c>
      <c r="E277" s="1856">
        <v>0.15</v>
      </c>
      <c r="F277" s="1857">
        <v>0.121</v>
      </c>
    </row>
    <row r="278" spans="1:6" ht="14.25" thickBot="1">
      <c r="A278" s="1851" t="s">
        <v>1413</v>
      </c>
      <c r="B278" s="1855" t="s">
        <v>2185</v>
      </c>
      <c r="C278" s="1856">
        <v>0.15</v>
      </c>
      <c r="D278" s="1856">
        <v>0.15</v>
      </c>
      <c r="E278" s="1856">
        <v>0.15</v>
      </c>
      <c r="F278" s="1857">
        <v>0.13800000000000001</v>
      </c>
    </row>
    <row r="279" spans="1:6" ht="24.75" thickBot="1">
      <c r="A279" s="1851" t="s">
        <v>1413</v>
      </c>
      <c r="B279" s="1855" t="s">
        <v>2186</v>
      </c>
      <c r="C279" s="1865"/>
      <c r="D279" s="1865"/>
      <c r="E279" s="1865"/>
      <c r="F279" s="1857">
        <v>0.05</v>
      </c>
    </row>
    <row r="280" spans="1:6" ht="24.75" thickBot="1">
      <c r="A280" s="1851" t="s">
        <v>1413</v>
      </c>
      <c r="B280" s="1855" t="s">
        <v>2187</v>
      </c>
      <c r="C280" s="1865"/>
      <c r="D280" s="1865"/>
      <c r="E280" s="1865"/>
      <c r="F280" s="1857">
        <v>0.05</v>
      </c>
    </row>
    <row r="281" spans="1:6" ht="24.75" thickBot="1">
      <c r="A281" s="1851" t="s">
        <v>1413</v>
      </c>
      <c r="B281" s="1855" t="s">
        <v>2188</v>
      </c>
      <c r="C281" s="1865"/>
      <c r="D281" s="1865"/>
      <c r="E281" s="1865"/>
      <c r="F281" s="1857">
        <v>0.05</v>
      </c>
    </row>
    <row r="282" spans="1:6" ht="24.75" thickBot="1">
      <c r="A282" s="1851" t="s">
        <v>1413</v>
      </c>
      <c r="B282" s="1855" t="s">
        <v>2189</v>
      </c>
      <c r="C282" s="1865"/>
      <c r="D282" s="1865"/>
      <c r="E282" s="1865"/>
      <c r="F282" s="1857">
        <v>0.05</v>
      </c>
    </row>
    <row r="283" spans="1:6" ht="24.75" thickBot="1">
      <c r="A283" s="1851" t="s">
        <v>1413</v>
      </c>
      <c r="B283" s="1855" t="s">
        <v>2190</v>
      </c>
      <c r="C283" s="1865"/>
      <c r="D283" s="1865"/>
      <c r="E283" s="1865"/>
      <c r="F283" s="1857">
        <v>0.05</v>
      </c>
    </row>
    <row r="284" spans="1:6" ht="24.75" thickBot="1">
      <c r="A284" s="1851" t="s">
        <v>1413</v>
      </c>
      <c r="B284" s="1855" t="s">
        <v>2191</v>
      </c>
      <c r="C284" s="1865"/>
      <c r="D284" s="1865"/>
      <c r="E284" s="1865"/>
      <c r="F284" s="1857">
        <v>0.05</v>
      </c>
    </row>
    <row r="285" spans="1:6" ht="24.75" thickBot="1">
      <c r="A285" s="1851" t="s">
        <v>1413</v>
      </c>
      <c r="B285" s="1855" t="s">
        <v>2192</v>
      </c>
      <c r="C285" s="1865"/>
      <c r="D285" s="1865"/>
      <c r="E285" s="1865"/>
      <c r="F285" s="1857">
        <v>0.05</v>
      </c>
    </row>
    <row r="286" spans="1:6" ht="24.75" thickBot="1">
      <c r="A286" s="1851" t="s">
        <v>1413</v>
      </c>
      <c r="B286" s="1855" t="s">
        <v>2193</v>
      </c>
      <c r="C286" s="1865"/>
      <c r="D286" s="1865"/>
      <c r="E286" s="1865"/>
      <c r="F286" s="1857">
        <v>0.05</v>
      </c>
    </row>
    <row r="287" spans="1:6" ht="24.75" thickBot="1">
      <c r="A287" s="1851" t="s">
        <v>1413</v>
      </c>
      <c r="B287" s="1855" t="s">
        <v>2194</v>
      </c>
      <c r="C287" s="1865"/>
      <c r="D287" s="1865"/>
      <c r="E287" s="1865"/>
      <c r="F287" s="1857">
        <v>0.05</v>
      </c>
    </row>
    <row r="288" spans="1:6" ht="24.75" thickBot="1">
      <c r="A288" s="1851" t="s">
        <v>1413</v>
      </c>
      <c r="B288" s="1855" t="s">
        <v>2195</v>
      </c>
      <c r="C288" s="1865"/>
      <c r="D288" s="1865"/>
      <c r="E288" s="1865"/>
      <c r="F288" s="1857">
        <v>0.05</v>
      </c>
    </row>
    <row r="289" spans="1:6" ht="24.75" thickBot="1">
      <c r="A289" s="1859" t="s">
        <v>1413</v>
      </c>
      <c r="B289" s="1866" t="s">
        <v>2196</v>
      </c>
      <c r="C289" s="1862"/>
      <c r="D289" s="1862"/>
      <c r="E289" s="1862"/>
      <c r="F289" s="1867">
        <v>0.05</v>
      </c>
    </row>
    <row r="290" spans="1:6" ht="14.25" thickBot="1">
      <c r="A290" s="1851" t="s">
        <v>1417</v>
      </c>
      <c r="B290" s="1852" t="s">
        <v>2197</v>
      </c>
      <c r="C290" s="1853">
        <v>0.15</v>
      </c>
      <c r="D290" s="1853">
        <v>0.15</v>
      </c>
      <c r="E290" s="1853">
        <v>0.15</v>
      </c>
      <c r="F290" s="1875"/>
    </row>
    <row r="291" spans="1:6" ht="14.25" thickBot="1">
      <c r="A291" s="1851" t="s">
        <v>1417</v>
      </c>
      <c r="B291" s="1855" t="s">
        <v>1077</v>
      </c>
      <c r="C291" s="1856">
        <v>0.15</v>
      </c>
      <c r="D291" s="1856">
        <v>0.15</v>
      </c>
      <c r="E291" s="1856">
        <v>0.15</v>
      </c>
      <c r="F291" s="1864"/>
    </row>
    <row r="292" spans="1:6" ht="14.25" thickBot="1">
      <c r="A292" s="1851" t="s">
        <v>1417</v>
      </c>
      <c r="B292" s="1855" t="s">
        <v>2198</v>
      </c>
      <c r="C292" s="1856">
        <v>0.15</v>
      </c>
      <c r="D292" s="1856">
        <v>0.15</v>
      </c>
      <c r="E292" s="1856">
        <v>0.15</v>
      </c>
      <c r="F292" s="1857">
        <v>0.14699999999999999</v>
      </c>
    </row>
    <row r="293" spans="1:6" ht="14.25" thickBot="1">
      <c r="A293" s="1851" t="s">
        <v>1417</v>
      </c>
      <c r="B293" s="1855" t="s">
        <v>2199</v>
      </c>
      <c r="C293" s="1865"/>
      <c r="D293" s="1865"/>
      <c r="E293" s="1865"/>
      <c r="F293" s="1857">
        <v>0.1</v>
      </c>
    </row>
    <row r="294" spans="1:6" ht="14.25" thickBot="1">
      <c r="A294" s="1851" t="s">
        <v>1417</v>
      </c>
      <c r="B294" s="1855" t="s">
        <v>2200</v>
      </c>
      <c r="C294" s="1856">
        <v>0.15</v>
      </c>
      <c r="D294" s="1856">
        <v>0.15</v>
      </c>
      <c r="E294" s="1856">
        <v>0.15</v>
      </c>
      <c r="F294" s="1857">
        <v>0.15</v>
      </c>
    </row>
    <row r="295" spans="1:6" ht="14.25" thickBot="1">
      <c r="A295" s="1851" t="s">
        <v>1417</v>
      </c>
      <c r="B295" s="1855" t="s">
        <v>1118</v>
      </c>
      <c r="C295" s="1856">
        <v>0.15</v>
      </c>
      <c r="D295" s="1856">
        <v>0.15</v>
      </c>
      <c r="E295" s="1856">
        <v>0.15</v>
      </c>
      <c r="F295" s="1857">
        <v>0.15</v>
      </c>
    </row>
    <row r="296" spans="1:6" ht="14.25" thickBot="1">
      <c r="A296" s="1851" t="s">
        <v>1417</v>
      </c>
      <c r="B296" s="1855" t="s">
        <v>2201</v>
      </c>
      <c r="C296" s="1856">
        <v>0.15</v>
      </c>
      <c r="D296" s="1856">
        <v>0.15</v>
      </c>
      <c r="E296" s="1856">
        <v>0.15</v>
      </c>
      <c r="F296" s="1857">
        <v>0.15</v>
      </c>
    </row>
    <row r="297" spans="1:6" ht="14.25" thickBot="1">
      <c r="A297" s="1851" t="s">
        <v>1417</v>
      </c>
      <c r="B297" s="1855" t="s">
        <v>2202</v>
      </c>
      <c r="C297" s="1856">
        <v>0.14799999999999999</v>
      </c>
      <c r="D297" s="1856">
        <v>0.14899999999999999</v>
      </c>
      <c r="E297" s="1856">
        <v>0.15</v>
      </c>
      <c r="F297" s="1857">
        <v>0.13700000000000001</v>
      </c>
    </row>
    <row r="298" spans="1:6" ht="14.25" thickBot="1">
      <c r="A298" s="1851" t="s">
        <v>1417</v>
      </c>
      <c r="B298" s="1855" t="s">
        <v>1151</v>
      </c>
      <c r="C298" s="1856">
        <v>0.13400000000000001</v>
      </c>
      <c r="D298" s="1856">
        <v>0.13400000000000001</v>
      </c>
      <c r="E298" s="1856">
        <v>0.14499999999999999</v>
      </c>
      <c r="F298" s="1857">
        <v>0.14799999999999999</v>
      </c>
    </row>
    <row r="299" spans="1:6" ht="14.25" thickBot="1">
      <c r="A299" s="1851" t="s">
        <v>1417</v>
      </c>
      <c r="B299" s="1855" t="s">
        <v>1163</v>
      </c>
      <c r="C299" s="1856">
        <v>0.15</v>
      </c>
      <c r="D299" s="1856">
        <v>0.15</v>
      </c>
      <c r="E299" s="1856">
        <v>0.15</v>
      </c>
      <c r="F299" s="1864"/>
    </row>
    <row r="300" spans="1:6" ht="14.25" thickBot="1">
      <c r="A300" s="1851" t="s">
        <v>1417</v>
      </c>
      <c r="B300" s="1855" t="s">
        <v>2203</v>
      </c>
      <c r="C300" s="1856">
        <v>0.15</v>
      </c>
      <c r="D300" s="1856">
        <v>0.15</v>
      </c>
      <c r="E300" s="1856">
        <v>0.15</v>
      </c>
      <c r="F300" s="1857">
        <v>0.15</v>
      </c>
    </row>
    <row r="301" spans="1:6" ht="14.25" thickBot="1">
      <c r="A301" s="1851" t="s">
        <v>1417</v>
      </c>
      <c r="B301" s="1855" t="s">
        <v>1183</v>
      </c>
      <c r="C301" s="1856">
        <v>0.15</v>
      </c>
      <c r="D301" s="1856">
        <v>0.15</v>
      </c>
      <c r="E301" s="1856">
        <v>0.15</v>
      </c>
      <c r="F301" s="1864"/>
    </row>
    <row r="302" spans="1:6" ht="14.25" thickBot="1">
      <c r="A302" s="1851" t="s">
        <v>1417</v>
      </c>
      <c r="B302" s="1855" t="s">
        <v>2204</v>
      </c>
      <c r="C302" s="1856">
        <v>0.15</v>
      </c>
      <c r="D302" s="1856">
        <v>0.15</v>
      </c>
      <c r="E302" s="1856">
        <v>0.15</v>
      </c>
      <c r="F302" s="1857">
        <v>0.15</v>
      </c>
    </row>
    <row r="303" spans="1:6" ht="14.25" thickBot="1">
      <c r="A303" s="1851" t="s">
        <v>1417</v>
      </c>
      <c r="B303" s="1855" t="s">
        <v>1203</v>
      </c>
      <c r="C303" s="1856">
        <v>0.15</v>
      </c>
      <c r="D303" s="1856">
        <v>0.15</v>
      </c>
      <c r="E303" s="1856">
        <v>0.15</v>
      </c>
      <c r="F303" s="1857">
        <v>0.15</v>
      </c>
    </row>
    <row r="304" spans="1:6" ht="14.25" thickBot="1">
      <c r="A304" s="1851" t="s">
        <v>1417</v>
      </c>
      <c r="B304" s="1855" t="s">
        <v>1213</v>
      </c>
      <c r="C304" s="1856">
        <v>0.15</v>
      </c>
      <c r="D304" s="1856">
        <v>0.15</v>
      </c>
      <c r="E304" s="1856">
        <v>0.15</v>
      </c>
      <c r="F304" s="1864"/>
    </row>
    <row r="305" spans="1:6" ht="14.25" thickBot="1">
      <c r="A305" s="1851" t="s">
        <v>1417</v>
      </c>
      <c r="B305" s="1855" t="s">
        <v>2205</v>
      </c>
      <c r="C305" s="1856">
        <v>0.15</v>
      </c>
      <c r="D305" s="1856">
        <v>0.15</v>
      </c>
      <c r="E305" s="1856">
        <v>0.15</v>
      </c>
      <c r="F305" s="1857">
        <v>0.14000000000000001</v>
      </c>
    </row>
    <row r="306" spans="1:6" ht="14.25" thickBot="1">
      <c r="A306" s="1851" t="s">
        <v>1417</v>
      </c>
      <c r="B306" s="1855" t="s">
        <v>1233</v>
      </c>
      <c r="C306" s="1856">
        <v>0.15</v>
      </c>
      <c r="D306" s="1856">
        <v>0.15</v>
      </c>
      <c r="E306" s="1856">
        <v>0.15</v>
      </c>
      <c r="F306" s="1864"/>
    </row>
    <row r="307" spans="1:6" ht="14.25" thickBot="1">
      <c r="A307" s="1851" t="s">
        <v>1417</v>
      </c>
      <c r="B307" s="1855" t="s">
        <v>2206</v>
      </c>
      <c r="C307" s="1856">
        <v>0.15</v>
      </c>
      <c r="D307" s="1856">
        <v>0.15</v>
      </c>
      <c r="E307" s="1856">
        <v>0.15</v>
      </c>
      <c r="F307" s="1857">
        <v>0.14299999999999999</v>
      </c>
    </row>
    <row r="308" spans="1:6" ht="14.25" thickBot="1">
      <c r="A308" s="1851" t="s">
        <v>1417</v>
      </c>
      <c r="B308" s="1855" t="s">
        <v>1253</v>
      </c>
      <c r="C308" s="1856">
        <v>0.15</v>
      </c>
      <c r="D308" s="1856">
        <v>0.15</v>
      </c>
      <c r="E308" s="1856">
        <v>0.15</v>
      </c>
      <c r="F308" s="1857">
        <v>0.15</v>
      </c>
    </row>
    <row r="309" spans="1:6" ht="14.25" thickBot="1">
      <c r="A309" s="1851" t="s">
        <v>1417</v>
      </c>
      <c r="B309" s="1855" t="s">
        <v>1263</v>
      </c>
      <c r="C309" s="1856">
        <v>0.15</v>
      </c>
      <c r="D309" s="1856">
        <v>0.15</v>
      </c>
      <c r="E309" s="1856">
        <v>0.15</v>
      </c>
      <c r="F309" s="1864"/>
    </row>
    <row r="310" spans="1:6" ht="14.25" thickBot="1">
      <c r="A310" s="1851" t="s">
        <v>1417</v>
      </c>
      <c r="B310" s="1855" t="s">
        <v>2207</v>
      </c>
      <c r="C310" s="1856">
        <v>0.15</v>
      </c>
      <c r="D310" s="1856">
        <v>0.15</v>
      </c>
      <c r="E310" s="1856">
        <v>0.15</v>
      </c>
      <c r="F310" s="1857">
        <v>0.13700000000000001</v>
      </c>
    </row>
    <row r="311" spans="1:6" ht="14.25" thickBot="1">
      <c r="A311" s="1851" t="s">
        <v>1417</v>
      </c>
      <c r="B311" s="1855" t="s">
        <v>2208</v>
      </c>
      <c r="C311" s="1856">
        <v>0.15</v>
      </c>
      <c r="D311" s="1856">
        <v>0.15</v>
      </c>
      <c r="E311" s="1856">
        <v>0.15</v>
      </c>
      <c r="F311" s="1857">
        <v>0.15</v>
      </c>
    </row>
    <row r="312" spans="1:6" ht="14.25" thickBot="1">
      <c r="A312" s="1851" t="s">
        <v>1417</v>
      </c>
      <c r="B312" s="1855" t="s">
        <v>1289</v>
      </c>
      <c r="C312" s="1856">
        <v>0.15</v>
      </c>
      <c r="D312" s="1856">
        <v>0.15</v>
      </c>
      <c r="E312" s="1856">
        <v>0.15</v>
      </c>
      <c r="F312" s="1857">
        <v>0.1</v>
      </c>
    </row>
    <row r="313" spans="1:6" ht="14.25" thickBot="1">
      <c r="A313" s="1851" t="s">
        <v>1417</v>
      </c>
      <c r="B313" s="1855" t="s">
        <v>2209</v>
      </c>
      <c r="C313" s="1856">
        <v>0.15</v>
      </c>
      <c r="D313" s="1856">
        <v>0.15</v>
      </c>
      <c r="E313" s="1856">
        <v>0.15</v>
      </c>
      <c r="F313" s="1857">
        <v>0.15</v>
      </c>
    </row>
    <row r="314" spans="1:6" ht="24.75" thickBot="1">
      <c r="A314" s="1851" t="s">
        <v>1417</v>
      </c>
      <c r="B314" s="1855" t="s">
        <v>2210</v>
      </c>
      <c r="C314" s="1865"/>
      <c r="D314" s="1865"/>
      <c r="E314" s="1865"/>
      <c r="F314" s="1857">
        <v>0.05</v>
      </c>
    </row>
    <row r="315" spans="1:6" ht="24.75" thickBot="1">
      <c r="A315" s="1851" t="s">
        <v>1417</v>
      </c>
      <c r="B315" s="1855" t="s">
        <v>2211</v>
      </c>
      <c r="C315" s="1865"/>
      <c r="D315" s="1865"/>
      <c r="E315" s="1865"/>
      <c r="F315" s="1857">
        <v>0.05</v>
      </c>
    </row>
    <row r="316" spans="1:6" ht="24.75" thickBot="1">
      <c r="A316" s="1859" t="s">
        <v>1417</v>
      </c>
      <c r="B316" s="1866" t="s">
        <v>2212</v>
      </c>
      <c r="C316" s="1862"/>
      <c r="D316" s="1862"/>
      <c r="E316" s="1862"/>
      <c r="F316" s="1867">
        <v>0.05</v>
      </c>
    </row>
    <row r="317" spans="1:6" ht="14.25" thickBot="1">
      <c r="A317" s="1851" t="s">
        <v>2213</v>
      </c>
      <c r="B317" s="1852" t="s">
        <v>2214</v>
      </c>
      <c r="C317" s="1853">
        <v>0.15</v>
      </c>
      <c r="D317" s="1853">
        <v>0.15</v>
      </c>
      <c r="E317" s="1853">
        <v>0.15</v>
      </c>
      <c r="F317" s="1854">
        <v>0.15</v>
      </c>
    </row>
    <row r="318" spans="1:6" ht="14.25" thickBot="1">
      <c r="A318" s="1851" t="s">
        <v>2213</v>
      </c>
      <c r="B318" s="1855" t="s">
        <v>2215</v>
      </c>
      <c r="C318" s="1856">
        <v>0.107</v>
      </c>
      <c r="D318" s="1856">
        <v>0.11</v>
      </c>
      <c r="E318" s="1856">
        <v>0.112</v>
      </c>
      <c r="F318" s="1864"/>
    </row>
    <row r="319" spans="1:6" ht="14.25" thickBot="1">
      <c r="A319" s="1851" t="s">
        <v>2213</v>
      </c>
      <c r="B319" s="1855" t="s">
        <v>2216</v>
      </c>
      <c r="C319" s="1856">
        <v>0.15</v>
      </c>
      <c r="D319" s="1856">
        <v>0.15</v>
      </c>
      <c r="E319" s="1856">
        <v>0.15</v>
      </c>
      <c r="F319" s="1857">
        <v>0.15</v>
      </c>
    </row>
    <row r="320" spans="1:6" ht="14.25" thickBot="1">
      <c r="A320" s="1851" t="s">
        <v>2213</v>
      </c>
      <c r="B320" s="1855" t="s">
        <v>1105</v>
      </c>
      <c r="C320" s="1856">
        <v>0.15</v>
      </c>
      <c r="D320" s="1856">
        <v>0.15</v>
      </c>
      <c r="E320" s="1856">
        <v>0.15</v>
      </c>
      <c r="F320" s="1864"/>
    </row>
    <row r="321" spans="1:6" ht="14.25" thickBot="1">
      <c r="A321" s="1851" t="s">
        <v>2213</v>
      </c>
      <c r="B321" s="1855" t="s">
        <v>2217</v>
      </c>
      <c r="C321" s="1856">
        <v>0.15</v>
      </c>
      <c r="D321" s="1856">
        <v>0.15</v>
      </c>
      <c r="E321" s="1856">
        <v>0.15</v>
      </c>
      <c r="F321" s="1864"/>
    </row>
    <row r="322" spans="1:6" ht="14.25" thickBot="1">
      <c r="A322" s="1851" t="s">
        <v>2213</v>
      </c>
      <c r="B322" s="1855" t="s">
        <v>2218</v>
      </c>
      <c r="C322" s="1856">
        <v>0.15</v>
      </c>
      <c r="D322" s="1856">
        <v>0.15</v>
      </c>
      <c r="E322" s="1856">
        <v>0.15</v>
      </c>
      <c r="F322" s="1857">
        <v>0.15</v>
      </c>
    </row>
    <row r="323" spans="1:6" ht="14.25" thickBot="1">
      <c r="A323" s="1851" t="s">
        <v>2213</v>
      </c>
      <c r="B323" s="1855" t="s">
        <v>2219</v>
      </c>
      <c r="C323" s="1856">
        <v>0.15</v>
      </c>
      <c r="D323" s="1856">
        <v>0.15</v>
      </c>
      <c r="E323" s="1856">
        <v>0.15</v>
      </c>
      <c r="F323" s="1864"/>
    </row>
    <row r="324" spans="1:6" ht="14.25" thickBot="1">
      <c r="A324" s="1851" t="s">
        <v>2213</v>
      </c>
      <c r="B324" s="1855" t="s">
        <v>2220</v>
      </c>
      <c r="C324" s="1856">
        <v>0.15</v>
      </c>
      <c r="D324" s="1856">
        <v>0.15</v>
      </c>
      <c r="E324" s="1856">
        <v>0.15</v>
      </c>
      <c r="F324" s="1864"/>
    </row>
    <row r="325" spans="1:6" ht="14.25" thickBot="1">
      <c r="A325" s="1851" t="s">
        <v>2213</v>
      </c>
      <c r="B325" s="1855" t="s">
        <v>2221</v>
      </c>
      <c r="C325" s="1856">
        <v>0.15</v>
      </c>
      <c r="D325" s="1856">
        <v>0.15</v>
      </c>
      <c r="E325" s="1856">
        <v>0.15</v>
      </c>
      <c r="F325" s="1857">
        <v>0.14699999999999999</v>
      </c>
    </row>
    <row r="326" spans="1:6" ht="14.25" thickBot="1">
      <c r="A326" s="1851" t="s">
        <v>2213</v>
      </c>
      <c r="B326" s="1855" t="s">
        <v>1174</v>
      </c>
      <c r="C326" s="1856">
        <v>0.15</v>
      </c>
      <c r="D326" s="1856">
        <v>0.15</v>
      </c>
      <c r="E326" s="1856">
        <v>0.15</v>
      </c>
      <c r="F326" s="1864"/>
    </row>
    <row r="327" spans="1:6" ht="14.25" thickBot="1">
      <c r="A327" s="1851" t="s">
        <v>2213</v>
      </c>
      <c r="B327" s="1855" t="s">
        <v>2222</v>
      </c>
      <c r="C327" s="1856">
        <v>0.15</v>
      </c>
      <c r="D327" s="1856">
        <v>0.15</v>
      </c>
      <c r="E327" s="1856">
        <v>0.15</v>
      </c>
      <c r="F327" s="1857">
        <v>0.15</v>
      </c>
    </row>
    <row r="328" spans="1:6" ht="14.25" thickBot="1">
      <c r="A328" s="1851" t="s">
        <v>2213</v>
      </c>
      <c r="B328" s="1855" t="s">
        <v>1194</v>
      </c>
      <c r="C328" s="1856">
        <v>0.15</v>
      </c>
      <c r="D328" s="1856">
        <v>0.15</v>
      </c>
      <c r="E328" s="1856">
        <v>0.15</v>
      </c>
      <c r="F328" s="1857">
        <v>0.14099999999999999</v>
      </c>
    </row>
    <row r="329" spans="1:6" ht="14.25" thickBot="1">
      <c r="A329" s="1851" t="s">
        <v>2213</v>
      </c>
      <c r="B329" s="1855" t="s">
        <v>1204</v>
      </c>
      <c r="C329" s="1856">
        <v>0.15</v>
      </c>
      <c r="D329" s="1856">
        <v>0.15</v>
      </c>
      <c r="E329" s="1856">
        <v>0.15</v>
      </c>
      <c r="F329" s="1857">
        <v>0.15</v>
      </c>
    </row>
    <row r="330" spans="1:6" ht="14.25" thickBot="1">
      <c r="A330" s="1851" t="s">
        <v>2213</v>
      </c>
      <c r="B330" s="1855" t="s">
        <v>1214</v>
      </c>
      <c r="C330" s="1856">
        <v>0.15</v>
      </c>
      <c r="D330" s="1856">
        <v>0.15</v>
      </c>
      <c r="E330" s="1856">
        <v>0.15</v>
      </c>
      <c r="F330" s="1864"/>
    </row>
    <row r="331" spans="1:6" ht="14.25" thickBot="1">
      <c r="A331" s="1851" t="s">
        <v>2213</v>
      </c>
      <c r="B331" s="1855" t="s">
        <v>2223</v>
      </c>
      <c r="C331" s="1856">
        <v>0.15</v>
      </c>
      <c r="D331" s="1856">
        <v>0.15</v>
      </c>
      <c r="E331" s="1856">
        <v>0.15</v>
      </c>
      <c r="F331" s="1857">
        <v>0.15</v>
      </c>
    </row>
    <row r="332" spans="1:6" ht="14.25" thickBot="1">
      <c r="A332" s="1851" t="s">
        <v>2213</v>
      </c>
      <c r="B332" s="1855" t="s">
        <v>1234</v>
      </c>
      <c r="C332" s="1856">
        <v>0.15</v>
      </c>
      <c r="D332" s="1856">
        <v>0.15</v>
      </c>
      <c r="E332" s="1856">
        <v>0.15</v>
      </c>
      <c r="F332" s="1857">
        <v>0.15</v>
      </c>
    </row>
    <row r="333" spans="1:6" ht="14.25" thickBot="1">
      <c r="A333" s="1851" t="s">
        <v>2213</v>
      </c>
      <c r="B333" s="1855" t="s">
        <v>2224</v>
      </c>
      <c r="C333" s="1856">
        <v>0.15</v>
      </c>
      <c r="D333" s="1856">
        <v>0.15</v>
      </c>
      <c r="E333" s="1856">
        <v>0.15</v>
      </c>
      <c r="F333" s="1857">
        <v>0.14099999999999999</v>
      </c>
    </row>
    <row r="334" spans="1:6" ht="14.25" thickBot="1">
      <c r="A334" s="1851" t="s">
        <v>2213</v>
      </c>
      <c r="B334" s="1855" t="s">
        <v>1254</v>
      </c>
      <c r="C334" s="1856">
        <v>0.15</v>
      </c>
      <c r="D334" s="1856">
        <v>0.15</v>
      </c>
      <c r="E334" s="1856">
        <v>0.15</v>
      </c>
      <c r="F334" s="1857">
        <v>0.15</v>
      </c>
    </row>
    <row r="335" spans="1:6" ht="14.25" thickBot="1">
      <c r="A335" s="1851" t="s">
        <v>2213</v>
      </c>
      <c r="B335" s="1855" t="s">
        <v>1264</v>
      </c>
      <c r="C335" s="1856">
        <v>0.15</v>
      </c>
      <c r="D335" s="1856">
        <v>0.15</v>
      </c>
      <c r="E335" s="1856">
        <v>0.15</v>
      </c>
      <c r="F335" s="1864"/>
    </row>
    <row r="336" spans="1:6" ht="14.25" thickBot="1">
      <c r="A336" s="1851" t="s">
        <v>2213</v>
      </c>
      <c r="B336" s="1855" t="s">
        <v>2225</v>
      </c>
      <c r="C336" s="1856">
        <v>0.15</v>
      </c>
      <c r="D336" s="1856">
        <v>0.15</v>
      </c>
      <c r="E336" s="1856">
        <v>0.15</v>
      </c>
      <c r="F336" s="1857">
        <v>0.11799999999999999</v>
      </c>
    </row>
    <row r="337" spans="1:6" ht="14.25" thickBot="1">
      <c r="A337" s="1859" t="s">
        <v>2213</v>
      </c>
      <c r="B337" s="1866" t="s">
        <v>1282</v>
      </c>
      <c r="C337" s="1862"/>
      <c r="D337" s="1862"/>
      <c r="E337" s="1862"/>
      <c r="F337" s="1867">
        <v>0.14299999999999999</v>
      </c>
    </row>
    <row r="338" spans="1:6" ht="14.25" thickBot="1">
      <c r="A338" s="1851" t="s">
        <v>2226</v>
      </c>
      <c r="B338" s="1852" t="s">
        <v>2227</v>
      </c>
      <c r="C338" s="1853">
        <v>0.15</v>
      </c>
      <c r="D338" s="1853">
        <v>0.15</v>
      </c>
      <c r="E338" s="1853">
        <v>0.15</v>
      </c>
      <c r="F338" s="1875"/>
    </row>
    <row r="339" spans="1:6" ht="14.25" thickBot="1">
      <c r="A339" s="1851" t="s">
        <v>2226</v>
      </c>
      <c r="B339" s="1855" t="s">
        <v>2228</v>
      </c>
      <c r="C339" s="1856">
        <v>0.15</v>
      </c>
      <c r="D339" s="1856">
        <v>0.15</v>
      </c>
      <c r="E339" s="1856">
        <v>0.15</v>
      </c>
      <c r="F339" s="1864"/>
    </row>
    <row r="340" spans="1:6" ht="14.25" thickBot="1">
      <c r="A340" s="1851" t="s">
        <v>2226</v>
      </c>
      <c r="B340" s="1855" t="s">
        <v>2229</v>
      </c>
      <c r="C340" s="1856">
        <v>0.15</v>
      </c>
      <c r="D340" s="1856">
        <v>0.15</v>
      </c>
      <c r="E340" s="1856">
        <v>0.15</v>
      </c>
      <c r="F340" s="1864"/>
    </row>
    <row r="341" spans="1:6" ht="14.25" thickBot="1">
      <c r="A341" s="1851" t="s">
        <v>2230</v>
      </c>
      <c r="B341" s="1855" t="s">
        <v>2231</v>
      </c>
      <c r="C341" s="1856">
        <v>0.15</v>
      </c>
      <c r="D341" s="1856">
        <v>0.15</v>
      </c>
      <c r="E341" s="1856">
        <v>0.15</v>
      </c>
      <c r="F341" s="1857">
        <v>0.15</v>
      </c>
    </row>
    <row r="342" spans="1:6" ht="14.25" thickBot="1">
      <c r="A342" s="1851" t="s">
        <v>2226</v>
      </c>
      <c r="B342" s="1855" t="s">
        <v>2232</v>
      </c>
      <c r="C342" s="1856">
        <v>0.15</v>
      </c>
      <c r="D342" s="1856">
        <v>0.15</v>
      </c>
      <c r="E342" s="1856">
        <v>0.15</v>
      </c>
      <c r="F342" s="1857">
        <v>0.15</v>
      </c>
    </row>
    <row r="343" spans="1:6" ht="14.25" thickBot="1">
      <c r="A343" s="1851" t="s">
        <v>2226</v>
      </c>
      <c r="B343" s="1855" t="s">
        <v>2233</v>
      </c>
      <c r="C343" s="1856">
        <v>0.15</v>
      </c>
      <c r="D343" s="1856">
        <v>0.15</v>
      </c>
      <c r="E343" s="1856">
        <v>0.15</v>
      </c>
      <c r="F343" s="1857">
        <v>0.15</v>
      </c>
    </row>
    <row r="344" spans="1:6" ht="14.25" thickBot="1">
      <c r="A344" s="1859" t="s">
        <v>2226</v>
      </c>
      <c r="B344" s="1866" t="s">
        <v>2234</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3" t="s">
        <v>2937</v>
      </c>
      <c r="B1" s="3095"/>
      <c r="C1" s="3095"/>
      <c r="D1" s="3095"/>
      <c r="E1" s="3095"/>
      <c r="F1" s="3095"/>
    </row>
    <row r="2" spans="1:6" ht="14.25">
      <c r="A2" s="3096" t="s">
        <v>2932</v>
      </c>
      <c r="B2" s="3097" t="e">
        <f ca="1">SUMIF(B7:B14,"&lt;&gt;#ref!",B7:B14)</f>
        <v>#DIV/0!</v>
      </c>
      <c r="C2" s="3096" t="s">
        <v>2933</v>
      </c>
      <c r="D2" s="3095"/>
      <c r="E2" s="3095"/>
      <c r="F2" s="3095"/>
    </row>
    <row r="3" spans="1:6" ht="14.25">
      <c r="A3" s="3096" t="s">
        <v>2965</v>
      </c>
      <c r="B3" s="3097" t="e">
        <f ca="1">ROUND(B2*10000/E3,0)</f>
        <v>#DIV/0!</v>
      </c>
      <c r="C3" s="3096" t="s">
        <v>2075</v>
      </c>
      <c r="D3" s="3096" t="s">
        <v>2934</v>
      </c>
      <c r="E3" s="3097">
        <f ca="1">SUMIF(E7:E14,"&lt;&gt;#ref!",E7:E14)</f>
        <v>0</v>
      </c>
      <c r="F3" s="3095"/>
    </row>
    <row r="4" spans="1:6" ht="14.25">
      <c r="A4" s="3096" t="s">
        <v>2941</v>
      </c>
      <c r="B4" s="3097" t="e">
        <f ca="1">ROUND(B2*10000/E4,0)</f>
        <v>#DIV/0!</v>
      </c>
      <c r="C4" s="3096" t="s">
        <v>2075</v>
      </c>
      <c r="D4" s="3096" t="s">
        <v>2942</v>
      </c>
      <c r="E4" s="3097">
        <f ca="1">SUMIF(F7:F14,"&lt;&gt;#ref!",F7:F14)</f>
        <v>0</v>
      </c>
      <c r="F4" s="3095"/>
    </row>
    <row r="5" spans="1:6" ht="14.25">
      <c r="A5" s="3098"/>
      <c r="B5" s="1877"/>
      <c r="C5" s="1877"/>
      <c r="D5" s="1877"/>
      <c r="E5" s="1877"/>
      <c r="F5" s="3095"/>
    </row>
    <row r="6" spans="1:6" ht="28.5">
      <c r="A6" s="3099" t="s">
        <v>2938</v>
      </c>
      <c r="B6" s="3096" t="s">
        <v>2935</v>
      </c>
      <c r="C6" s="3097"/>
      <c r="D6" s="1877"/>
      <c r="E6" s="3096" t="s">
        <v>2936</v>
      </c>
      <c r="F6" s="3096" t="s">
        <v>2940</v>
      </c>
    </row>
    <row r="7" spans="1:6" ht="14.25">
      <c r="A7" s="258" t="s">
        <v>2939</v>
      </c>
      <c r="B7" s="3100" t="e">
        <f ca="1">SUMIF(INDIRECT("'"&amp;A7&amp;"'"&amp;"!A:A"),"总价",INDIRECT("'"&amp;A7&amp;"'"&amp;"!B:B"))</f>
        <v>#DIV/0!</v>
      </c>
      <c r="C7" s="3096" t="s">
        <v>2933</v>
      </c>
      <c r="D7" s="1877"/>
      <c r="E7" s="3101">
        <f ca="1">SUMIF(INDIRECT("'"&amp;A7&amp;"'"&amp;"!C:C"),"建筑面积",INDIRECT("'"&amp;A7&amp;"'"&amp;"!D:D"))</f>
        <v>0</v>
      </c>
      <c r="F7" s="3101">
        <f ca="1">SUMIF(INDIRECT("'"&amp;A7&amp;"'"&amp;"!E:E"),"土地面积",INDIRECT("'"&amp;A7&amp;"'"&amp;"!F:F"))</f>
        <v>0</v>
      </c>
    </row>
    <row r="8" spans="1:6" ht="14.25">
      <c r="A8" s="258"/>
      <c r="B8" s="3100" t="e">
        <f t="shared" ref="B8:B14" ca="1" si="0">SUMIF(INDIRECT("'"&amp;A8&amp;"'"&amp;"!A:A"),"总价",INDIRECT("'"&amp;A8&amp;"'"&amp;"!B:B"))</f>
        <v>#REF!</v>
      </c>
      <c r="C8" s="3096" t="s">
        <v>2933</v>
      </c>
      <c r="D8" s="1877"/>
      <c r="E8" s="3101" t="e">
        <f t="shared" ref="E8:E14" ca="1" si="1">SUMIF(INDIRECT("'"&amp;A8&amp;"'"&amp;"!C:C"),"建筑面积",INDIRECT("'"&amp;A8&amp;"'"&amp;"!D:D"))</f>
        <v>#REF!</v>
      </c>
      <c r="F8" s="3101" t="e">
        <f t="shared" ref="F8:F14" ca="1" si="2">SUMIF(INDIRECT("'"&amp;A8&amp;"'"&amp;"!E:E"),"土地面积",INDIRECT("'"&amp;A8&amp;"'"&amp;"!F:F"))</f>
        <v>#REF!</v>
      </c>
    </row>
    <row r="9" spans="1:6" ht="14.25">
      <c r="A9" s="258"/>
      <c r="B9" s="3100" t="e">
        <f t="shared" ca="1" si="0"/>
        <v>#REF!</v>
      </c>
      <c r="C9" s="3096" t="s">
        <v>2933</v>
      </c>
      <c r="D9" s="1877"/>
      <c r="E9" s="3101" t="e">
        <f t="shared" ca="1" si="1"/>
        <v>#REF!</v>
      </c>
      <c r="F9" s="3101" t="e">
        <f t="shared" ca="1" si="2"/>
        <v>#REF!</v>
      </c>
    </row>
    <row r="10" spans="1:6" ht="14.25">
      <c r="A10" s="258"/>
      <c r="B10" s="3100" t="e">
        <f t="shared" ca="1" si="0"/>
        <v>#REF!</v>
      </c>
      <c r="C10" s="3096" t="s">
        <v>2933</v>
      </c>
      <c r="D10" s="1877"/>
      <c r="E10" s="3101" t="e">
        <f t="shared" ca="1" si="1"/>
        <v>#REF!</v>
      </c>
      <c r="F10" s="3101" t="e">
        <f t="shared" ca="1" si="2"/>
        <v>#REF!</v>
      </c>
    </row>
    <row r="11" spans="1:6" ht="14.25">
      <c r="A11" s="258"/>
      <c r="B11" s="3100" t="e">
        <f t="shared" ca="1" si="0"/>
        <v>#REF!</v>
      </c>
      <c r="C11" s="3096" t="s">
        <v>2933</v>
      </c>
      <c r="D11" s="1877"/>
      <c r="E11" s="3101" t="e">
        <f t="shared" ca="1" si="1"/>
        <v>#REF!</v>
      </c>
      <c r="F11" s="3101" t="e">
        <f t="shared" ca="1" si="2"/>
        <v>#REF!</v>
      </c>
    </row>
    <row r="12" spans="1:6" ht="14.25">
      <c r="A12" s="258"/>
      <c r="B12" s="3100" t="e">
        <f t="shared" ca="1" si="0"/>
        <v>#REF!</v>
      </c>
      <c r="C12" s="3096" t="s">
        <v>2933</v>
      </c>
      <c r="D12" s="1877"/>
      <c r="E12" s="3101" t="e">
        <f t="shared" ca="1" si="1"/>
        <v>#REF!</v>
      </c>
      <c r="F12" s="3101" t="e">
        <f t="shared" ca="1" si="2"/>
        <v>#REF!</v>
      </c>
    </row>
    <row r="13" spans="1:6" ht="14.25">
      <c r="A13" s="258"/>
      <c r="B13" s="3100" t="e">
        <f t="shared" ca="1" si="0"/>
        <v>#REF!</v>
      </c>
      <c r="C13" s="3096" t="s">
        <v>2933</v>
      </c>
      <c r="D13" s="1877"/>
      <c r="E13" s="3101" t="e">
        <f t="shared" ca="1" si="1"/>
        <v>#REF!</v>
      </c>
      <c r="F13" s="3101" t="e">
        <f t="shared" ca="1" si="2"/>
        <v>#REF!</v>
      </c>
    </row>
    <row r="14" spans="1:6" ht="14.25">
      <c r="A14" s="3094"/>
      <c r="B14" s="3100" t="e">
        <f t="shared" ca="1" si="0"/>
        <v>#REF!</v>
      </c>
      <c r="C14" s="3096" t="s">
        <v>2933</v>
      </c>
      <c r="D14" s="1877"/>
      <c r="E14" s="3101" t="e">
        <f t="shared" ca="1" si="1"/>
        <v>#REF!</v>
      </c>
      <c r="F14" s="310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0" t="s">
        <v>625</v>
      </c>
      <c r="B1" s="736"/>
      <c r="C1" s="771" t="s">
        <v>3024</v>
      </c>
      <c r="D1" s="2046"/>
      <c r="E1" s="2383" t="s">
        <v>2368</v>
      </c>
      <c r="F1" s="2384" t="e">
        <f ca="1">J54</f>
        <v>#N/A</v>
      </c>
      <c r="G1" s="772" t="e">
        <f>MATCH(C1,'数据-取费表'!A6:A16,0)+5</f>
        <v>#N/A</v>
      </c>
      <c r="H1" s="1348"/>
      <c r="I1" s="2047"/>
      <c r="J1" s="2047"/>
      <c r="K1" s="2048"/>
      <c r="L1" s="2047"/>
      <c r="M1" s="2047"/>
      <c r="N1" s="2049"/>
      <c r="O1" s="2049"/>
      <c r="P1" s="2049"/>
      <c r="Q1" s="2049"/>
      <c r="R1" s="2049"/>
      <c r="S1" s="2049"/>
      <c r="T1" s="2049"/>
      <c r="U1" s="2049"/>
      <c r="V1" s="2049"/>
      <c r="W1" s="2049"/>
      <c r="X1" s="2049"/>
      <c r="Y1" s="2049"/>
    </row>
    <row r="2" spans="1:25" ht="18" customHeight="1">
      <c r="A2" s="1641" t="s">
        <v>626</v>
      </c>
      <c r="B2" s="773">
        <f ca="1">IF(ISERROR(C45+J31),0,C45+J31)</f>
        <v>0</v>
      </c>
      <c r="C2" s="1349"/>
      <c r="D2" s="2051"/>
      <c r="E2" s="2052"/>
      <c r="F2" s="2052"/>
      <c r="G2" s="1587"/>
      <c r="H2" s="1361"/>
      <c r="I2" s="2053"/>
      <c r="J2" s="2053"/>
      <c r="K2" s="2054"/>
      <c r="L2" s="2053"/>
      <c r="M2" s="2053"/>
    </row>
    <row r="3" spans="1:25" ht="18" customHeight="1">
      <c r="A3" s="1642" t="s">
        <v>1683</v>
      </c>
      <c r="B3" s="1389">
        <f ca="1">ROUND(B2*10000/'数据-汇总表'!E3,0)</f>
        <v>0</v>
      </c>
      <c r="C3" s="1349"/>
      <c r="D3" s="2051"/>
      <c r="E3" s="2052"/>
      <c r="F3" s="2052"/>
      <c r="G3" s="1587"/>
      <c r="H3" s="774" t="s">
        <v>692</v>
      </c>
      <c r="I3" s="2053"/>
      <c r="J3" s="2053"/>
      <c r="K3" s="2054"/>
      <c r="L3" s="2053"/>
      <c r="M3" s="2053"/>
    </row>
    <row r="4" spans="1:25" ht="18" customHeight="1">
      <c r="A4" s="1643" t="s">
        <v>693</v>
      </c>
      <c r="B4" s="1350">
        <f ca="1">ROUND(B2*10000/'数据-汇总表'!D3,0)</f>
        <v>0</v>
      </c>
      <c r="C4" s="426"/>
      <c r="D4" s="2051"/>
      <c r="E4" s="2052"/>
      <c r="F4" s="2052"/>
      <c r="G4" s="1587"/>
      <c r="H4" s="774"/>
      <c r="I4" s="2053"/>
      <c r="J4" s="2053"/>
      <c r="K4" s="2054"/>
      <c r="L4" s="2053"/>
      <c r="M4" s="2053"/>
    </row>
    <row r="5" spans="1:25" ht="18" customHeight="1" thickBot="1">
      <c r="A5" s="1644"/>
      <c r="B5" s="428">
        <f ca="1">ROUND(B2/('数据-汇总表'!D3/666.67),0)</f>
        <v>0</v>
      </c>
      <c r="C5" s="429" t="s">
        <v>694</v>
      </c>
      <c r="D5" s="2051"/>
      <c r="E5" s="2052"/>
      <c r="F5" s="2052"/>
      <c r="G5" s="1587"/>
      <c r="H5" s="774"/>
      <c r="I5" s="2053"/>
      <c r="J5" s="2053"/>
      <c r="K5" s="2054"/>
      <c r="L5" s="2053"/>
      <c r="M5" s="2053"/>
    </row>
    <row r="6" spans="1:25" ht="18" customHeight="1">
      <c r="A6" s="1824" t="s">
        <v>695</v>
      </c>
      <c r="B6" s="1816" t="s">
        <v>696</v>
      </c>
      <c r="C6" s="1816" t="s">
        <v>629</v>
      </c>
      <c r="D6" s="1816" t="s">
        <v>630</v>
      </c>
      <c r="E6" s="777" t="s">
        <v>631</v>
      </c>
      <c r="F6" s="778"/>
      <c r="G6" s="1589"/>
      <c r="H6" s="1824" t="s">
        <v>627</v>
      </c>
      <c r="I6" s="1816" t="s">
        <v>628</v>
      </c>
      <c r="J6" s="1816" t="s">
        <v>629</v>
      </c>
      <c r="K6" s="1816" t="s">
        <v>630</v>
      </c>
      <c r="L6" s="777" t="s">
        <v>631</v>
      </c>
      <c r="M6" s="778"/>
    </row>
    <row r="7" spans="1:25" ht="18" customHeight="1">
      <c r="A7" s="779">
        <v>1</v>
      </c>
      <c r="B7" s="780" t="s">
        <v>2450</v>
      </c>
      <c r="C7" s="53" t="e">
        <f ca="1">C8+C12+C14</f>
        <v>#N/A</v>
      </c>
      <c r="D7" s="2492" t="s">
        <v>2453</v>
      </c>
      <c r="E7" s="2486"/>
      <c r="F7" s="2487"/>
      <c r="G7" s="1589"/>
      <c r="H7" s="779">
        <v>1</v>
      </c>
      <c r="I7" s="780" t="s">
        <v>2450</v>
      </c>
      <c r="J7" s="53" t="e">
        <f ca="1">J8+J12+J14</f>
        <v>#N/A</v>
      </c>
      <c r="K7" s="2492" t="s">
        <v>2453</v>
      </c>
      <c r="L7" s="2486"/>
      <c r="M7" s="2487"/>
    </row>
    <row r="8" spans="1:25" ht="18" customHeight="1">
      <c r="A8" s="1826" t="s">
        <v>1821</v>
      </c>
      <c r="B8" s="3471" t="s">
        <v>2455</v>
      </c>
      <c r="C8" s="1821" t="e">
        <f ca="1">ROUND(F8*F10*F9*(1-F11)/10000,0)</f>
        <v>#N/A</v>
      </c>
      <c r="D8" s="1818" t="s">
        <v>2526</v>
      </c>
      <c r="E8" s="61" t="s">
        <v>634</v>
      </c>
      <c r="F8" s="783" t="e">
        <f ca="1">INDIRECT("'数据-取费表'!u"&amp;$G$1)</f>
        <v>#N/A</v>
      </c>
      <c r="G8" s="1589"/>
      <c r="H8" s="2500" t="s">
        <v>1821</v>
      </c>
      <c r="I8" s="3471" t="s">
        <v>2455</v>
      </c>
      <c r="J8" s="781" t="e">
        <f ca="1">ROUND(M8*M10*M9*(1-M11)/10000,0)</f>
        <v>#N/A</v>
      </c>
      <c r="K8" s="339" t="s">
        <v>2526</v>
      </c>
      <c r="L8" s="782" t="s">
        <v>1735</v>
      </c>
      <c r="M8" s="783" t="e">
        <f ca="1">INDIRECT("'数据-取费表'!z"&amp;$G$1)</f>
        <v>#N/A</v>
      </c>
    </row>
    <row r="9" spans="1:25" ht="18" customHeight="1">
      <c r="A9" s="2496"/>
      <c r="B9" s="3472"/>
      <c r="C9" s="1822"/>
      <c r="D9" s="1819"/>
      <c r="E9" s="61" t="s">
        <v>635</v>
      </c>
      <c r="F9" s="783" t="e">
        <f ca="1">IF(INDIRECT("'数据-取费表'!ah"&amp;$G$1)="",INDIRECT("'数据-取费表'!k"&amp;$G$1),INDIRECT("'数据-取费表'!ah"&amp;$G$1))</f>
        <v>#N/A</v>
      </c>
      <c r="G9" s="1589"/>
      <c r="H9" s="2485"/>
      <c r="I9" s="3472"/>
      <c r="J9" s="786"/>
      <c r="K9" s="787"/>
      <c r="L9" s="782" t="s">
        <v>1736</v>
      </c>
      <c r="M9" s="783" t="e">
        <f ca="1">F9</f>
        <v>#N/A</v>
      </c>
    </row>
    <row r="10" spans="1:25" ht="18" customHeight="1">
      <c r="A10" s="2489"/>
      <c r="B10" s="3473"/>
      <c r="C10" s="1822"/>
      <c r="D10" s="1819"/>
      <c r="E10" s="61" t="s">
        <v>636</v>
      </c>
      <c r="F10" s="783" t="e">
        <f ca="1">INDIRECT("'数据-取费表'!ai"&amp;$G$1)</f>
        <v>#N/A</v>
      </c>
      <c r="G10" s="1589"/>
      <c r="H10" s="2485"/>
      <c r="I10" s="3473"/>
      <c r="J10" s="786"/>
      <c r="K10" s="787"/>
      <c r="L10" s="782" t="s">
        <v>1737</v>
      </c>
      <c r="M10" s="783" t="e">
        <f ca="1">INDIRECT("'数据-取费表'!ai"&amp;$G$1)</f>
        <v>#N/A</v>
      </c>
    </row>
    <row r="11" spans="1:25" ht="18" customHeight="1">
      <c r="A11" s="784"/>
      <c r="B11" s="3474"/>
      <c r="C11" s="1822"/>
      <c r="D11" s="1819"/>
      <c r="E11" s="61" t="s">
        <v>637</v>
      </c>
      <c r="F11" s="792" t="e">
        <f ca="1">INDIRECT("'数据-取费表'!w"&amp;$G$1)</f>
        <v>#N/A</v>
      </c>
      <c r="G11" s="1589"/>
      <c r="H11" s="2501"/>
      <c r="I11" s="3473"/>
      <c r="J11" s="786"/>
      <c r="K11" s="787"/>
      <c r="L11" s="793" t="s">
        <v>1738</v>
      </c>
      <c r="M11" s="794" t="e">
        <f ca="1">INDIRECT("'数据-取费表'!ab"&amp;$G$1)</f>
        <v>#N/A</v>
      </c>
    </row>
    <row r="12" spans="1:25" ht="18" customHeight="1">
      <c r="A12" s="1826" t="s">
        <v>1822</v>
      </c>
      <c r="B12" s="2490" t="s">
        <v>2451</v>
      </c>
      <c r="C12" s="797" t="e">
        <f ca="1">ROUND(IF(F12="押一",C8/12*F13,IF(F12="押二",C8/12*2*F13,IF(F12="押三",C8/12*3*F13,C13*F13))),0)</f>
        <v>#N/A</v>
      </c>
      <c r="D12" s="2497" t="s">
        <v>2961</v>
      </c>
      <c r="E12" s="2494" t="s">
        <v>2456</v>
      </c>
      <c r="F12" s="2617" t="s">
        <v>3025</v>
      </c>
      <c r="G12" s="1589"/>
      <c r="H12" s="2557" t="s">
        <v>1822</v>
      </c>
      <c r="I12" s="2562" t="s">
        <v>2451</v>
      </c>
      <c r="J12" s="781">
        <f ca="1">ROUND(IF(M12="押一",J8/12*M13,IF(M12="押二",J8/12*2*M13,IF(M12="押三",J8/12*3*M13,J13*M13))),0)</f>
        <v>0</v>
      </c>
      <c r="K12" s="2497" t="s">
        <v>2961</v>
      </c>
      <c r="L12" s="2494" t="s">
        <v>2456</v>
      </c>
      <c r="M12" s="2617"/>
    </row>
    <row r="13" spans="1:25" ht="18" customHeight="1">
      <c r="A13" s="788"/>
      <c r="B13" s="2491" t="s">
        <v>2565</v>
      </c>
      <c r="C13" s="2495"/>
      <c r="D13" s="787"/>
      <c r="E13" s="2494" t="s">
        <v>2448</v>
      </c>
      <c r="F13" s="794">
        <f ca="1">'数据-取费表'!B39</f>
        <v>1.4999999999999999E-2</v>
      </c>
      <c r="G13" s="1589"/>
      <c r="H13" s="2558"/>
      <c r="I13" s="2491" t="s">
        <v>2565</v>
      </c>
      <c r="J13" s="2495"/>
      <c r="K13" s="2559"/>
      <c r="L13" s="2494" t="s">
        <v>2448</v>
      </c>
      <c r="M13" s="2488">
        <f ca="1">'数据-取费表'!B39</f>
        <v>1.4999999999999999E-2</v>
      </c>
    </row>
    <row r="14" spans="1:25" ht="18" customHeight="1" thickBot="1">
      <c r="A14" s="2533" t="s">
        <v>2459</v>
      </c>
      <c r="B14" s="2534" t="s">
        <v>2452</v>
      </c>
      <c r="C14" s="2535"/>
      <c r="D14" s="2536"/>
      <c r="E14" s="2537"/>
      <c r="F14" s="2538"/>
      <c r="G14" s="1589"/>
      <c r="H14" s="2547" t="s">
        <v>2459</v>
      </c>
      <c r="I14" s="2560" t="s">
        <v>2452</v>
      </c>
      <c r="J14" s="2561"/>
      <c r="K14" s="2536"/>
      <c r="L14" s="2537"/>
      <c r="M14" s="2550"/>
    </row>
    <row r="15" spans="1:25" ht="18" customHeight="1" thickTop="1">
      <c r="A15" s="1825" t="s">
        <v>1871</v>
      </c>
      <c r="B15" s="1823" t="s">
        <v>638</v>
      </c>
      <c r="C15" s="790" t="e">
        <f ca="1">ROUND(C31*F15,0)</f>
        <v>#N/A</v>
      </c>
      <c r="D15" s="1830" t="s">
        <v>639</v>
      </c>
      <c r="E15" s="793" t="s">
        <v>640</v>
      </c>
      <c r="F15" s="798" t="e">
        <f ca="1">INDIRECT("'数据-取费表'!y"&amp;$G$1)</f>
        <v>#N/A</v>
      </c>
      <c r="G15" s="1589"/>
      <c r="H15" s="1825" t="s">
        <v>1823</v>
      </c>
      <c r="I15" s="1823" t="s">
        <v>641</v>
      </c>
      <c r="J15" s="1815" t="e">
        <f ca="1">ROUND(J16*J17,0)</f>
        <v>#N/A</v>
      </c>
      <c r="K15" s="1817" t="s">
        <v>639</v>
      </c>
      <c r="L15" s="799"/>
      <c r="M15" s="800"/>
    </row>
    <row r="16" spans="1:25" ht="18" customHeight="1">
      <c r="A16" s="801" t="s">
        <v>1872</v>
      </c>
      <c r="B16" s="782" t="s">
        <v>642</v>
      </c>
      <c r="C16" s="802" t="e">
        <f ca="1">INDIRECT("'数据-取费表'!m"&amp;$G$1)+INDIRECT("'数据-取费表'!t"&amp;$G$1)</f>
        <v>#N/A</v>
      </c>
      <c r="D16" s="1975" t="s">
        <v>643</v>
      </c>
      <c r="E16" s="1976"/>
      <c r="F16" s="803"/>
      <c r="G16" s="1589"/>
      <c r="H16" s="801" t="s">
        <v>2066</v>
      </c>
      <c r="I16" s="2227" t="s">
        <v>2817</v>
      </c>
      <c r="J16" s="53" t="e">
        <f ca="1">C31</f>
        <v>#N/A</v>
      </c>
      <c r="K16" s="26"/>
      <c r="L16" s="799"/>
      <c r="M16" s="800"/>
    </row>
    <row r="17" spans="1:25" s="2060" customFormat="1" ht="18" customHeight="1">
      <c r="A17" s="801" t="s">
        <v>1846</v>
      </c>
      <c r="B17" s="782" t="s">
        <v>644</v>
      </c>
      <c r="C17" s="53" t="e">
        <f ca="1">ROUND(C16*F17,0)</f>
        <v>#N/A</v>
      </c>
      <c r="D17" s="804" t="s">
        <v>645</v>
      </c>
      <c r="E17" s="804" t="s">
        <v>646</v>
      </c>
      <c r="F17" s="805">
        <f>'数据-取费表'!B33</f>
        <v>0.04</v>
      </c>
      <c r="G17" s="1590"/>
      <c r="H17" s="801" t="s">
        <v>2067</v>
      </c>
      <c r="I17" s="782" t="s">
        <v>640</v>
      </c>
      <c r="J17" s="806" t="e">
        <f ca="1">INDIRECT("'数据-取费表'!ad"&amp;$G$1)</f>
        <v>#N/A</v>
      </c>
      <c r="K17" s="26"/>
      <c r="L17" s="799"/>
      <c r="M17" s="800"/>
      <c r="N17" s="2059"/>
      <c r="O17" s="2059"/>
      <c r="P17" s="2059"/>
      <c r="Q17" s="2059"/>
      <c r="R17" s="2059"/>
      <c r="S17" s="2059"/>
      <c r="T17" s="2059"/>
      <c r="U17" s="2059"/>
      <c r="V17" s="2059"/>
      <c r="W17" s="2059"/>
      <c r="X17" s="2059"/>
      <c r="Y17" s="2059"/>
    </row>
    <row r="18" spans="1:25" ht="18" customHeight="1">
      <c r="A18" s="801" t="s">
        <v>1847</v>
      </c>
      <c r="B18" s="782" t="s">
        <v>647</v>
      </c>
      <c r="C18" s="53" t="e">
        <f ca="1">ROUND(INDIRECT("'数据-取费表'!m"&amp;$G$1)*F18,0)</f>
        <v>#N/A</v>
      </c>
      <c r="D18" s="782" t="s">
        <v>645</v>
      </c>
      <c r="E18" s="782" t="s">
        <v>646</v>
      </c>
      <c r="F18" s="807" t="e">
        <f ca="1">IF(INDIRECT("'数据-取费表'!c"&amp;$G$1)="住宅",'数据-取费表'!B34,0)</f>
        <v>#N/A</v>
      </c>
      <c r="G18" s="1589"/>
      <c r="H18" s="795" t="s">
        <v>1824</v>
      </c>
      <c r="I18" s="796" t="s">
        <v>648</v>
      </c>
      <c r="J18" s="797" t="e">
        <f ca="1">ROUND(J19+J24+J25+J26,0)</f>
        <v>#N/A</v>
      </c>
      <c r="K18" s="26" t="s">
        <v>649</v>
      </c>
      <c r="L18" s="1978"/>
      <c r="M18" s="56"/>
    </row>
    <row r="19" spans="1:25" s="2060" customFormat="1" ht="18" customHeight="1">
      <c r="A19" s="801" t="s">
        <v>1848</v>
      </c>
      <c r="B19" s="782" t="s">
        <v>650</v>
      </c>
      <c r="C19" s="53" t="e">
        <f ca="1">ROUND(F19*(INDIRECT("'数据-取费表'!k"&amp;$G$1)+INDIRECT("'数据-取费表'!S"&amp;$G$1))/10000,0)</f>
        <v>#N/A</v>
      </c>
      <c r="D19" s="782" t="s">
        <v>651</v>
      </c>
      <c r="E19" s="782" t="s">
        <v>652</v>
      </c>
      <c r="F19" s="56">
        <f>'数据-取费表'!B35</f>
        <v>200</v>
      </c>
      <c r="G19" s="1590"/>
      <c r="H19" s="801" t="s">
        <v>2066</v>
      </c>
      <c r="I19" s="782" t="s">
        <v>653</v>
      </c>
      <c r="J19" s="53" t="e">
        <f ca="1">ROUND(IF(项目基本情况!B11="自然人",J7*M19,J20+J21+J22),0)</f>
        <v>#N/A</v>
      </c>
      <c r="K19" s="1975" t="s">
        <v>654</v>
      </c>
      <c r="L19" s="1973" t="s">
        <v>655</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1849</v>
      </c>
      <c r="B20" s="782" t="s">
        <v>656</v>
      </c>
      <c r="C20" s="53" t="e">
        <f ca="1">ROUND(C16*F20,0)</f>
        <v>#N/A</v>
      </c>
      <c r="D20" s="782" t="s">
        <v>645</v>
      </c>
      <c r="E20" s="782" t="s">
        <v>646</v>
      </c>
      <c r="F20" s="807">
        <f>'数据-取费表'!B36</f>
        <v>1.4999999999999999E-2</v>
      </c>
      <c r="G20" s="1590"/>
      <c r="H20" s="801" t="s">
        <v>1828</v>
      </c>
      <c r="I20" s="782" t="s">
        <v>657</v>
      </c>
      <c r="J20" s="53" t="e">
        <f ca="1">ROUND(J7*M20/1.05,1)</f>
        <v>#N/A</v>
      </c>
      <c r="K20" s="1973" t="s">
        <v>658</v>
      </c>
      <c r="L20" s="782" t="s">
        <v>646</v>
      </c>
      <c r="M20" s="807">
        <f>'数据-取费表'!B41</f>
        <v>5.6000000000000001E-2</v>
      </c>
      <c r="N20" s="2059"/>
      <c r="O20" s="2059"/>
      <c r="P20" s="2059"/>
      <c r="Q20" s="2059"/>
      <c r="R20" s="2059"/>
      <c r="S20" s="2059"/>
      <c r="T20" s="2059"/>
      <c r="U20" s="2059"/>
      <c r="V20" s="2059"/>
      <c r="W20" s="2059"/>
      <c r="X20" s="2059"/>
      <c r="Y20" s="2059"/>
    </row>
    <row r="21" spans="1:25" ht="18" customHeight="1">
      <c r="A21" s="801" t="s">
        <v>1873</v>
      </c>
      <c r="B21" s="782" t="s">
        <v>659</v>
      </c>
      <c r="C21" s="53" t="e">
        <f ca="1">SUM(C16:C20)</f>
        <v>#N/A</v>
      </c>
      <c r="D21" s="259" t="s">
        <v>660</v>
      </c>
      <c r="E21" s="1978"/>
      <c r="F21" s="56"/>
      <c r="G21" s="1589"/>
      <c r="H21" s="1826" t="s">
        <v>1846</v>
      </c>
      <c r="I21" s="782" t="s">
        <v>661</v>
      </c>
      <c r="J21" s="53" t="e">
        <f ca="1">IF(K21="按租金收入计税",ROUND(J7*M21,1),ROUND(C31*F35*0.7,1))</f>
        <v>#N/A</v>
      </c>
      <c r="K21" s="809" t="s">
        <v>662</v>
      </c>
      <c r="L21" s="782" t="s">
        <v>646</v>
      </c>
      <c r="M21" s="807">
        <f>IF(K21="按租金收入计税",'数据-取费表'!B51,'数据-取费表'!B50)</f>
        <v>1.2E-2</v>
      </c>
    </row>
    <row r="22" spans="1:25" s="2060" customFormat="1" ht="18" customHeight="1">
      <c r="A22" s="801" t="s">
        <v>1874</v>
      </c>
      <c r="B22" s="782" t="s">
        <v>663</v>
      </c>
      <c r="C22" s="53" t="e">
        <f ca="1">ROUND(C21*F22,0)</f>
        <v>#N/A</v>
      </c>
      <c r="D22" s="810" t="s">
        <v>664</v>
      </c>
      <c r="E22" s="782" t="s">
        <v>646</v>
      </c>
      <c r="F22" s="807">
        <f>'数据-取费表'!B37</f>
        <v>0.02</v>
      </c>
      <c r="G22" s="1590"/>
      <c r="H22" s="1828" t="s">
        <v>1847</v>
      </c>
      <c r="I22" s="1818" t="s">
        <v>665</v>
      </c>
      <c r="J22" s="54" t="e">
        <f ca="1">ROUND(M22*M23/10000,0)</f>
        <v>#N/A</v>
      </c>
      <c r="K22" s="812" t="s">
        <v>666</v>
      </c>
      <c r="L22" s="782" t="s">
        <v>667</v>
      </c>
      <c r="M22" s="638">
        <f>'数据-取费表'!B52</f>
        <v>20</v>
      </c>
      <c r="N22" s="2059"/>
      <c r="O22" s="2059"/>
      <c r="P22" s="2059"/>
      <c r="Q22" s="2059"/>
      <c r="R22" s="2059"/>
      <c r="S22" s="2059"/>
      <c r="T22" s="2059"/>
      <c r="U22" s="2059"/>
      <c r="V22" s="2059"/>
      <c r="W22" s="2059"/>
      <c r="X22" s="2059"/>
      <c r="Y22" s="2059"/>
    </row>
    <row r="23" spans="1:25" s="2060" customFormat="1" ht="18" customHeight="1">
      <c r="A23" s="801" t="s">
        <v>1875</v>
      </c>
      <c r="B23" s="782" t="s">
        <v>668</v>
      </c>
      <c r="C23" s="53" t="s">
        <v>1</v>
      </c>
      <c r="D23" s="810" t="s">
        <v>669</v>
      </c>
      <c r="E23" s="782" t="s">
        <v>670</v>
      </c>
      <c r="F23" s="807">
        <f>'数据-取费表'!B38</f>
        <v>0.02</v>
      </c>
      <c r="G23" s="1590"/>
      <c r="H23" s="1829"/>
      <c r="I23" s="1820"/>
      <c r="J23" s="69"/>
      <c r="K23" s="814"/>
      <c r="L23" s="782" t="s">
        <v>671</v>
      </c>
      <c r="M23" s="783" t="e">
        <f ca="1">INDIRECT("'数据-取费表'!r"&amp;$G$1)</f>
        <v>#N/A</v>
      </c>
      <c r="N23" s="2059"/>
      <c r="O23" s="2059"/>
      <c r="P23" s="2059"/>
      <c r="Q23" s="2059"/>
      <c r="R23" s="2059"/>
      <c r="S23" s="2059"/>
      <c r="T23" s="2059"/>
      <c r="U23" s="2059"/>
      <c r="V23" s="2059"/>
      <c r="W23" s="2059"/>
      <c r="X23" s="2059"/>
      <c r="Y23" s="2059"/>
    </row>
    <row r="24" spans="1:25" ht="18" customHeight="1">
      <c r="A24" s="801" t="s">
        <v>1876</v>
      </c>
      <c r="B24" s="782" t="s">
        <v>672</v>
      </c>
      <c r="C24" s="53"/>
      <c r="D24" s="2568" t="str">
        <f>IF(F25&lt;=1,"单利计息。","复利计息。")&amp;"建造成本、管理费用、销售费用产生的利息。"</f>
        <v>复利计息。建造成本、管理费用、销售费用产生的利息。</v>
      </c>
      <c r="E24" s="1978"/>
      <c r="F24" s="56"/>
      <c r="G24" s="1589"/>
      <c r="H24" s="1827" t="s">
        <v>2067</v>
      </c>
      <c r="I24" s="782" t="s">
        <v>673</v>
      </c>
      <c r="J24" s="53" t="e">
        <f ca="1">ROUND(J16*M24,0)</f>
        <v>#N/A</v>
      </c>
      <c r="K24" s="1973" t="s">
        <v>674</v>
      </c>
      <c r="L24" s="782" t="s">
        <v>646</v>
      </c>
      <c r="M24" s="815" t="e">
        <f ca="1">INDIRECT("'数据-取费表'!Ak"&amp;$G$1)</f>
        <v>#N/A</v>
      </c>
    </row>
    <row r="25" spans="1:25" s="2060" customFormat="1" ht="18" customHeight="1">
      <c r="A25" s="801" t="s">
        <v>1872</v>
      </c>
      <c r="B25" s="782" t="s">
        <v>2431</v>
      </c>
      <c r="C25" s="53" t="e">
        <f ca="1">ROUND(IF('数据-取费表'!B22&lt;=1,(C21+C22)*F26*F25/2,(C21+C22)*(POWER((1+F26),F25/2)-1)),0)</f>
        <v>#N/A</v>
      </c>
      <c r="D25" s="2567" t="str">
        <f>IF(F25&lt;=1,"(建造成本+管理费用)×利率×(建设周期÷2)","(建造成本+管理费用)×((1+利率)^(建设周期÷2)-1)")</f>
        <v>(建造成本+管理费用)×((1+利率)^(建设周期÷2)-1)</v>
      </c>
      <c r="E25" s="782" t="s">
        <v>675</v>
      </c>
      <c r="F25" s="638">
        <f>'数据-取费表'!B20</f>
        <v>2</v>
      </c>
      <c r="G25" s="1590"/>
      <c r="H25" s="801" t="s">
        <v>1875</v>
      </c>
      <c r="I25" s="782" t="s">
        <v>676</v>
      </c>
      <c r="J25" s="53" t="e">
        <f ca="1">ROUND(J15*M25,0)</f>
        <v>#N/A</v>
      </c>
      <c r="K25" s="1973" t="s">
        <v>677</v>
      </c>
      <c r="L25" s="782" t="s">
        <v>646</v>
      </c>
      <c r="M25" s="816" t="e">
        <f ca="1">INDIRECT("'数据-取费表'!Al"&amp;$G$1)</f>
        <v>#N/A</v>
      </c>
      <c r="N25" s="2059"/>
      <c r="O25" s="2059"/>
      <c r="P25" s="2059"/>
      <c r="Q25" s="2059"/>
      <c r="R25" s="2059"/>
      <c r="S25" s="2059"/>
      <c r="T25" s="2059"/>
      <c r="U25" s="2059"/>
      <c r="V25" s="2059"/>
      <c r="W25" s="2059"/>
      <c r="X25" s="2059"/>
      <c r="Y25" s="2059"/>
    </row>
    <row r="26" spans="1:25" s="2060" customFormat="1" ht="18" customHeight="1">
      <c r="A26" s="801" t="s">
        <v>1846</v>
      </c>
      <c r="B26" s="782" t="s">
        <v>678</v>
      </c>
      <c r="C26" s="53">
        <f ca="1">ROUND(IF('数据-取费表'!B22&lt;=1,F23*F26*F25/2,F23*(POWER((1+F26),F25/2)-1)),4)</f>
        <v>1E-3</v>
      </c>
      <c r="D26" s="2567" t="str">
        <f>IF(F25&lt;=1,"销售费用×利率×(建设周期÷2)","销售费用×((1+利率)^(建设周期÷2)-1)")</f>
        <v>销售费用×((1+利率)^(建设周期÷2)-1)</v>
      </c>
      <c r="E26" s="782" t="s">
        <v>679</v>
      </c>
      <c r="F26" s="817">
        <f ca="1">'数据-取费表'!B40</f>
        <v>4.7500000000000001E-2</v>
      </c>
      <c r="G26" s="1590"/>
      <c r="H26" s="801" t="s">
        <v>1876</v>
      </c>
      <c r="I26" s="782" t="s">
        <v>663</v>
      </c>
      <c r="J26" s="53" t="e">
        <f ca="1">ROUND(J7*M26,0)</f>
        <v>#N/A</v>
      </c>
      <c r="K26" s="1973" t="s">
        <v>680</v>
      </c>
      <c r="L26" s="782" t="s">
        <v>646</v>
      </c>
      <c r="M26" s="792" t="e">
        <f ca="1">INDIRECT("'数据-取费表'!Am"&amp;$G$1)</f>
        <v>#N/A</v>
      </c>
      <c r="N26" s="2059"/>
      <c r="O26" s="2059"/>
      <c r="P26" s="2059"/>
      <c r="Q26" s="2059"/>
      <c r="R26" s="2059"/>
      <c r="S26" s="2059"/>
      <c r="T26" s="2059"/>
      <c r="U26" s="2059"/>
      <c r="V26" s="2059"/>
      <c r="W26" s="2059"/>
      <c r="X26" s="2059"/>
      <c r="Y26" s="2059"/>
    </row>
    <row r="27" spans="1:25" ht="18" customHeight="1">
      <c r="A27" s="801" t="s">
        <v>1878</v>
      </c>
      <c r="B27" s="782" t="s">
        <v>681</v>
      </c>
      <c r="C27" s="53"/>
      <c r="D27" s="259" t="s">
        <v>682</v>
      </c>
      <c r="E27" s="1978"/>
      <c r="F27" s="56"/>
      <c r="G27" s="1589"/>
      <c r="H27" s="795" t="s">
        <v>1825</v>
      </c>
      <c r="I27" s="3007" t="s">
        <v>2814</v>
      </c>
      <c r="J27" s="797" t="e">
        <f ca="1">J7-J18</f>
        <v>#N/A</v>
      </c>
      <c r="K27" s="1975" t="s">
        <v>697</v>
      </c>
      <c r="L27" s="1977"/>
      <c r="M27" s="818"/>
    </row>
    <row r="28" spans="1:25" ht="18" customHeight="1">
      <c r="A28" s="801" t="s">
        <v>1872</v>
      </c>
      <c r="B28" s="782" t="s">
        <v>2432</v>
      </c>
      <c r="C28" s="53" t="e">
        <f ca="1">ROUND((C21+C22)*F28,0)</f>
        <v>#N/A</v>
      </c>
      <c r="D28" s="810" t="s">
        <v>698</v>
      </c>
      <c r="E28" s="793" t="s">
        <v>699</v>
      </c>
      <c r="F28" s="792" t="e">
        <f ca="1">INDIRECT("'数据-取费表'!q"&amp;$G$1)</f>
        <v>#N/A</v>
      </c>
      <c r="G28" s="1589"/>
      <c r="H28" s="779" t="s">
        <v>1834</v>
      </c>
      <c r="I28" s="780" t="s">
        <v>700</v>
      </c>
      <c r="J28" s="781" t="e">
        <f ca="1">IF(J7&lt;&gt;0,ROUND(J27*(1-((1+M30)/(1+M28))^M29)/(M28-M30),0),0)</f>
        <v>#N/A</v>
      </c>
      <c r="K28" s="812" t="s">
        <v>701</v>
      </c>
      <c r="L28" s="782" t="s">
        <v>702</v>
      </c>
      <c r="M28" s="792" t="e">
        <f ca="1">INDIRECT("'数据-取费表'!I"&amp;$G$1)</f>
        <v>#N/A</v>
      </c>
    </row>
    <row r="29" spans="1:25" ht="18" customHeight="1">
      <c r="A29" s="801" t="s">
        <v>1846</v>
      </c>
      <c r="B29" s="782" t="s">
        <v>683</v>
      </c>
      <c r="C29" s="53" t="e">
        <f ca="1">ROUND(F23*F28,4)</f>
        <v>#N/A</v>
      </c>
      <c r="D29" s="810" t="s">
        <v>703</v>
      </c>
      <c r="E29" s="804"/>
      <c r="F29" s="805"/>
      <c r="G29" s="1589"/>
      <c r="H29" s="784"/>
      <c r="I29" s="785"/>
      <c r="J29" s="786"/>
      <c r="K29" s="819" t="s">
        <v>704</v>
      </c>
      <c r="L29" s="782" t="s">
        <v>705</v>
      </c>
      <c r="M29" s="820" t="e">
        <f ca="1">INDIRECT("'数据-取费表'!ag"&amp;$G$1)</f>
        <v>#N/A</v>
      </c>
    </row>
    <row r="30" spans="1:25" s="2060" customFormat="1" ht="18" customHeight="1">
      <c r="A30" s="801" t="s">
        <v>1879</v>
      </c>
      <c r="B30" s="782" t="s">
        <v>684</v>
      </c>
      <c r="C30" s="53">
        <f>ROUND(F30/(1+'数据-取费表'!C42),4)</f>
        <v>5.33E-2</v>
      </c>
      <c r="D30" s="810" t="s">
        <v>706</v>
      </c>
      <c r="E30" s="782" t="s">
        <v>646</v>
      </c>
      <c r="F30" s="807">
        <f>'数据-取费表'!B41</f>
        <v>5.6000000000000001E-2</v>
      </c>
      <c r="G30" s="1590"/>
      <c r="H30" s="788"/>
      <c r="I30" s="789"/>
      <c r="J30" s="790"/>
      <c r="K30" s="814"/>
      <c r="L30" s="782" t="s">
        <v>707</v>
      </c>
      <c r="M30" s="792" t="e">
        <f ca="1">INDIRECT("'数据-取费表'!aa"&amp;$G$1)</f>
        <v>#N/A</v>
      </c>
      <c r="N30" s="2059"/>
      <c r="O30" s="2059"/>
      <c r="P30" s="2059"/>
      <c r="Q30" s="2059"/>
      <c r="R30" s="2059"/>
      <c r="S30" s="2059"/>
      <c r="T30" s="2059"/>
      <c r="U30" s="2059"/>
      <c r="V30" s="2059"/>
      <c r="W30" s="2059"/>
      <c r="X30" s="2059"/>
      <c r="Y30" s="2059"/>
    </row>
    <row r="31" spans="1:25" s="2060" customFormat="1" ht="18" customHeight="1" thickBot="1">
      <c r="A31" s="2556" t="s">
        <v>1880</v>
      </c>
      <c r="B31" s="2537" t="s">
        <v>2815</v>
      </c>
      <c r="C31" s="2540" t="e">
        <f ca="1">ROUND((C21+C22+C25+C28)/(1-F23-C26-C29-C30),0)</f>
        <v>#N/A</v>
      </c>
      <c r="D31" s="2541"/>
      <c r="E31" s="2542"/>
      <c r="F31" s="2543"/>
      <c r="G31" s="1590"/>
      <c r="H31" s="821" t="s">
        <v>1869</v>
      </c>
      <c r="I31" s="3008" t="s">
        <v>2816</v>
      </c>
      <c r="J31" s="823" t="e">
        <f ca="1">ROUND(J28/(1+F45)^F46,0)</f>
        <v>#N/A</v>
      </c>
      <c r="K31" s="824" t="s">
        <v>685</v>
      </c>
      <c r="L31" s="825"/>
      <c r="M31" s="826" t="e">
        <f ca="1">INDIRECT("'数据-取费表'!k"&amp;$G$1)</f>
        <v>#N/A</v>
      </c>
      <c r="N31" s="2059"/>
      <c r="O31" s="2059"/>
      <c r="P31" s="2059"/>
      <c r="Q31" s="2059"/>
      <c r="R31" s="2059"/>
      <c r="S31" s="2059"/>
      <c r="T31" s="2059"/>
      <c r="U31" s="2059"/>
      <c r="V31" s="2059"/>
      <c r="W31" s="2059"/>
      <c r="X31" s="2059"/>
      <c r="Y31" s="2059"/>
    </row>
    <row r="32" spans="1:25" ht="18" customHeight="1" thickTop="1">
      <c r="A32" s="1825" t="s">
        <v>7</v>
      </c>
      <c r="B32" s="1823" t="s">
        <v>686</v>
      </c>
      <c r="C32" s="790" t="e">
        <f ca="1">ROUND(C33+C38+C39+C40,0)</f>
        <v>#N/A</v>
      </c>
      <c r="D32" s="1817" t="s">
        <v>649</v>
      </c>
      <c r="E32" s="2483"/>
      <c r="F32" s="2487"/>
      <c r="G32" s="2058"/>
      <c r="H32" s="2061"/>
      <c r="I32" s="2062"/>
      <c r="J32" s="2063"/>
      <c r="K32" s="2064"/>
      <c r="L32" s="2065"/>
      <c r="M32" s="2066"/>
    </row>
    <row r="33" spans="1:18" ht="18" customHeight="1">
      <c r="A33" s="801" t="s">
        <v>1873</v>
      </c>
      <c r="B33" s="782" t="s">
        <v>653</v>
      </c>
      <c r="C33" s="53" t="e">
        <f ca="1">ROUND(IF(项目基本情况!B11="自然人",C7*F33,C34+C35+C36),1)</f>
        <v>#N/A</v>
      </c>
      <c r="D33" s="1975" t="s">
        <v>654</v>
      </c>
      <c r="E33" s="1973" t="s">
        <v>687</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1872</v>
      </c>
      <c r="B34" s="782" t="s">
        <v>657</v>
      </c>
      <c r="C34" s="53" t="e">
        <f ca="1">ROUND(C7*F34/1.05,1)</f>
        <v>#N/A</v>
      </c>
      <c r="D34" s="1973" t="s">
        <v>658</v>
      </c>
      <c r="E34" s="782" t="s">
        <v>646</v>
      </c>
      <c r="F34" s="807">
        <f>'数据-取费表'!B41</f>
        <v>5.6000000000000001E-2</v>
      </c>
      <c r="G34" s="2058"/>
      <c r="H34" s="2067"/>
      <c r="I34" s="2068"/>
      <c r="J34" s="2069"/>
      <c r="K34" s="2070"/>
      <c r="L34" s="2071"/>
      <c r="M34" s="2072"/>
    </row>
    <row r="35" spans="1:18" ht="18" customHeight="1">
      <c r="A35" s="801" t="s">
        <v>1846</v>
      </c>
      <c r="B35" s="782" t="s">
        <v>661</v>
      </c>
      <c r="C35" s="53" t="e">
        <f ca="1">IF(D35="按租金收入计税",ROUND(C7*F35,1),IF(D35="按房产原值计税",ROUND(C31*F35*0.7,1),INDIRECT("'数据-取费表'!Aj"&amp;$G$1)))</f>
        <v>#N/A</v>
      </c>
      <c r="D35" s="809" t="s">
        <v>3026</v>
      </c>
      <c r="E35" s="782" t="s">
        <v>646</v>
      </c>
      <c r="F35" s="807">
        <f>IF(D35="按租金收入计税",'数据-取费表'!B51,'数据-取费表'!B50)</f>
        <v>0.12</v>
      </c>
      <c r="G35" s="2058"/>
      <c r="H35" s="2073"/>
      <c r="I35" s="2073"/>
      <c r="J35" s="2073"/>
      <c r="K35" s="2074"/>
      <c r="L35" s="2073"/>
      <c r="M35" s="2073"/>
    </row>
    <row r="36" spans="1:18" ht="18" customHeight="1">
      <c r="A36" s="811" t="s">
        <v>1877</v>
      </c>
      <c r="B36" s="339" t="s">
        <v>665</v>
      </c>
      <c r="C36" s="54" t="e">
        <f ca="1">ROUND(F36*F37/10000,1)</f>
        <v>#N/A</v>
      </c>
      <c r="D36" s="812" t="s">
        <v>666</v>
      </c>
      <c r="E36" s="782" t="s">
        <v>667</v>
      </c>
      <c r="F36" s="638">
        <f>'数据-取费表'!B52</f>
        <v>20</v>
      </c>
      <c r="G36" s="2058"/>
      <c r="H36" s="2061"/>
      <c r="I36" s="3470"/>
      <c r="J36" s="2075"/>
      <c r="K36" s="2076"/>
      <c r="L36" s="2075"/>
      <c r="M36" s="2075"/>
    </row>
    <row r="37" spans="1:18" ht="18" customHeight="1">
      <c r="A37" s="813"/>
      <c r="B37" s="791"/>
      <c r="C37" s="69"/>
      <c r="D37" s="814"/>
      <c r="E37" s="782" t="s">
        <v>671</v>
      </c>
      <c r="F37" s="783" t="e">
        <f ca="1">INDIRECT("'数据-取费表'!r"&amp;$G$1)</f>
        <v>#N/A</v>
      </c>
      <c r="G37" s="2058"/>
      <c r="H37" s="2061"/>
      <c r="I37" s="3470"/>
      <c r="J37" s="2073"/>
      <c r="K37" s="2074"/>
      <c r="L37" s="2073"/>
      <c r="M37" s="2073"/>
    </row>
    <row r="38" spans="1:18" ht="18" customHeight="1">
      <c r="A38" s="801" t="s">
        <v>1874</v>
      </c>
      <c r="B38" s="782" t="s">
        <v>673</v>
      </c>
      <c r="C38" s="53" t="e">
        <f ca="1">ROUND(C31*F38,1)</f>
        <v>#N/A</v>
      </c>
      <c r="D38" s="1973" t="s">
        <v>688</v>
      </c>
      <c r="E38" s="782" t="s">
        <v>646</v>
      </c>
      <c r="F38" s="815" t="e">
        <f ca="1">INDIRECT("'数据-取费表'!Ak"&amp;$G$1)</f>
        <v>#N/A</v>
      </c>
      <c r="G38" s="2058"/>
      <c r="H38" s="2073"/>
      <c r="I38" s="2077"/>
      <c r="J38" s="1984"/>
      <c r="K38" s="2078"/>
      <c r="L38" s="2073"/>
      <c r="M38" s="2073"/>
    </row>
    <row r="39" spans="1:18" ht="18" customHeight="1">
      <c r="A39" s="801" t="s">
        <v>1875</v>
      </c>
      <c r="B39" s="782" t="s">
        <v>676</v>
      </c>
      <c r="C39" s="53" t="e">
        <f ca="1">ROUND(C15*F39,1)</f>
        <v>#N/A</v>
      </c>
      <c r="D39" s="1973" t="s">
        <v>677</v>
      </c>
      <c r="E39" s="782" t="s">
        <v>646</v>
      </c>
      <c r="F39" s="816" t="e">
        <f ca="1">INDIRECT("'数据-取费表'!Al"&amp;$G$1)</f>
        <v>#N/A</v>
      </c>
      <c r="G39" s="2058"/>
      <c r="H39" s="2073"/>
      <c r="I39" s="2077"/>
      <c r="J39" s="1984"/>
      <c r="K39" s="2078"/>
      <c r="L39" s="2073"/>
      <c r="M39" s="2073"/>
    </row>
    <row r="40" spans="1:18" ht="18" customHeight="1" thickBot="1">
      <c r="A40" s="2556" t="s">
        <v>1876</v>
      </c>
      <c r="B40" s="2542" t="s">
        <v>663</v>
      </c>
      <c r="C40" s="2540" t="e">
        <f ca="1">ROUND(C7*F40,1)</f>
        <v>#N/A</v>
      </c>
      <c r="D40" s="2541" t="s">
        <v>680</v>
      </c>
      <c r="E40" s="2542" t="s">
        <v>646</v>
      </c>
      <c r="F40" s="2538" t="e">
        <f ca="1">INDIRECT("'数据-取费表'!Am"&amp;$G$1)</f>
        <v>#N/A</v>
      </c>
      <c r="G40" s="2058"/>
      <c r="H40" s="2073"/>
      <c r="I40" s="2077"/>
      <c r="J40" s="1984"/>
      <c r="K40" s="2079"/>
      <c r="L40" s="2073"/>
      <c r="M40" s="2073"/>
    </row>
    <row r="41" spans="1:18" ht="18" customHeight="1" thickTop="1">
      <c r="A41" s="1825">
        <v>4</v>
      </c>
      <c r="B41" s="1823" t="s">
        <v>689</v>
      </c>
      <c r="C41" s="1351"/>
      <c r="D41" s="1352"/>
      <c r="E41" s="1352"/>
      <c r="F41" s="1353"/>
      <c r="G41" s="2058"/>
      <c r="H41" s="2058"/>
      <c r="I41" s="2058"/>
      <c r="J41" s="2058"/>
      <c r="K41" s="2079"/>
      <c r="L41" s="2058"/>
      <c r="M41" s="2058"/>
    </row>
    <row r="42" spans="1:18" ht="18" customHeight="1">
      <c r="A42" s="801" t="s">
        <v>1873</v>
      </c>
      <c r="B42" s="833" t="s">
        <v>690</v>
      </c>
      <c r="C42" s="827" t="e">
        <f ca="1">C7-C32</f>
        <v>#N/A</v>
      </c>
      <c r="D42" s="1975" t="s">
        <v>691</v>
      </c>
      <c r="E42" s="1977"/>
      <c r="F42" s="818"/>
      <c r="G42" s="2058"/>
      <c r="H42" s="2058"/>
      <c r="I42" s="2058"/>
      <c r="J42" s="2058"/>
      <c r="K42" s="2079"/>
      <c r="L42" s="2058"/>
      <c r="M42" s="2058"/>
    </row>
    <row r="43" spans="1:18" ht="18" customHeight="1">
      <c r="A43" s="801" t="s">
        <v>1874</v>
      </c>
      <c r="B43" s="833" t="s">
        <v>708</v>
      </c>
      <c r="C43" s="834" t="e">
        <f ca="1">ROUND(C15*F43,0)</f>
        <v>#N/A</v>
      </c>
      <c r="D43" s="1354" t="s">
        <v>709</v>
      </c>
      <c r="E43" s="3112" t="s">
        <v>2950</v>
      </c>
      <c r="F43" s="3113" t="e">
        <f ca="1">INDIRECT("'数据-取费表'!j"&amp;$G$1)</f>
        <v>#N/A</v>
      </c>
      <c r="G43" s="2058"/>
      <c r="H43" s="2058"/>
      <c r="I43" s="2058"/>
      <c r="J43" s="2058"/>
      <c r="K43" s="2079"/>
      <c r="L43" s="2058"/>
      <c r="M43" s="2058"/>
    </row>
    <row r="44" spans="1:18" ht="18" customHeight="1">
      <c r="A44" s="801" t="s">
        <v>1875</v>
      </c>
      <c r="B44" s="833" t="s">
        <v>710</v>
      </c>
      <c r="C44" s="1355" t="e">
        <f ca="1">C42-C43</f>
        <v>#N/A</v>
      </c>
      <c r="D44" s="461" t="s">
        <v>711</v>
      </c>
      <c r="E44" s="462"/>
      <c r="F44" s="463"/>
      <c r="G44" s="2058"/>
      <c r="H44" s="2058"/>
      <c r="I44" s="2058"/>
      <c r="J44" s="2058"/>
      <c r="K44" s="2079"/>
      <c r="L44" s="2058"/>
      <c r="M44" s="2058"/>
    </row>
    <row r="45" spans="1:18" ht="18" customHeight="1">
      <c r="A45" s="801" t="s">
        <v>1876</v>
      </c>
      <c r="B45" s="1354" t="s">
        <v>712</v>
      </c>
      <c r="C45" s="3030" t="e">
        <f ca="1">ROUND(-PV(F45,F46,C44,0),0)</f>
        <v>#N/A</v>
      </c>
      <c r="D45" s="1356" t="s">
        <v>713</v>
      </c>
      <c r="E45" s="804" t="s">
        <v>714</v>
      </c>
      <c r="F45" s="828" t="e">
        <f ca="1">INDIRECT("'数据-取费表'!h"&amp;$G$1)</f>
        <v>#N/A</v>
      </c>
      <c r="G45" s="2058"/>
      <c r="H45" s="2058"/>
      <c r="I45" s="2058"/>
      <c r="J45" s="2058"/>
      <c r="K45" s="2079"/>
      <c r="L45" s="2058"/>
      <c r="M45" s="2058"/>
    </row>
    <row r="46" spans="1:18" ht="18" customHeight="1" thickBot="1">
      <c r="A46" s="829"/>
      <c r="B46" s="1357"/>
      <c r="C46" s="1358"/>
      <c r="D46" s="1359"/>
      <c r="E46" s="3114" t="s">
        <v>2952</v>
      </c>
      <c r="F46" s="826" t="e">
        <f ca="1">IF(INDIRECT("'数据-取费表'!af"&amp;$G$1)=0,INDIRECT("'数据-取费表'!ae"&amp;$G$1),INDIRECT("'数据-取费表'!af"&amp;$G$1))</f>
        <v>#N/A</v>
      </c>
      <c r="G46" s="2058"/>
      <c r="H46" s="2058"/>
      <c r="I46" s="2058"/>
      <c r="J46" s="2058"/>
      <c r="K46" s="2079"/>
      <c r="L46" s="2058"/>
      <c r="M46" s="2058"/>
    </row>
    <row r="47" spans="1:18" s="2055" customFormat="1" ht="18" customHeight="1" thickBot="1">
      <c r="A47" s="2080"/>
      <c r="D47" s="2081"/>
      <c r="E47" s="2081"/>
      <c r="F47" s="2081"/>
      <c r="I47" s="2374" t="s">
        <v>2337</v>
      </c>
      <c r="J47" s="2375"/>
      <c r="K47" s="2376"/>
      <c r="L47" s="3150" t="e">
        <f ca="1">IF(M48="住宅",0,IF(L49&gt;J52,L61,J61))</f>
        <v>#N/A</v>
      </c>
      <c r="O47" s="2390" t="s">
        <v>2404</v>
      </c>
      <c r="P47" s="1589"/>
      <c r="Q47" s="1601"/>
      <c r="R47" s="1589"/>
    </row>
    <row r="48" spans="1:18" s="2055" customFormat="1" ht="18" customHeight="1" thickBot="1">
      <c r="A48" s="2080"/>
      <c r="C48" s="2083"/>
      <c r="D48" s="2084"/>
      <c r="E48" s="2084"/>
      <c r="F48" s="2085"/>
      <c r="G48" s="2086"/>
      <c r="I48" s="3140" t="s">
        <v>2338</v>
      </c>
      <c r="J48" s="2377"/>
      <c r="K48" s="3147" t="s">
        <v>2343</v>
      </c>
      <c r="L48" s="3151" t="e">
        <f ca="1">INDIRECT("'数据-取费表'!d"&amp;$G$1)</f>
        <v>#N/A</v>
      </c>
      <c r="M48" s="3111" t="str">
        <f>IF(ISNUMBER(FIND("住宅",C1)),"住宅","非住宅")</f>
        <v>非住宅</v>
      </c>
      <c r="O48" s="2391" t="s">
        <v>2369</v>
      </c>
      <c r="P48" s="2392" t="s">
        <v>2370</v>
      </c>
      <c r="Q48" s="2393" t="s">
        <v>2371</v>
      </c>
      <c r="R48" s="2392" t="s">
        <v>2372</v>
      </c>
    </row>
    <row r="49" spans="1:18" s="2055" customFormat="1" ht="18" customHeight="1" thickBot="1">
      <c r="A49" s="2080"/>
      <c r="D49" s="2087"/>
      <c r="E49" s="2088"/>
      <c r="F49" s="2085"/>
      <c r="G49" s="2086"/>
      <c r="H49" s="2089"/>
      <c r="I49" s="3116" t="s">
        <v>2339</v>
      </c>
      <c r="J49" s="2378"/>
      <c r="K49" s="3148" t="s">
        <v>2345</v>
      </c>
      <c r="L49" s="1904" t="e">
        <f ca="1">INDIRECT("'数据-取费表'!f"&amp;$G$1)</f>
        <v>#N/A</v>
      </c>
      <c r="O49" s="2394" t="s">
        <v>2373</v>
      </c>
      <c r="P49" s="2395" t="s">
        <v>2399</v>
      </c>
      <c r="Q49" s="2396" t="e">
        <f ca="1">C41+J31</f>
        <v>#N/A</v>
      </c>
      <c r="R49" s="2395" t="s">
        <v>2374</v>
      </c>
    </row>
    <row r="50" spans="1:18" s="2055" customFormat="1" ht="18" customHeight="1" thickBot="1">
      <c r="A50" s="2080"/>
      <c r="D50" s="2090"/>
      <c r="E50" s="2090"/>
      <c r="F50" s="2084"/>
      <c r="G50" s="2091"/>
      <c r="H50" s="2089"/>
      <c r="I50" s="3116" t="s">
        <v>2340</v>
      </c>
      <c r="J50" s="2379"/>
      <c r="K50" s="3149" t="s">
        <v>2346</v>
      </c>
      <c r="L50" s="2380"/>
      <c r="O50" s="2394" t="s">
        <v>2375</v>
      </c>
      <c r="P50" s="2395" t="s">
        <v>2400</v>
      </c>
      <c r="Q50" s="2396" t="e">
        <f ca="1">J61</f>
        <v>#N/A</v>
      </c>
      <c r="R50" s="2395" t="s">
        <v>2376</v>
      </c>
    </row>
    <row r="51" spans="1:18" s="2055" customFormat="1" ht="18" customHeight="1" thickBot="1">
      <c r="A51" s="2092"/>
      <c r="D51" s="2090"/>
      <c r="E51" s="2090"/>
      <c r="F51" s="2081"/>
      <c r="H51" s="2089"/>
      <c r="I51" s="3116" t="s">
        <v>2341</v>
      </c>
      <c r="J51" s="3144">
        <f>SUMPRODUCT((I64:I66=J48)*(J63:L63=J49)*(J64:L66))</f>
        <v>0</v>
      </c>
      <c r="K51" s="3149" t="s">
        <v>2347</v>
      </c>
      <c r="L51" s="2380"/>
      <c r="O51" s="2397" t="s">
        <v>2377</v>
      </c>
      <c r="P51" s="2395" t="s">
        <v>2401</v>
      </c>
      <c r="Q51" s="2396" t="e">
        <f ca="1">C31</f>
        <v>#N/A</v>
      </c>
      <c r="R51" s="2395" t="s">
        <v>2374</v>
      </c>
    </row>
    <row r="52" spans="1:18" s="2055" customFormat="1" ht="18" customHeight="1" thickBot="1">
      <c r="A52" s="2092"/>
      <c r="F52" s="2081"/>
      <c r="I52" s="3141" t="s">
        <v>2342</v>
      </c>
      <c r="J52" s="3145">
        <f>IF(J50="",J51,J50+J51-YEAR('数据-取费表'!B3))</f>
        <v>0</v>
      </c>
      <c r="K52" s="3116" t="s">
        <v>2348</v>
      </c>
      <c r="L52" s="3152" t="e">
        <f ca="1">ROUND(-PV(INDIRECT("'数据-取费表'!h"&amp;$G$1),L49,(C40-C14*J36),0),0)</f>
        <v>#N/A</v>
      </c>
      <c r="O52" s="2397" t="s">
        <v>2378</v>
      </c>
      <c r="P52" s="2395" t="s">
        <v>2379</v>
      </c>
      <c r="Q52" s="2398" t="e">
        <f ca="1">J59</f>
        <v>#N/A</v>
      </c>
      <c r="R52" s="2399"/>
    </row>
    <row r="53" spans="1:18" s="2055" customFormat="1" ht="18" customHeight="1" thickBot="1">
      <c r="A53" s="2092"/>
      <c r="F53" s="2081"/>
      <c r="I53" s="3142" t="s">
        <v>2415</v>
      </c>
      <c r="J53" s="2381"/>
      <c r="K53" s="3142" t="s">
        <v>2414</v>
      </c>
      <c r="L53" s="2381"/>
      <c r="O53" s="2397" t="s">
        <v>2380</v>
      </c>
      <c r="P53" s="2395" t="s">
        <v>2381</v>
      </c>
      <c r="Q53" s="2398">
        <f>J53</f>
        <v>0</v>
      </c>
      <c r="R53" s="2399"/>
    </row>
    <row r="54" spans="1:18" s="2055" customFormat="1" ht="29.25" thickBot="1">
      <c r="A54" s="2092"/>
      <c r="I54" s="3143" t="s">
        <v>2966</v>
      </c>
      <c r="J54" s="3146" t="e">
        <f ca="1">IF(M48="住宅",MAX(J52,L49-'数据-取费表'!B20),MIN(J52,L49-'数据-取费表'!B20))</f>
        <v>#N/A</v>
      </c>
      <c r="K54" s="3475"/>
      <c r="L54" s="3476"/>
      <c r="O54" s="2397" t="s">
        <v>2382</v>
      </c>
      <c r="P54" s="2395" t="s">
        <v>2383</v>
      </c>
      <c r="Q54" s="2396" t="e">
        <f ca="1">J54</f>
        <v>#N/A</v>
      </c>
      <c r="R54" s="2395" t="s">
        <v>2384</v>
      </c>
    </row>
    <row r="55" spans="1:18" s="2055" customFormat="1" ht="18" customHeight="1" thickBot="1">
      <c r="A55" s="2092"/>
      <c r="I55" s="3153"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3"/>
      <c r="K55" s="3154"/>
      <c r="O55" s="2394" t="s">
        <v>2385</v>
      </c>
      <c r="P55" s="2395" t="s">
        <v>2402</v>
      </c>
      <c r="Q55" s="2396" t="e">
        <f ca="1">Q49+Q50</f>
        <v>#N/A</v>
      </c>
      <c r="R55" s="2399" t="s">
        <v>2386</v>
      </c>
    </row>
    <row r="56" spans="1:18" s="2055" customFormat="1" ht="16.5" thickBot="1">
      <c r="A56" s="2092"/>
      <c r="B56" s="2093"/>
      <c r="C56" s="2093"/>
      <c r="I56" s="3155" t="s">
        <v>2349</v>
      </c>
      <c r="J56" s="3091" t="e">
        <f ca="1">ROUND(IF(J48="钢混",J58/J51,1-(1-2%)*(J51-J58)/J51),3)</f>
        <v>#N/A</v>
      </c>
      <c r="K56" s="3156" t="s">
        <v>2350</v>
      </c>
      <c r="L56" s="2382"/>
      <c r="O56" s="2400" t="s">
        <v>2405</v>
      </c>
      <c r="P56" s="1589"/>
      <c r="Q56" s="1601"/>
      <c r="R56" s="1589"/>
    </row>
    <row r="57" spans="1:18" s="2055" customFormat="1" ht="43.5" thickBot="1">
      <c r="A57" s="2092"/>
      <c r="B57" s="2093"/>
      <c r="C57" s="2093"/>
      <c r="I57" s="3157" t="s">
        <v>2351</v>
      </c>
      <c r="J57" s="3167" t="s">
        <v>1676</v>
      </c>
      <c r="K57" s="3116" t="s">
        <v>2356</v>
      </c>
      <c r="L57" s="1904" t="e">
        <f ca="1">IF(L49&lt;J52,"——",L49-J52)</f>
        <v>#N/A</v>
      </c>
      <c r="O57" s="2391" t="s">
        <v>2369</v>
      </c>
      <c r="P57" s="2392" t="s">
        <v>2370</v>
      </c>
      <c r="Q57" s="2393" t="s">
        <v>2371</v>
      </c>
      <c r="R57" s="2392" t="s">
        <v>2372</v>
      </c>
    </row>
    <row r="58" spans="1:18" s="2055" customFormat="1" ht="29.25" thickBot="1">
      <c r="A58" s="2092"/>
      <c r="B58" s="2093"/>
      <c r="C58" s="2093"/>
      <c r="I58" s="3158" t="s">
        <v>2352</v>
      </c>
      <c r="J58" s="3159" t="e">
        <f ca="1">IF(OR(M48="住宅",J52&lt;L49,J57="是"),"——",J52-L49)</f>
        <v>#N/A</v>
      </c>
      <c r="K58" s="3116" t="s">
        <v>2357</v>
      </c>
      <c r="L58" s="1904" t="e">
        <f ca="1">IF(L49&lt;J52,"——",IF(L56="比较法",L50,IF(L56="基准地价",L51,L52)))</f>
        <v>#N/A</v>
      </c>
      <c r="O58" s="2394" t="s">
        <v>2373</v>
      </c>
      <c r="P58" s="2395" t="s">
        <v>2399</v>
      </c>
      <c r="Q58" s="2396" t="e">
        <f ca="1">C41+J31</f>
        <v>#N/A</v>
      </c>
      <c r="R58" s="2395" t="s">
        <v>2374</v>
      </c>
    </row>
    <row r="59" spans="1:18" s="2055" customFormat="1" ht="29.25" thickBot="1">
      <c r="A59" s="2092"/>
      <c r="B59" s="2093"/>
      <c r="C59" s="2093"/>
      <c r="I59" s="3158" t="s">
        <v>2353</v>
      </c>
      <c r="J59" s="3092" t="e">
        <f ca="1">IF(J56&lt;0.4,0.4,J56)</f>
        <v>#N/A</v>
      </c>
      <c r="K59" s="3116" t="s">
        <v>2358</v>
      </c>
      <c r="L59" s="1904">
        <f ca="1">IF(ISERROR(POWER(1+L53,L48-L49)*(POWER(1+L53,L49)-1)/(POWER(1+L53,L48)-1)),0,POWER(1+L53,L48-L49)*(POWER(1+L53,L49)-1)/(POWER(1+L53,L48)-1))</f>
        <v>0</v>
      </c>
      <c r="O59" s="2394" t="s">
        <v>2375</v>
      </c>
      <c r="P59" s="2395" t="s">
        <v>2406</v>
      </c>
      <c r="Q59" s="2396" t="e">
        <f ca="1">L61</f>
        <v>#N/A</v>
      </c>
      <c r="R59" s="2399" t="s">
        <v>2408</v>
      </c>
    </row>
    <row r="60" spans="1:18" s="2055" customFormat="1" ht="29.25" thickBot="1">
      <c r="A60" s="2092"/>
      <c r="B60" s="2093"/>
      <c r="C60" s="2093"/>
      <c r="I60" s="3158" t="s">
        <v>2354</v>
      </c>
      <c r="J60" s="3159" t="e">
        <f ca="1">IF(OR(M48="住宅",J52&lt;L49,J57="是"),"——",ROUND(C30*J59,0))</f>
        <v>#N/A</v>
      </c>
      <c r="K60" s="3116" t="s">
        <v>2359</v>
      </c>
      <c r="L60" s="1904">
        <f ca="1">IF(ISERROR(POWER(1+L53,L48-J52)*(POWER(1+L53,J52)-1)/(POWER(1+L53,L48)-1)),0,POWER(1+L53,L48-J52)*(POWER(1+L53,J52)-1)/(POWER(1+L53,L48)-1))</f>
        <v>0</v>
      </c>
      <c r="O60" s="2397" t="s">
        <v>2377</v>
      </c>
      <c r="P60" s="2395" t="s">
        <v>2407</v>
      </c>
      <c r="Q60" s="2396">
        <f>IF(L56="比较法",L50,IF(L56="基准地价",L51,0))</f>
        <v>0</v>
      </c>
      <c r="R60" s="2395" t="s">
        <v>2374</v>
      </c>
    </row>
    <row r="61" spans="1:18" s="2055" customFormat="1" ht="15.75" thickBot="1">
      <c r="A61" s="2092"/>
      <c r="B61" s="2093"/>
      <c r="C61" s="2093"/>
      <c r="I61" s="3160" t="s">
        <v>2355</v>
      </c>
      <c r="J61" s="3161" t="e">
        <f ca="1">IF(OR(M48="住宅",J52&lt;L49,J57="是"),"0",ROUND(J60/(1+J53)^J54,0))</f>
        <v>#N/A</v>
      </c>
      <c r="K61" s="3162" t="s">
        <v>2360</v>
      </c>
      <c r="L61" s="3161" t="e">
        <f ca="1">IF(OR(M48="住宅",L49&lt;J52),0,ROUND(L58*(L59/L60-1),0))</f>
        <v>#N/A</v>
      </c>
      <c r="O61" s="2397" t="s">
        <v>2378</v>
      </c>
      <c r="P61" s="2395" t="s">
        <v>2387</v>
      </c>
      <c r="Q61" s="2398">
        <f>L53</f>
        <v>0</v>
      </c>
      <c r="R61" s="2399"/>
    </row>
    <row r="62" spans="1:18" s="2055" customFormat="1" ht="20.25" thickBot="1">
      <c r="A62" s="2092"/>
      <c r="B62" s="2093"/>
      <c r="C62" s="2093"/>
      <c r="K62" s="2082"/>
      <c r="O62" s="2397" t="s">
        <v>2380</v>
      </c>
      <c r="P62" s="2395" t="s">
        <v>2388</v>
      </c>
      <c r="Q62" s="2396">
        <f ca="1">L59</f>
        <v>0</v>
      </c>
      <c r="R62" s="2399" t="s">
        <v>2389</v>
      </c>
    </row>
    <row r="63" spans="1:18" s="2055" customFormat="1" ht="20.25" thickBot="1">
      <c r="A63" s="2092"/>
      <c r="B63" s="2093"/>
      <c r="C63" s="2093"/>
      <c r="I63" s="3163" t="s">
        <v>2361</v>
      </c>
      <c r="J63" s="3164" t="s">
        <v>2362</v>
      </c>
      <c r="K63" s="3164" t="s">
        <v>2363</v>
      </c>
      <c r="L63" s="3164" t="s">
        <v>2344</v>
      </c>
      <c r="M63" s="3165" t="s">
        <v>2930</v>
      </c>
      <c r="O63" s="2397" t="s">
        <v>2382</v>
      </c>
      <c r="P63" s="2395" t="s">
        <v>2390</v>
      </c>
      <c r="Q63" s="2396">
        <f ca="1">L60</f>
        <v>0</v>
      </c>
      <c r="R63" s="2399" t="s">
        <v>2391</v>
      </c>
    </row>
    <row r="64" spans="1:18" s="2055" customFormat="1" ht="15.75" thickBot="1">
      <c r="A64" s="2092"/>
      <c r="B64" s="2093"/>
      <c r="C64" s="2093"/>
      <c r="I64" s="3163" t="s">
        <v>2364</v>
      </c>
      <c r="J64" s="3164">
        <v>70</v>
      </c>
      <c r="K64" s="3164">
        <v>50</v>
      </c>
      <c r="L64" s="3164">
        <v>80</v>
      </c>
      <c r="M64" s="3166">
        <v>0.02</v>
      </c>
      <c r="O64" s="2394" t="s">
        <v>2385</v>
      </c>
      <c r="P64" s="2395" t="s">
        <v>2402</v>
      </c>
      <c r="Q64" s="2396" t="e">
        <f ca="1">Q58+Q59</f>
        <v>#N/A</v>
      </c>
      <c r="R64" s="2399" t="s">
        <v>2386</v>
      </c>
    </row>
    <row r="65" spans="1:18" s="2055" customFormat="1" ht="16.5" thickBot="1">
      <c r="A65" s="2092"/>
      <c r="B65" s="2093"/>
      <c r="C65" s="2093"/>
      <c r="I65" s="3163" t="s">
        <v>2365</v>
      </c>
      <c r="J65" s="3164">
        <v>50</v>
      </c>
      <c r="K65" s="3164">
        <v>35</v>
      </c>
      <c r="L65" s="3164">
        <v>60</v>
      </c>
      <c r="M65" s="844">
        <v>0</v>
      </c>
      <c r="O65" s="2400" t="s">
        <v>2409</v>
      </c>
      <c r="P65" s="1589"/>
      <c r="Q65" s="1601"/>
      <c r="R65" s="1589"/>
    </row>
    <row r="66" spans="1:18" s="2055" customFormat="1" ht="15.75" thickBot="1">
      <c r="A66" s="2092"/>
      <c r="B66" s="2093"/>
      <c r="C66" s="2093"/>
      <c r="I66" s="3163" t="s">
        <v>2366</v>
      </c>
      <c r="J66" s="3164">
        <v>40</v>
      </c>
      <c r="K66" s="3164">
        <v>30</v>
      </c>
      <c r="L66" s="3164">
        <v>50</v>
      </c>
      <c r="M66" s="3166">
        <v>0.02</v>
      </c>
      <c r="O66" s="2391" t="s">
        <v>2369</v>
      </c>
      <c r="P66" s="2392" t="s">
        <v>2370</v>
      </c>
      <c r="Q66" s="2393" t="s">
        <v>2371</v>
      </c>
      <c r="R66" s="2392" t="s">
        <v>2372</v>
      </c>
    </row>
    <row r="67" spans="1:18" s="2055" customFormat="1" ht="15.75" thickBot="1">
      <c r="A67" s="2092"/>
      <c r="B67" s="2093"/>
      <c r="C67" s="2093"/>
      <c r="K67" s="2082"/>
      <c r="O67" s="2394" t="s">
        <v>2373</v>
      </c>
      <c r="P67" s="2395" t="s">
        <v>2399</v>
      </c>
      <c r="Q67" s="2396" t="e">
        <f ca="1">C41+J31</f>
        <v>#N/A</v>
      </c>
      <c r="R67" s="2395" t="s">
        <v>2374</v>
      </c>
    </row>
    <row r="68" spans="1:18" s="2055" customFormat="1" ht="20.25" thickBot="1">
      <c r="A68" s="2092"/>
      <c r="B68" s="2093"/>
      <c r="C68" s="2093"/>
      <c r="K68" s="2082"/>
      <c r="O68" s="2394" t="s">
        <v>2375</v>
      </c>
      <c r="P68" s="2395" t="s">
        <v>2406</v>
      </c>
      <c r="Q68" s="2396" t="e">
        <f ca="1">L61</f>
        <v>#N/A</v>
      </c>
      <c r="R68" s="2399" t="s">
        <v>2408</v>
      </c>
    </row>
    <row r="69" spans="1:18" s="2055" customFormat="1" ht="21.75" thickBot="1">
      <c r="A69" s="2092"/>
      <c r="B69" s="2093"/>
      <c r="C69" s="2093"/>
      <c r="K69" s="2082"/>
      <c r="O69" s="2397" t="s">
        <v>2377</v>
      </c>
      <c r="P69" s="2395" t="s">
        <v>2407</v>
      </c>
      <c r="Q69" s="2401" t="e">
        <f ca="1">L52</f>
        <v>#N/A</v>
      </c>
      <c r="R69" s="2402" t="s">
        <v>2410</v>
      </c>
    </row>
    <row r="70" spans="1:18" s="2055" customFormat="1" ht="20.25" thickBot="1">
      <c r="A70" s="2092"/>
      <c r="B70" s="2093"/>
      <c r="C70" s="2093"/>
      <c r="K70" s="2082"/>
      <c r="O70" s="2397" t="s">
        <v>2378</v>
      </c>
      <c r="P70" s="2403" t="s">
        <v>2392</v>
      </c>
      <c r="Q70" s="2396" t="e">
        <f ca="1">ROUND(Q71-Q72*Q73,0)</f>
        <v>#N/A</v>
      </c>
      <c r="R70" s="2399"/>
    </row>
    <row r="71" spans="1:18" s="2055" customFormat="1" ht="15.75" thickBot="1">
      <c r="A71" s="2092"/>
      <c r="B71" s="2093"/>
      <c r="C71" s="2093"/>
      <c r="K71" s="2082"/>
      <c r="O71" s="2397" t="s">
        <v>2393</v>
      </c>
      <c r="P71" s="2403" t="s">
        <v>2394</v>
      </c>
      <c r="Q71" s="2396" t="e">
        <f ca="1">C42</f>
        <v>#N/A</v>
      </c>
      <c r="R71" s="2395" t="s">
        <v>2374</v>
      </c>
    </row>
    <row r="72" spans="1:18" s="2055" customFormat="1" ht="15.75" thickBot="1">
      <c r="A72" s="2092"/>
      <c r="B72" s="2093"/>
      <c r="C72" s="2093"/>
      <c r="K72" s="2082"/>
      <c r="O72" s="2397" t="s">
        <v>2395</v>
      </c>
      <c r="P72" s="2403" t="s">
        <v>2396</v>
      </c>
      <c r="Q72" s="2396" t="e">
        <f ca="1">C15</f>
        <v>#N/A</v>
      </c>
      <c r="R72" s="2395" t="s">
        <v>2374</v>
      </c>
    </row>
    <row r="73" spans="1:18" s="2055" customFormat="1" ht="15.75" thickBot="1">
      <c r="A73" s="2092"/>
      <c r="B73" s="2093"/>
      <c r="C73" s="2093"/>
      <c r="K73" s="2082"/>
      <c r="O73" s="2397" t="s">
        <v>2397</v>
      </c>
      <c r="P73" s="2403" t="s">
        <v>2398</v>
      </c>
      <c r="Q73" s="2398" t="e">
        <f ca="1">F43</f>
        <v>#N/A</v>
      </c>
      <c r="R73" s="2399"/>
    </row>
    <row r="74" spans="1:18" s="2055" customFormat="1" ht="15.75" thickBot="1">
      <c r="A74" s="2092"/>
      <c r="B74" s="2093"/>
      <c r="C74" s="2093"/>
      <c r="K74" s="2082"/>
      <c r="O74" s="2397" t="s">
        <v>2380</v>
      </c>
      <c r="P74" s="2395" t="s">
        <v>2387</v>
      </c>
      <c r="Q74" s="2398">
        <f>L53</f>
        <v>0</v>
      </c>
      <c r="R74" s="2399"/>
    </row>
    <row r="75" spans="1:18" s="2055" customFormat="1" ht="20.25" thickBot="1">
      <c r="A75" s="2092"/>
      <c r="B75" s="2093"/>
      <c r="C75" s="2093"/>
      <c r="K75" s="2082"/>
      <c r="O75" s="2397" t="s">
        <v>2382</v>
      </c>
      <c r="P75" s="2395" t="s">
        <v>2388</v>
      </c>
      <c r="Q75" s="2396">
        <f ca="1">L59</f>
        <v>0</v>
      </c>
      <c r="R75" s="2399" t="s">
        <v>2389</v>
      </c>
    </row>
    <row r="76" spans="1:18" s="2055" customFormat="1" ht="20.25" thickBot="1">
      <c r="A76" s="2092"/>
      <c r="B76" s="2093"/>
      <c r="C76" s="2093"/>
      <c r="K76" s="2082"/>
      <c r="O76" s="2397" t="s">
        <v>2411</v>
      </c>
      <c r="P76" s="2395" t="s">
        <v>2390</v>
      </c>
      <c r="Q76" s="2396">
        <f ca="1">L60</f>
        <v>0</v>
      </c>
      <c r="R76" s="2399" t="s">
        <v>2391</v>
      </c>
    </row>
    <row r="77" spans="1:18" s="2055" customFormat="1" ht="15.75" thickBot="1">
      <c r="A77" s="2092"/>
      <c r="B77" s="2093"/>
      <c r="C77" s="2093"/>
      <c r="K77" s="2082"/>
      <c r="O77" s="2394" t="s">
        <v>2385</v>
      </c>
      <c r="P77" s="2395" t="s">
        <v>2402</v>
      </c>
      <c r="Q77" s="2396" t="e">
        <f ca="1">Q67+Q68</f>
        <v>#N/A</v>
      </c>
      <c r="R77" s="2399" t="s">
        <v>2386</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83" t="s">
        <v>2568</v>
      </c>
      <c r="C1" s="3483"/>
      <c r="D1" s="3483"/>
      <c r="E1" s="3483"/>
      <c r="F1" s="3483"/>
      <c r="G1" s="3482" t="s">
        <v>2569</v>
      </c>
      <c r="H1" s="3482"/>
      <c r="I1" s="3482"/>
      <c r="J1" s="3482"/>
      <c r="K1" s="3482"/>
      <c r="L1" s="3482"/>
      <c r="N1" s="3482" t="s">
        <v>2570</v>
      </c>
      <c r="O1" s="3482"/>
      <c r="P1" s="3482"/>
      <c r="Q1" s="3482"/>
      <c r="R1" s="2650"/>
      <c r="S1" s="3482" t="s">
        <v>2571</v>
      </c>
      <c r="T1" s="3482"/>
      <c r="U1" s="3482"/>
      <c r="V1" s="3482"/>
      <c r="X1" s="3481" t="s">
        <v>2631</v>
      </c>
      <c r="Y1" s="3482"/>
      <c r="Z1" s="3482"/>
      <c r="AA1" s="3482"/>
      <c r="AB1" s="3482"/>
      <c r="AD1" s="3481" t="s">
        <v>2635</v>
      </c>
      <c r="AE1" s="3482"/>
      <c r="AF1" s="3482"/>
      <c r="AG1" s="3482"/>
      <c r="AH1" s="3482"/>
    </row>
    <row r="2" spans="1:34" s="2752" customFormat="1" ht="14.25" thickBot="1">
      <c r="B2" s="2760" t="s">
        <v>2572</v>
      </c>
      <c r="C2" s="2760" t="s">
        <v>2633</v>
      </c>
      <c r="D2" s="2753" t="s">
        <v>1642</v>
      </c>
      <c r="E2" s="2753" t="s">
        <v>1948</v>
      </c>
      <c r="F2" s="2760" t="s">
        <v>2634</v>
      </c>
      <c r="G2" s="2756"/>
      <c r="H2" s="2755"/>
      <c r="I2" s="2760" t="s">
        <v>2944</v>
      </c>
      <c r="J2" s="2753" t="s">
        <v>2946</v>
      </c>
      <c r="K2" s="2753" t="s">
        <v>2947</v>
      </c>
      <c r="L2" s="2760" t="s">
        <v>2948</v>
      </c>
      <c r="N2" s="2760" t="s">
        <v>2572</v>
      </c>
      <c r="O2" s="2753" t="s">
        <v>2945</v>
      </c>
      <c r="P2" s="2753" t="s">
        <v>1948</v>
      </c>
      <c r="Q2" s="2760" t="s">
        <v>2634</v>
      </c>
      <c r="R2" s="2754"/>
      <c r="S2" s="2760" t="s">
        <v>2572</v>
      </c>
      <c r="T2" s="2753" t="s">
        <v>2945</v>
      </c>
      <c r="U2" s="2753" t="s">
        <v>1948</v>
      </c>
      <c r="V2" s="2760" t="s">
        <v>2634</v>
      </c>
      <c r="X2" s="2760" t="s">
        <v>2572</v>
      </c>
      <c r="Y2" s="2760" t="s">
        <v>2633</v>
      </c>
      <c r="Z2" s="2753" t="s">
        <v>1642</v>
      </c>
      <c r="AA2" s="2753" t="s">
        <v>1948</v>
      </c>
      <c r="AB2" s="2760" t="s">
        <v>2634</v>
      </c>
      <c r="AD2" s="2760" t="s">
        <v>2572</v>
      </c>
      <c r="AE2" s="2760" t="s">
        <v>2633</v>
      </c>
      <c r="AF2" s="2753" t="s">
        <v>1642</v>
      </c>
      <c r="AG2" s="2753" t="s">
        <v>1948</v>
      </c>
      <c r="AH2" s="2760" t="s">
        <v>2634</v>
      </c>
    </row>
    <row r="3" spans="1:34" s="3124" customFormat="1" ht="14.25">
      <c r="A3" s="3136" t="s">
        <v>2956</v>
      </c>
      <c r="B3" s="3125"/>
      <c r="C3" s="3125"/>
      <c r="D3" s="3126"/>
      <c r="E3" s="3126"/>
      <c r="F3" s="3125"/>
      <c r="G3" s="3127"/>
      <c r="H3" s="3128"/>
      <c r="I3" s="3135">
        <f>ROUND(AVERAGE($I4:$I24),2)</f>
        <v>2.19</v>
      </c>
      <c r="J3" s="3135">
        <f>ROUND(AVERAGE($J4:$J24),2)</f>
        <v>1.53</v>
      </c>
      <c r="K3" s="3135">
        <f>ROUND(AVERAGE($K4:$K24),2)</f>
        <v>2.41</v>
      </c>
      <c r="L3" s="3135">
        <f>ROUND(AVERAGE($L4:$L24),2)</f>
        <v>1.42</v>
      </c>
      <c r="N3" s="3127"/>
      <c r="O3" s="3129"/>
      <c r="P3" s="3129"/>
      <c r="Q3" s="3129"/>
      <c r="R3" s="3129"/>
      <c r="S3" s="3127"/>
      <c r="T3" s="3129"/>
      <c r="U3" s="3129"/>
      <c r="V3" s="3129"/>
      <c r="W3" s="3132"/>
      <c r="X3" s="3130">
        <f>ROUND(SUMPRODUCT(PRODUCT(1+N3:N$23)),4)</f>
        <v>1.4956</v>
      </c>
      <c r="Y3" s="3130">
        <f>ROUND(SUMPRODUCT(PRODUCT(1+O3:O$23)),4)</f>
        <v>1.3237000000000001</v>
      </c>
      <c r="Z3" s="3130">
        <f t="shared" ref="Z3:Z21" si="0">Y3</f>
        <v>1.3237000000000001</v>
      </c>
      <c r="AA3" s="3130">
        <f>ROUND(SUMPRODUCT(PRODUCT(1+P3:P$23)),4)</f>
        <v>1.554</v>
      </c>
      <c r="AB3" s="3130">
        <f>ROUND(SUMPRODUCT(PRODUCT(1+Q3:Q$23)),4)</f>
        <v>1.3087</v>
      </c>
      <c r="AD3" s="3131">
        <f>ROUND(AVERAGE(I3:I$24)/100,4)</f>
        <v>2.1899999999999999E-2</v>
      </c>
      <c r="AE3" s="3131">
        <f>ROUND(AVERAGE(J3:J$24)/100,4)</f>
        <v>1.5299999999999999E-2</v>
      </c>
      <c r="AF3" s="3131">
        <f t="shared" ref="AF3:AF22" si="1">AE3</f>
        <v>1.5299999999999999E-2</v>
      </c>
      <c r="AG3" s="3131">
        <f>ROUND(AVERAGE(K3:K$24)/100,4)</f>
        <v>2.41E-2</v>
      </c>
      <c r="AH3" s="3131">
        <f>ROUND(AVERAGE(L3:L$24)/100,4)</f>
        <v>1.4200000000000001E-2</v>
      </c>
    </row>
    <row r="4" spans="1:34" s="2745" customFormat="1" ht="14.25">
      <c r="B4" s="2746"/>
      <c r="C4" s="2746"/>
      <c r="D4" s="2747"/>
      <c r="E4" s="2747"/>
      <c r="F4" s="2746"/>
      <c r="G4" s="2751"/>
      <c r="H4" s="2748"/>
      <c r="I4" s="3117"/>
      <c r="J4" s="3117"/>
      <c r="K4" s="3117"/>
      <c r="L4" s="3117"/>
      <c r="N4" s="2751"/>
      <c r="O4" s="2749"/>
      <c r="P4" s="2749"/>
      <c r="Q4" s="2749"/>
      <c r="R4" s="2749"/>
      <c r="S4" s="2751"/>
      <c r="T4" s="2749"/>
      <c r="U4" s="2749"/>
      <c r="V4" s="2749"/>
      <c r="W4" s="3133"/>
      <c r="X4" s="2750"/>
      <c r="Y4" s="2750"/>
      <c r="Z4" s="2750"/>
      <c r="AA4" s="2750"/>
      <c r="AB4" s="2750"/>
      <c r="AD4" s="2670"/>
      <c r="AE4" s="2670"/>
      <c r="AF4" s="2670"/>
      <c r="AG4" s="2670"/>
      <c r="AH4" s="2670"/>
    </row>
    <row r="5" spans="1:34" s="3105" customFormat="1">
      <c r="A5" s="3103" t="s">
        <v>2969</v>
      </c>
      <c r="B5" s="2791">
        <f>B6*(1+N5)</f>
        <v>459.95733971036987</v>
      </c>
      <c r="C5" s="2791">
        <f t="shared" ref="C5" si="2">C6*(1+O5)</f>
        <v>341.22221064422405</v>
      </c>
      <c r="D5" s="2791">
        <f t="shared" ref="D5" si="3">C5</f>
        <v>341.22221064422405</v>
      </c>
      <c r="E5" s="2791">
        <f t="shared" ref="E5" si="4">E6*(1+P5)</f>
        <v>657.19161663724799</v>
      </c>
      <c r="F5" s="2791">
        <f t="shared" ref="F5" si="5">F6*(1+Q5)</f>
        <v>300.87803644464805</v>
      </c>
      <c r="G5" s="2751">
        <v>2018</v>
      </c>
      <c r="H5" s="3104">
        <v>4</v>
      </c>
      <c r="I5" s="3118">
        <v>0</v>
      </c>
      <c r="J5" s="3118">
        <v>0</v>
      </c>
      <c r="K5" s="3118">
        <v>0</v>
      </c>
      <c r="L5" s="3118">
        <v>0</v>
      </c>
      <c r="N5" s="2758">
        <f t="shared" ref="N5" si="6">I5/100</f>
        <v>0</v>
      </c>
      <c r="O5" s="2758">
        <f t="shared" ref="O5" si="7">J5/100</f>
        <v>0</v>
      </c>
      <c r="P5" s="2758">
        <f t="shared" ref="P5" si="8">K5/100</f>
        <v>0</v>
      </c>
      <c r="Q5" s="2758">
        <f t="shared" ref="Q5" si="9">L5/100</f>
        <v>0</v>
      </c>
      <c r="R5" s="3106"/>
      <c r="S5" s="3107"/>
      <c r="T5" s="3106"/>
      <c r="U5" s="3106"/>
      <c r="V5" s="3106"/>
      <c r="W5" s="3134" t="s">
        <v>2957</v>
      </c>
      <c r="X5" s="3108">
        <f>ROUND(SUMPRODUCT(PRODUCT(1+N5:N$23)),4)</f>
        <v>1.4956</v>
      </c>
      <c r="Y5" s="3108">
        <f>ROUND(SUMPRODUCT(PRODUCT(1+O5:O$23)),4)</f>
        <v>1.3237000000000001</v>
      </c>
      <c r="Z5" s="3108">
        <f t="shared" ref="Z5" si="10">Y5</f>
        <v>1.3237000000000001</v>
      </c>
      <c r="AA5" s="3108">
        <f>ROUND(SUMPRODUCT(PRODUCT(1+P5:P$23)),4)</f>
        <v>1.554</v>
      </c>
      <c r="AB5" s="3108">
        <f>ROUND(SUMPRODUCT(PRODUCT(1+Q5:Q$23)),4)</f>
        <v>1.3087</v>
      </c>
      <c r="AD5" s="3109">
        <f>ROUND(AVERAGE(I5:I$24)/100,4)</f>
        <v>2.1899999999999999E-2</v>
      </c>
      <c r="AE5" s="3109">
        <f>ROUND(AVERAGE(J5:J$24)/100,4)</f>
        <v>1.5299999999999999E-2</v>
      </c>
      <c r="AF5" s="3109">
        <f t="shared" ref="AF5" si="11">AE5</f>
        <v>1.5299999999999999E-2</v>
      </c>
      <c r="AG5" s="3109">
        <f>ROUND(AVERAGE(K5:K$24)/100,4)</f>
        <v>2.41E-2</v>
      </c>
      <c r="AH5" s="3109">
        <f>ROUND(AVERAGE(L5:L$24)/100,4)</f>
        <v>1.4200000000000001E-2</v>
      </c>
    </row>
    <row r="6" spans="1:34" s="2757" customFormat="1" ht="13.5" thickBot="1">
      <c r="A6" s="2651" t="s">
        <v>2967</v>
      </c>
      <c r="B6" s="2665">
        <f>B7*(1+N6)</f>
        <v>459.95733971036987</v>
      </c>
      <c r="C6" s="2665">
        <f t="shared" ref="C6" si="12">C7*(1+O6)</f>
        <v>341.22221064422405</v>
      </c>
      <c r="D6" s="2665">
        <f t="shared" ref="D6" si="13">C6</f>
        <v>341.22221064422405</v>
      </c>
      <c r="E6" s="2665">
        <f t="shared" ref="E6" si="14">E7*(1+P6)</f>
        <v>657.19161663724799</v>
      </c>
      <c r="F6" s="2665">
        <f t="shared" ref="F6" si="15">F7*(1+Q6)</f>
        <v>300.87803644464805</v>
      </c>
      <c r="G6" s="3123"/>
      <c r="H6" s="2655">
        <v>3</v>
      </c>
      <c r="I6" s="2655">
        <v>1.51</v>
      </c>
      <c r="J6" s="2655">
        <v>1.41</v>
      </c>
      <c r="K6" s="2655">
        <v>1.52</v>
      </c>
      <c r="L6" s="2666">
        <v>1.74</v>
      </c>
      <c r="M6" s="2659"/>
      <c r="N6" s="2660">
        <f t="shared" ref="N6" si="16">I6/100</f>
        <v>1.5100000000000001E-2</v>
      </c>
      <c r="O6" s="2661">
        <f t="shared" ref="O6" si="17">J6/100</f>
        <v>1.41E-2</v>
      </c>
      <c r="P6" s="2661">
        <f t="shared" ref="P6" si="18">K6/100</f>
        <v>1.52E-2</v>
      </c>
      <c r="Q6" s="2661">
        <f t="shared" ref="Q6" si="19">L6/100</f>
        <v>1.7399999999999999E-2</v>
      </c>
      <c r="R6" s="2662"/>
      <c r="S6" s="2668"/>
      <c r="T6" s="2669"/>
      <c r="U6" s="2669"/>
      <c r="V6" s="2669"/>
      <c r="W6" s="2659"/>
      <c r="X6" s="2750">
        <f>ROUND(SUMPRODUCT(PRODUCT(1+N6:N$23)),4)</f>
        <v>1.4956</v>
      </c>
      <c r="Y6" s="2750">
        <f>ROUND(SUMPRODUCT(PRODUCT(1+O6:O$23)),4)</f>
        <v>1.3237000000000001</v>
      </c>
      <c r="Z6" s="2750">
        <f t="shared" ref="Z6" si="20">Y6</f>
        <v>1.3237000000000001</v>
      </c>
      <c r="AA6" s="2750">
        <f>ROUND(SUMPRODUCT(PRODUCT(1+P6:P$23)),4)</f>
        <v>1.554</v>
      </c>
      <c r="AB6" s="2750">
        <f>ROUND(SUMPRODUCT(PRODUCT(1+Q6:Q$23)),4)</f>
        <v>1.3087</v>
      </c>
      <c r="AC6" s="2659"/>
      <c r="AD6" s="2670">
        <f>ROUND(AVERAGE(I6:I$24)/100,4)</f>
        <v>2.3099999999999999E-2</v>
      </c>
      <c r="AE6" s="2670">
        <f>ROUND(AVERAGE(J6:J$24)/100,4)</f>
        <v>1.61E-2</v>
      </c>
      <c r="AF6" s="2670">
        <f t="shared" ref="AF6" si="21">AE6</f>
        <v>1.61E-2</v>
      </c>
      <c r="AG6" s="2670">
        <f>ROUND(AVERAGE(K6:K$24)/100,4)</f>
        <v>2.53E-2</v>
      </c>
      <c r="AH6" s="2670">
        <f>ROUND(AVERAGE(L6:L$24)/100,4)</f>
        <v>1.4999999999999999E-2</v>
      </c>
    </row>
    <row r="7" spans="1:34" s="2757" customFormat="1" ht="13.5" thickBot="1">
      <c r="A7" s="2651" t="s">
        <v>2968</v>
      </c>
      <c r="B7" s="2665">
        <f>B8*(1+N7)</f>
        <v>453.11529869999993</v>
      </c>
      <c r="C7" s="2665">
        <f t="shared" ref="C7" si="22">C8*(1+O7)</f>
        <v>336.47787264000004</v>
      </c>
      <c r="D7" s="2665">
        <f t="shared" ref="D7" si="23">C7</f>
        <v>336.47787264000004</v>
      </c>
      <c r="E7" s="2665">
        <f t="shared" ref="E7" si="24">E8*(1+P7)</f>
        <v>647.35186823999993</v>
      </c>
      <c r="F7" s="2665">
        <f t="shared" ref="F7" si="25">F8*(1+Q7)</f>
        <v>295.73229452000004</v>
      </c>
      <c r="G7" s="3123"/>
      <c r="H7" s="2655">
        <v>2</v>
      </c>
      <c r="I7" s="2655">
        <v>1.49</v>
      </c>
      <c r="J7" s="2655">
        <v>0.96</v>
      </c>
      <c r="K7" s="2655">
        <v>1.58</v>
      </c>
      <c r="L7" s="2666">
        <v>2.44</v>
      </c>
      <c r="M7" s="2659"/>
      <c r="N7" s="2660">
        <f t="shared" ref="N7" si="26">I7/100</f>
        <v>1.49E-2</v>
      </c>
      <c r="O7" s="2661">
        <f t="shared" ref="O7" si="27">J7/100</f>
        <v>9.5999999999999992E-3</v>
      </c>
      <c r="P7" s="2661">
        <f t="shared" ref="P7" si="28">K7/100</f>
        <v>1.5800000000000002E-2</v>
      </c>
      <c r="Q7" s="2661">
        <f t="shared" ref="Q7" si="29">L7/100</f>
        <v>2.4399999999999998E-2</v>
      </c>
      <c r="R7" s="2662"/>
      <c r="S7" s="2668"/>
      <c r="T7" s="2669"/>
      <c r="U7" s="2669"/>
      <c r="V7" s="2669"/>
      <c r="W7" s="2659"/>
      <c r="X7" s="2750">
        <f>ROUND(SUMPRODUCT(PRODUCT(1+N7:N$23)),4)</f>
        <v>1.4733000000000001</v>
      </c>
      <c r="Y7" s="2750">
        <f>ROUND(SUMPRODUCT(PRODUCT(1+O7:O$23)),4)</f>
        <v>1.3052999999999999</v>
      </c>
      <c r="Z7" s="2750">
        <f t="shared" ref="Z7" si="30">Y7</f>
        <v>1.3052999999999999</v>
      </c>
      <c r="AA7" s="2750">
        <f>ROUND(SUMPRODUCT(PRODUCT(1+P7:P$23)),4)</f>
        <v>1.5306999999999999</v>
      </c>
      <c r="AB7" s="2750">
        <f>ROUND(SUMPRODUCT(PRODUCT(1+Q7:Q$23)),4)</f>
        <v>1.2863</v>
      </c>
      <c r="AC7" s="2659"/>
      <c r="AD7" s="2670">
        <f>ROUND(AVERAGE(I7:I$24)/100,4)</f>
        <v>2.35E-2</v>
      </c>
      <c r="AE7" s="2670">
        <f>ROUND(AVERAGE(J7:J$24)/100,4)</f>
        <v>1.6199999999999999E-2</v>
      </c>
      <c r="AF7" s="2670">
        <f t="shared" ref="AF7" si="31">AE7</f>
        <v>1.6199999999999999E-2</v>
      </c>
      <c r="AG7" s="2670">
        <f>ROUND(AVERAGE(K7:K$24)/100,4)</f>
        <v>2.5899999999999999E-2</v>
      </c>
      <c r="AH7" s="2670">
        <f>ROUND(AVERAGE(L7:L$24)/100,4)</f>
        <v>1.49E-2</v>
      </c>
    </row>
    <row r="8" spans="1:34" s="2757" customFormat="1" ht="13.5" thickBot="1">
      <c r="A8" s="2651" t="s">
        <v>2963</v>
      </c>
      <c r="B8" s="2665">
        <f>B9*(1+N8)</f>
        <v>446.46299999999997</v>
      </c>
      <c r="C8" s="2665">
        <f t="shared" ref="C8" si="32">C9*(1+O8)</f>
        <v>333.27840000000003</v>
      </c>
      <c r="D8" s="2665">
        <f t="shared" ref="D8:D13" si="33">C8</f>
        <v>333.27840000000003</v>
      </c>
      <c r="E8" s="2665">
        <f t="shared" ref="E8" si="34">E9*(1+P8)</f>
        <v>637.28279999999995</v>
      </c>
      <c r="F8" s="2665">
        <f t="shared" ref="F8" si="35">F9*(1+Q8)</f>
        <v>288.68830000000003</v>
      </c>
      <c r="G8" s="3123"/>
      <c r="H8" s="2655">
        <v>1</v>
      </c>
      <c r="I8" s="2655">
        <v>1.7</v>
      </c>
      <c r="J8" s="2655">
        <v>1.92</v>
      </c>
      <c r="K8" s="2655">
        <v>1.64</v>
      </c>
      <c r="L8" s="2666">
        <v>2.0099999999999998</v>
      </c>
      <c r="M8" s="2659"/>
      <c r="N8" s="2660">
        <f t="shared" ref="N8:N13" si="36">I8/100</f>
        <v>1.7000000000000001E-2</v>
      </c>
      <c r="O8" s="2661">
        <f t="shared" ref="O8" si="37">J8/100</f>
        <v>1.9199999999999998E-2</v>
      </c>
      <c r="P8" s="2661">
        <f t="shared" ref="P8" si="38">K8/100</f>
        <v>1.6399999999999998E-2</v>
      </c>
      <c r="Q8" s="2661">
        <f t="shared" ref="Q8" si="39">L8/100</f>
        <v>2.0099999999999996E-2</v>
      </c>
      <c r="R8" s="2662"/>
      <c r="S8" s="2668">
        <f>B8/B9-1</f>
        <v>1.6999999999999904E-2</v>
      </c>
      <c r="T8" s="2669">
        <f>C8/C9-1</f>
        <v>1.9200000000000106E-2</v>
      </c>
      <c r="U8" s="2669">
        <f>E8/E9-1</f>
        <v>1.639999999999997E-2</v>
      </c>
      <c r="V8" s="2669">
        <f>F8/F9-1</f>
        <v>2.0100000000000007E-2</v>
      </c>
      <c r="W8" s="2659"/>
      <c r="X8" s="2750">
        <f>ROUND(SUMPRODUCT(PRODUCT(1+N8:N$23)),4)</f>
        <v>1.4517</v>
      </c>
      <c r="Y8" s="2750">
        <f>ROUND(SUMPRODUCT(PRODUCT(1+O8:O$23)),4)</f>
        <v>1.2928999999999999</v>
      </c>
      <c r="Z8" s="2750">
        <f t="shared" ref="Z8" si="40">Y8</f>
        <v>1.2928999999999999</v>
      </c>
      <c r="AA8" s="2750">
        <f>ROUND(SUMPRODUCT(PRODUCT(1+P8:P$23)),4)</f>
        <v>1.5068999999999999</v>
      </c>
      <c r="AB8" s="2750">
        <f>ROUND(SUMPRODUCT(PRODUCT(1+Q8:Q$23)),4)</f>
        <v>1.2557</v>
      </c>
      <c r="AC8" s="2659"/>
      <c r="AD8" s="2670">
        <f>ROUND(AVERAGE(I8:I$24)/100,4)</f>
        <v>2.4E-2</v>
      </c>
      <c r="AE8" s="2670">
        <f>ROUND(AVERAGE(J8:J$24)/100,4)</f>
        <v>1.66E-2</v>
      </c>
      <c r="AF8" s="2670">
        <f t="shared" ref="AF8" si="41">AE8</f>
        <v>1.66E-2</v>
      </c>
      <c r="AG8" s="2670">
        <f>ROUND(AVERAGE(K8:K$24)/100,4)</f>
        <v>2.6499999999999999E-2</v>
      </c>
      <c r="AH8" s="2670">
        <f>ROUND(AVERAGE(L8:L$24)/100,4)</f>
        <v>1.43E-2</v>
      </c>
    </row>
    <row r="9" spans="1:34">
      <c r="A9" s="2651" t="s">
        <v>2954</v>
      </c>
      <c r="B9" s="3138">
        <v>439</v>
      </c>
      <c r="C9" s="3138">
        <v>327</v>
      </c>
      <c r="D9" s="3138">
        <f t="shared" si="33"/>
        <v>327</v>
      </c>
      <c r="E9" s="3138">
        <v>627</v>
      </c>
      <c r="F9" s="3139">
        <v>283</v>
      </c>
      <c r="G9" s="3121">
        <v>2017</v>
      </c>
      <c r="H9" s="2652">
        <v>4</v>
      </c>
      <c r="I9" s="2652">
        <v>1.71</v>
      </c>
      <c r="J9" s="2652">
        <v>1.78</v>
      </c>
      <c r="K9" s="2652">
        <v>1.71</v>
      </c>
      <c r="L9" s="2653">
        <v>1.43</v>
      </c>
      <c r="N9" s="2673">
        <f t="shared" si="36"/>
        <v>1.7100000000000001E-2</v>
      </c>
      <c r="O9" s="2674">
        <f t="shared" ref="O9" si="42">J9/100</f>
        <v>1.78E-2</v>
      </c>
      <c r="P9" s="2674">
        <f t="shared" ref="P9" si="43">K9/100</f>
        <v>1.7100000000000001E-2</v>
      </c>
      <c r="Q9" s="2674">
        <f t="shared" ref="Q9" si="44">L9/100</f>
        <v>1.43E-2</v>
      </c>
      <c r="R9" s="2662"/>
      <c r="S9" s="2663"/>
      <c r="T9" s="2664"/>
      <c r="U9" s="2664"/>
      <c r="V9" s="2664"/>
      <c r="X9" s="2750">
        <f>ROUND(SUMPRODUCT(PRODUCT(1+N9:N$23)),4)</f>
        <v>1.4274</v>
      </c>
      <c r="Y9" s="2750">
        <f>ROUND(SUMPRODUCT(PRODUCT(1+O9:O$23)),4)</f>
        <v>1.2685</v>
      </c>
      <c r="Z9" s="2750">
        <f t="shared" si="0"/>
        <v>1.2685</v>
      </c>
      <c r="AA9" s="2750">
        <f>ROUND(SUMPRODUCT(PRODUCT(1+P9:P$23)),4)</f>
        <v>1.4825999999999999</v>
      </c>
      <c r="AB9" s="2750">
        <f>ROUND(SUMPRODUCT(PRODUCT(1+Q9:Q$23)),4)</f>
        <v>1.2309000000000001</v>
      </c>
      <c r="AD9" s="2670">
        <f>ROUND(AVERAGE(I9:I$24)/100,4)</f>
        <v>2.4500000000000001E-2</v>
      </c>
      <c r="AE9" s="2670">
        <f>ROUND(AVERAGE(J9:J$24)/100,4)</f>
        <v>1.6500000000000001E-2</v>
      </c>
      <c r="AF9" s="2670">
        <f t="shared" si="1"/>
        <v>1.6500000000000001E-2</v>
      </c>
      <c r="AG9" s="2670">
        <f>ROUND(AVERAGE(K9:K$24)/100,4)</f>
        <v>2.7099999999999999E-2</v>
      </c>
      <c r="AH9" s="2670">
        <f>ROUND(AVERAGE(L9:L$24)/100,4)</f>
        <v>1.3899999999999999E-2</v>
      </c>
    </row>
    <row r="10" spans="1:34" s="2757" customFormat="1" ht="13.5" thickBot="1">
      <c r="A10" s="2651" t="s">
        <v>2958</v>
      </c>
      <c r="B10" s="2665">
        <f t="shared" ref="B10:C12" si="45">B11*(1+N10)</f>
        <v>431.80730811680002</v>
      </c>
      <c r="C10" s="2665">
        <f t="shared" si="45"/>
        <v>320.57880516480003</v>
      </c>
      <c r="D10" s="2665">
        <f t="shared" si="33"/>
        <v>320.57880516480003</v>
      </c>
      <c r="E10" s="2665">
        <f t="shared" ref="E10:F12" si="46">E11*(1+P10)</f>
        <v>615.96110553196797</v>
      </c>
      <c r="F10" s="2665">
        <f t="shared" si="46"/>
        <v>279.46777300108801</v>
      </c>
      <c r="G10" s="3123"/>
      <c r="H10" s="2655">
        <v>3</v>
      </c>
      <c r="I10" s="2655">
        <v>2.98</v>
      </c>
      <c r="J10" s="2655">
        <v>2.11</v>
      </c>
      <c r="K10" s="2655">
        <v>3.24</v>
      </c>
      <c r="L10" s="2666">
        <v>1.72</v>
      </c>
      <c r="M10" s="2659"/>
      <c r="N10" s="2660">
        <f t="shared" si="36"/>
        <v>2.98E-2</v>
      </c>
      <c r="O10" s="2678">
        <f t="shared" ref="O10:O11" si="47">J10/100</f>
        <v>2.1099999999999997E-2</v>
      </c>
      <c r="P10" s="2678">
        <f t="shared" ref="P10:P11" si="48">K10/100</f>
        <v>3.2400000000000005E-2</v>
      </c>
      <c r="Q10" s="2678">
        <f t="shared" ref="Q10:Q11" si="49">L10/100</f>
        <v>1.72E-2</v>
      </c>
      <c r="R10" s="2662"/>
      <c r="S10" s="2668"/>
      <c r="T10" s="2669"/>
      <c r="U10" s="2669"/>
      <c r="V10" s="2669"/>
      <c r="W10" s="2659"/>
      <c r="X10" s="2750">
        <f>ROUND(SUMPRODUCT(PRODUCT(1+N10:N$23)),4)</f>
        <v>1.4034</v>
      </c>
      <c r="Y10" s="2750">
        <f>ROUND(SUMPRODUCT(PRODUCT(1+O10:O$23)),4)</f>
        <v>1.2463</v>
      </c>
      <c r="Z10" s="2750">
        <f t="shared" si="0"/>
        <v>1.2463</v>
      </c>
      <c r="AA10" s="2750">
        <f>ROUND(SUMPRODUCT(PRODUCT(1+P10:P$23)),4)</f>
        <v>1.4577</v>
      </c>
      <c r="AB10" s="2750">
        <f>ROUND(SUMPRODUCT(PRODUCT(1+Q10:Q$23)),4)</f>
        <v>1.2136</v>
      </c>
      <c r="AC10" s="2659"/>
      <c r="AD10" s="2670">
        <f>ROUND(AVERAGE(I10:I$24)/100,4)</f>
        <v>2.4899999999999999E-2</v>
      </c>
      <c r="AE10" s="2670">
        <f>ROUND(AVERAGE(J10:J$24)/100,4)</f>
        <v>1.6400000000000001E-2</v>
      </c>
      <c r="AF10" s="2670">
        <f t="shared" si="1"/>
        <v>1.6400000000000001E-2</v>
      </c>
      <c r="AG10" s="2670">
        <f>ROUND(AVERAGE(K10:K$24)/100,4)</f>
        <v>2.7799999999999998E-2</v>
      </c>
      <c r="AH10" s="2670">
        <f>ROUND(AVERAGE(L10:L$24)/100,4)</f>
        <v>1.3899999999999999E-2</v>
      </c>
    </row>
    <row r="11" spans="1:34" s="2649" customFormat="1">
      <c r="A11" s="2651" t="s">
        <v>2573</v>
      </c>
      <c r="B11" s="2665">
        <f t="shared" si="45"/>
        <v>419.31181600000002</v>
      </c>
      <c r="C11" s="2665">
        <f t="shared" si="45"/>
        <v>313.95436800000004</v>
      </c>
      <c r="D11" s="2665">
        <f t="shared" si="33"/>
        <v>313.95436800000004</v>
      </c>
      <c r="E11" s="2665">
        <f t="shared" si="46"/>
        <v>596.63028431999999</v>
      </c>
      <c r="F11" s="2665">
        <f t="shared" si="46"/>
        <v>274.74220703999998</v>
      </c>
      <c r="G11" s="3122"/>
      <c r="H11" s="2656">
        <v>2</v>
      </c>
      <c r="I11" s="2656">
        <v>3.4</v>
      </c>
      <c r="J11" s="2656">
        <v>2</v>
      </c>
      <c r="K11" s="2656">
        <v>3.82</v>
      </c>
      <c r="L11" s="2667">
        <v>1.68</v>
      </c>
      <c r="N11" s="2660">
        <f t="shared" si="36"/>
        <v>3.4000000000000002E-2</v>
      </c>
      <c r="O11" s="2678">
        <f t="shared" si="47"/>
        <v>0.02</v>
      </c>
      <c r="P11" s="2678">
        <f t="shared" si="48"/>
        <v>3.8199999999999998E-2</v>
      </c>
      <c r="Q11" s="2678">
        <f t="shared" si="49"/>
        <v>1.6799999999999999E-2</v>
      </c>
      <c r="R11" s="2650"/>
      <c r="S11" s="2654"/>
      <c r="T11" s="2650"/>
      <c r="U11" s="2650"/>
      <c r="V11" s="2650"/>
      <c r="X11" s="2750">
        <f>ROUND(SUMPRODUCT(PRODUCT(1+N11:N$23)),4)</f>
        <v>1.3628</v>
      </c>
      <c r="Y11" s="2750">
        <f>ROUND(SUMPRODUCT(PRODUCT(1+O11:O$23)),4)</f>
        <v>1.2205999999999999</v>
      </c>
      <c r="Z11" s="2750">
        <f t="shared" si="0"/>
        <v>1.2205999999999999</v>
      </c>
      <c r="AA11" s="2750">
        <f>ROUND(SUMPRODUCT(PRODUCT(1+P11:P$23)),4)</f>
        <v>1.4118999999999999</v>
      </c>
      <c r="AB11" s="2750">
        <f>ROUND(SUMPRODUCT(PRODUCT(1+Q11:Q$23)),4)</f>
        <v>1.1930000000000001</v>
      </c>
      <c r="AD11" s="2670">
        <f>ROUND(AVERAGE(I11:I$24)/100,4)</f>
        <v>2.46E-2</v>
      </c>
      <c r="AE11" s="2670">
        <f>ROUND(AVERAGE(J11:J$24)/100,4)</f>
        <v>1.6E-2</v>
      </c>
      <c r="AF11" s="2670">
        <f t="shared" si="1"/>
        <v>1.6E-2</v>
      </c>
      <c r="AG11" s="2670">
        <f>ROUND(AVERAGE(K11:K$24)/100,4)</f>
        <v>2.75E-2</v>
      </c>
      <c r="AH11" s="2670">
        <f>ROUND(AVERAGE(L11:L$24)/100,4)</f>
        <v>1.37E-2</v>
      </c>
    </row>
    <row r="12" spans="1:34" s="2757" customFormat="1" ht="13.5" thickBot="1">
      <c r="A12" s="2651" t="s">
        <v>2574</v>
      </c>
      <c r="B12" s="2665">
        <f t="shared" si="45"/>
        <v>405.524</v>
      </c>
      <c r="C12" s="2665">
        <f t="shared" si="45"/>
        <v>307.79840000000002</v>
      </c>
      <c r="D12" s="2665">
        <f t="shared" si="33"/>
        <v>307.79840000000002</v>
      </c>
      <c r="E12" s="2665">
        <f t="shared" si="46"/>
        <v>574.67759999999998</v>
      </c>
      <c r="F12" s="2665">
        <f t="shared" si="46"/>
        <v>270.20280000000002</v>
      </c>
      <c r="G12" s="3123"/>
      <c r="H12" s="2655">
        <v>1</v>
      </c>
      <c r="I12" s="2655">
        <v>3.45</v>
      </c>
      <c r="J12" s="2655">
        <v>1.92</v>
      </c>
      <c r="K12" s="2655">
        <v>3.92</v>
      </c>
      <c r="L12" s="2666">
        <v>1.58</v>
      </c>
      <c r="M12" s="2659"/>
      <c r="N12" s="2668">
        <f t="shared" si="36"/>
        <v>3.4500000000000003E-2</v>
      </c>
      <c r="O12" s="2669">
        <f t="shared" ref="O12" si="50">J12/100</f>
        <v>1.9199999999999998E-2</v>
      </c>
      <c r="P12" s="2669">
        <f t="shared" ref="P12" si="51">K12/100</f>
        <v>3.9199999999999999E-2</v>
      </c>
      <c r="Q12" s="2669">
        <f t="shared" ref="Q12" si="52">L12/100</f>
        <v>1.5800000000000002E-2</v>
      </c>
      <c r="R12" s="2662"/>
      <c r="S12" s="2668">
        <f>B12/B13-1</f>
        <v>3.4499999999999975E-2</v>
      </c>
      <c r="T12" s="2669">
        <f>C12/C13-1</f>
        <v>1.9200000000000106E-2</v>
      </c>
      <c r="U12" s="2669">
        <f>E12/E13-1</f>
        <v>3.9199999999999902E-2</v>
      </c>
      <c r="V12" s="2669">
        <f>F12/F13-1</f>
        <v>1.5800000000000036E-2</v>
      </c>
      <c r="W12" s="2659"/>
      <c r="X12" s="2750">
        <f>ROUND(SUMPRODUCT(PRODUCT(1+N12:N$23)),4)</f>
        <v>1.3180000000000001</v>
      </c>
      <c r="Y12" s="2750">
        <f>ROUND(SUMPRODUCT(PRODUCT(1+O12:O$23)),4)</f>
        <v>1.1966000000000001</v>
      </c>
      <c r="Z12" s="2750">
        <f t="shared" si="0"/>
        <v>1.1966000000000001</v>
      </c>
      <c r="AA12" s="2750">
        <f>ROUND(SUMPRODUCT(PRODUCT(1+P12:P$23)),4)</f>
        <v>1.36</v>
      </c>
      <c r="AB12" s="2750">
        <f>ROUND(SUMPRODUCT(PRODUCT(1+Q12:Q$23)),4)</f>
        <v>1.1733</v>
      </c>
      <c r="AC12" s="2659"/>
      <c r="AD12" s="2670">
        <f>ROUND(AVERAGE(I12:I$24)/100,4)</f>
        <v>2.3900000000000001E-2</v>
      </c>
      <c r="AE12" s="2670">
        <f>ROUND(AVERAGE(J12:J$24)/100,4)</f>
        <v>1.5699999999999999E-2</v>
      </c>
      <c r="AF12" s="2670">
        <f t="shared" si="1"/>
        <v>1.5699999999999999E-2</v>
      </c>
      <c r="AG12" s="2670">
        <f>ROUND(AVERAGE(K12:K$24)/100,4)</f>
        <v>2.6599999999999999E-2</v>
      </c>
      <c r="AH12" s="2670">
        <f>ROUND(AVERAGE(L12:L$24)/100,4)</f>
        <v>1.34E-2</v>
      </c>
    </row>
    <row r="13" spans="1:34">
      <c r="A13" s="2651" t="s">
        <v>968</v>
      </c>
      <c r="B13" s="2657">
        <v>392</v>
      </c>
      <c r="C13" s="2657">
        <v>302</v>
      </c>
      <c r="D13" s="2657">
        <f t="shared" si="33"/>
        <v>302</v>
      </c>
      <c r="E13" s="2657">
        <v>553</v>
      </c>
      <c r="F13" s="2658">
        <v>266</v>
      </c>
      <c r="G13" s="3480">
        <v>2016</v>
      </c>
      <c r="H13" s="2652">
        <v>4</v>
      </c>
      <c r="I13" s="2652">
        <v>4.5599999999999996</v>
      </c>
      <c r="J13" s="2652">
        <v>2.15</v>
      </c>
      <c r="K13" s="2652">
        <v>5.32</v>
      </c>
      <c r="L13" s="2653">
        <v>1.57</v>
      </c>
      <c r="N13" s="2660">
        <f t="shared" si="36"/>
        <v>4.5599999999999995E-2</v>
      </c>
      <c r="O13" s="2661">
        <f t="shared" ref="O13:Q28" si="53">J13/100</f>
        <v>2.1499999999999998E-2</v>
      </c>
      <c r="P13" s="2661">
        <f t="shared" si="53"/>
        <v>5.3200000000000004E-2</v>
      </c>
      <c r="Q13" s="2661">
        <f t="shared" si="53"/>
        <v>1.5700000000000002E-2</v>
      </c>
      <c r="R13" s="2662"/>
      <c r="S13" s="2663"/>
      <c r="T13" s="2664"/>
      <c r="U13" s="2664"/>
      <c r="V13" s="2664"/>
      <c r="X13" s="2750">
        <f>ROUND(SUMPRODUCT(PRODUCT(1+N13:N$23)),4)</f>
        <v>1.274</v>
      </c>
      <c r="Y13" s="2750">
        <f>ROUND(SUMPRODUCT(PRODUCT(1+O13:O$23)),4)</f>
        <v>1.1740999999999999</v>
      </c>
      <c r="Z13" s="2750">
        <f t="shared" si="0"/>
        <v>1.1740999999999999</v>
      </c>
      <c r="AA13" s="2750">
        <f>ROUND(SUMPRODUCT(PRODUCT(1+P13:P$23)),4)</f>
        <v>1.3087</v>
      </c>
      <c r="AB13" s="2750">
        <f>ROUND(SUMPRODUCT(PRODUCT(1+Q13:Q$23)),4)</f>
        <v>1.1551</v>
      </c>
      <c r="AD13" s="2670">
        <f>ROUND(AVERAGE(I13:I$24)/100,4)</f>
        <v>2.3E-2</v>
      </c>
      <c r="AE13" s="2670">
        <f>ROUND(AVERAGE(J13:J$24)/100,4)</f>
        <v>1.55E-2</v>
      </c>
      <c r="AF13" s="2670">
        <f t="shared" si="1"/>
        <v>1.55E-2</v>
      </c>
      <c r="AG13" s="2670">
        <f>ROUND(AVERAGE(K13:K$24)/100,4)</f>
        <v>2.5600000000000001E-2</v>
      </c>
      <c r="AH13" s="2670">
        <f>ROUND(AVERAGE(L13:L$24)/100,4)</f>
        <v>1.32E-2</v>
      </c>
    </row>
    <row r="14" spans="1:34">
      <c r="A14" s="2651" t="s">
        <v>967</v>
      </c>
      <c r="B14" s="2665">
        <f t="shared" ref="B14:C16" si="54">B13/(1+N13)</f>
        <v>374.90436113236416</v>
      </c>
      <c r="C14" s="2665">
        <f t="shared" si="54"/>
        <v>295.64366128242779</v>
      </c>
      <c r="D14" s="2665">
        <f t="shared" ref="D14:D73" si="55">C14</f>
        <v>295.64366128242779</v>
      </c>
      <c r="E14" s="2665">
        <f t="shared" ref="E14:F16" si="56">E13/(1+P13)</f>
        <v>525.06646410938095</v>
      </c>
      <c r="F14" s="2665">
        <f t="shared" si="56"/>
        <v>261.88835286009646</v>
      </c>
      <c r="G14" s="3478"/>
      <c r="H14" s="2655">
        <v>3</v>
      </c>
      <c r="I14" s="2655">
        <v>4.12</v>
      </c>
      <c r="J14" s="2655">
        <v>2</v>
      </c>
      <c r="K14" s="2655">
        <v>4.79</v>
      </c>
      <c r="L14" s="2666">
        <v>1.97</v>
      </c>
      <c r="N14" s="2660">
        <f t="shared" ref="N14:Q48" si="57">I14/100</f>
        <v>4.1200000000000001E-2</v>
      </c>
      <c r="O14" s="2661">
        <f t="shared" si="53"/>
        <v>0.02</v>
      </c>
      <c r="P14" s="2661">
        <f t="shared" si="53"/>
        <v>4.7899999999999998E-2</v>
      </c>
      <c r="Q14" s="2661">
        <f t="shared" si="53"/>
        <v>1.9699999999999999E-2</v>
      </c>
      <c r="R14" s="2662"/>
      <c r="S14" s="2660"/>
      <c r="T14" s="2661"/>
      <c r="U14" s="2661"/>
      <c r="V14" s="2661"/>
      <c r="X14" s="2750">
        <f>ROUND(SUMPRODUCT(PRODUCT(1+N14:N$23)),4)</f>
        <v>1.2184999999999999</v>
      </c>
      <c r="Y14" s="2750">
        <f>ROUND(SUMPRODUCT(PRODUCT(1+O14:O$23)),4)</f>
        <v>1.1494</v>
      </c>
      <c r="Z14" s="2750">
        <f t="shared" si="0"/>
        <v>1.1494</v>
      </c>
      <c r="AA14" s="2750">
        <f>ROUND(SUMPRODUCT(PRODUCT(1+P14:P$23)),4)</f>
        <v>1.2425999999999999</v>
      </c>
      <c r="AB14" s="2750">
        <f>ROUND(SUMPRODUCT(PRODUCT(1+Q14:Q$23)),4)</f>
        <v>1.1372</v>
      </c>
      <c r="AD14" s="2670">
        <f>ROUND(AVERAGE(I14:I$24)/100,4)</f>
        <v>2.0899999999999998E-2</v>
      </c>
      <c r="AE14" s="2670">
        <f>ROUND(AVERAGE(J14:J$24)/100,4)</f>
        <v>1.49E-2</v>
      </c>
      <c r="AF14" s="2670">
        <f t="shared" si="1"/>
        <v>1.49E-2</v>
      </c>
      <c r="AG14" s="2670">
        <f>ROUND(AVERAGE(K14:K$24)/100,4)</f>
        <v>2.3099999999999999E-2</v>
      </c>
      <c r="AH14" s="2670">
        <f>ROUND(AVERAGE(L14:L$24)/100,4)</f>
        <v>1.2999999999999999E-2</v>
      </c>
    </row>
    <row r="15" spans="1:34">
      <c r="A15" s="2651" t="s">
        <v>957</v>
      </c>
      <c r="B15" s="2665">
        <f t="shared" si="54"/>
        <v>360.06949782209392</v>
      </c>
      <c r="C15" s="2665">
        <f t="shared" si="54"/>
        <v>289.84672674747821</v>
      </c>
      <c r="D15" s="2665">
        <f t="shared" si="55"/>
        <v>289.84672674747821</v>
      </c>
      <c r="E15" s="2665">
        <f t="shared" si="56"/>
        <v>501.06543001181495</v>
      </c>
      <c r="F15" s="2665">
        <f t="shared" si="56"/>
        <v>256.82882500744967</v>
      </c>
      <c r="G15" s="3478"/>
      <c r="H15" s="2656">
        <v>2</v>
      </c>
      <c r="I15" s="2656">
        <v>3.85</v>
      </c>
      <c r="J15" s="2656">
        <v>1.95</v>
      </c>
      <c r="K15" s="2656">
        <v>4.4800000000000004</v>
      </c>
      <c r="L15" s="2667">
        <v>1.41</v>
      </c>
      <c r="N15" s="2660">
        <f t="shared" si="57"/>
        <v>3.85E-2</v>
      </c>
      <c r="O15" s="2661">
        <f t="shared" si="53"/>
        <v>1.95E-2</v>
      </c>
      <c r="P15" s="2661">
        <f t="shared" si="53"/>
        <v>4.4800000000000006E-2</v>
      </c>
      <c r="Q15" s="2661">
        <f t="shared" si="53"/>
        <v>1.41E-2</v>
      </c>
      <c r="R15" s="2662"/>
      <c r="S15" s="2660"/>
      <c r="T15" s="2661"/>
      <c r="U15" s="2661"/>
      <c r="V15" s="2661"/>
      <c r="X15" s="2750">
        <f>ROUND(SUMPRODUCT(PRODUCT(1+N15:N$23)),4)</f>
        <v>1.1702999999999999</v>
      </c>
      <c r="Y15" s="2750">
        <f>ROUND(SUMPRODUCT(PRODUCT(1+O15:O$23)),4)</f>
        <v>1.1269</v>
      </c>
      <c r="Z15" s="2750">
        <f t="shared" si="0"/>
        <v>1.1269</v>
      </c>
      <c r="AA15" s="2750">
        <f>ROUND(SUMPRODUCT(PRODUCT(1+P15:P$23)),4)</f>
        <v>1.1858</v>
      </c>
      <c r="AB15" s="2750">
        <f>ROUND(SUMPRODUCT(PRODUCT(1+Q15:Q$23)),4)</f>
        <v>1.1152</v>
      </c>
      <c r="AD15" s="2670">
        <f>ROUND(AVERAGE(I15:I$24)/100,4)</f>
        <v>1.89E-2</v>
      </c>
      <c r="AE15" s="2670">
        <f>ROUND(AVERAGE(J15:J$24)/100,4)</f>
        <v>1.44E-2</v>
      </c>
      <c r="AF15" s="2670">
        <f t="shared" si="1"/>
        <v>1.44E-2</v>
      </c>
      <c r="AG15" s="2670">
        <f>ROUND(AVERAGE(K15:K$24)/100,4)</f>
        <v>2.06E-2</v>
      </c>
      <c r="AH15" s="2670">
        <f>ROUND(AVERAGE(L15:L$24)/100,4)</f>
        <v>1.23E-2</v>
      </c>
    </row>
    <row r="16" spans="1:34" ht="13.5" thickBot="1">
      <c r="A16" s="2651" t="s">
        <v>966</v>
      </c>
      <c r="B16" s="2665">
        <f t="shared" si="54"/>
        <v>346.720748986128</v>
      </c>
      <c r="C16" s="2665">
        <f t="shared" si="54"/>
        <v>284.30282172386285</v>
      </c>
      <c r="D16" s="2665">
        <f t="shared" si="55"/>
        <v>284.30282172386285</v>
      </c>
      <c r="E16" s="2665">
        <f t="shared" si="56"/>
        <v>479.58023546306947</v>
      </c>
      <c r="F16" s="2665">
        <f t="shared" si="56"/>
        <v>253.25788877571213</v>
      </c>
      <c r="G16" s="3479"/>
      <c r="H16" s="2655">
        <v>1</v>
      </c>
      <c r="I16" s="2655">
        <v>4.09</v>
      </c>
      <c r="J16" s="2655">
        <v>2.93</v>
      </c>
      <c r="K16" s="2655">
        <v>4.54</v>
      </c>
      <c r="L16" s="2666">
        <v>1.48</v>
      </c>
      <c r="N16" s="2660">
        <f t="shared" si="57"/>
        <v>4.0899999999999999E-2</v>
      </c>
      <c r="O16" s="2661">
        <f t="shared" si="53"/>
        <v>2.9300000000000003E-2</v>
      </c>
      <c r="P16" s="2661">
        <f t="shared" si="53"/>
        <v>4.5400000000000003E-2</v>
      </c>
      <c r="Q16" s="2661">
        <f t="shared" si="53"/>
        <v>1.4800000000000001E-2</v>
      </c>
      <c r="R16" s="2662"/>
      <c r="S16" s="2668">
        <f>B16/B17-1</f>
        <v>4.1203450408792808E-2</v>
      </c>
      <c r="T16" s="2669">
        <f>C16/C17-1</f>
        <v>2.6363977342465095E-2</v>
      </c>
      <c r="U16" s="2669">
        <f>E16/E17-1</f>
        <v>4.4837114298626357E-2</v>
      </c>
      <c r="V16" s="2669">
        <f>F16/F17-1</f>
        <v>1.7099954922538574E-2</v>
      </c>
      <c r="X16" s="2750">
        <f>ROUND(SUMPRODUCT(PRODUCT(1+N16:N$23)),4)</f>
        <v>1.1269</v>
      </c>
      <c r="Y16" s="2750">
        <f>ROUND(SUMPRODUCT(PRODUCT(1+O16:O$23)),4)</f>
        <v>1.1052999999999999</v>
      </c>
      <c r="Z16" s="2750">
        <f t="shared" si="0"/>
        <v>1.1052999999999999</v>
      </c>
      <c r="AA16" s="2750">
        <f>ROUND(SUMPRODUCT(PRODUCT(1+P16:P$23)),4)</f>
        <v>1.1349</v>
      </c>
      <c r="AB16" s="2750">
        <f>ROUND(SUMPRODUCT(PRODUCT(1+Q16:Q$23)),4)</f>
        <v>1.0996999999999999</v>
      </c>
      <c r="AD16" s="2670">
        <f>ROUND(AVERAGE(I16:I$24)/100,4)</f>
        <v>1.67E-2</v>
      </c>
      <c r="AE16" s="2670">
        <f>ROUND(AVERAGE(J16:J$24)/100,4)</f>
        <v>1.38E-2</v>
      </c>
      <c r="AF16" s="2670">
        <f t="shared" si="1"/>
        <v>1.38E-2</v>
      </c>
      <c r="AG16" s="2670">
        <f>ROUND(AVERAGE(K16:K$24)/100,4)</f>
        <v>1.7899999999999999E-2</v>
      </c>
      <c r="AH16" s="2670">
        <f>ROUND(AVERAGE(L16:L$24)/100,4)</f>
        <v>1.21E-2</v>
      </c>
    </row>
    <row r="17" spans="1:34" ht="13.5" thickBot="1">
      <c r="A17" s="2651" t="s">
        <v>965</v>
      </c>
      <c r="B17" s="2657">
        <v>333</v>
      </c>
      <c r="C17" s="2657">
        <v>277</v>
      </c>
      <c r="D17" s="2657">
        <f t="shared" si="55"/>
        <v>277</v>
      </c>
      <c r="E17" s="2657">
        <v>459</v>
      </c>
      <c r="F17" s="2658">
        <v>249</v>
      </c>
      <c r="G17" s="3477">
        <v>2015</v>
      </c>
      <c r="H17" s="2671">
        <v>4</v>
      </c>
      <c r="I17" s="2671">
        <v>1.63</v>
      </c>
      <c r="J17" s="2671">
        <v>1.1100000000000001</v>
      </c>
      <c r="K17" s="2671">
        <v>1.77</v>
      </c>
      <c r="L17" s="2672">
        <v>1.89</v>
      </c>
      <c r="N17" s="2673">
        <f t="shared" si="57"/>
        <v>1.6299999999999999E-2</v>
      </c>
      <c r="O17" s="2674">
        <f t="shared" si="53"/>
        <v>1.11E-2</v>
      </c>
      <c r="P17" s="2674">
        <f t="shared" si="53"/>
        <v>1.77E-2</v>
      </c>
      <c r="Q17" s="2674">
        <f t="shared" si="53"/>
        <v>1.89E-2</v>
      </c>
      <c r="R17" s="2662"/>
      <c r="X17" s="2750">
        <f>ROUND(SUMPRODUCT(PRODUCT(1+N17:N$23)),4)</f>
        <v>1.0826</v>
      </c>
      <c r="Y17" s="2750">
        <f>ROUND(SUMPRODUCT(PRODUCT(1+O17:O$23)),4)</f>
        <v>1.0738000000000001</v>
      </c>
      <c r="Z17" s="2750">
        <f t="shared" si="0"/>
        <v>1.0738000000000001</v>
      </c>
      <c r="AA17" s="2750">
        <f>ROUND(SUMPRODUCT(PRODUCT(1+P17:P$23)),4)</f>
        <v>1.0855999999999999</v>
      </c>
      <c r="AB17" s="2750">
        <f>ROUND(SUMPRODUCT(PRODUCT(1+Q17:Q$23)),4)</f>
        <v>1.0837000000000001</v>
      </c>
      <c r="AD17" s="2670">
        <f>ROUND(AVERAGE(I17:I$24)/100,4)</f>
        <v>1.37E-2</v>
      </c>
      <c r="AE17" s="2670">
        <f>ROUND(AVERAGE(J17:J$24)/100,4)</f>
        <v>1.1900000000000001E-2</v>
      </c>
      <c r="AF17" s="2670">
        <f t="shared" si="1"/>
        <v>1.1900000000000001E-2</v>
      </c>
      <c r="AG17" s="2670">
        <f>ROUND(AVERAGE(K17:K$24)/100,4)</f>
        <v>1.4500000000000001E-2</v>
      </c>
      <c r="AH17" s="2670">
        <f>ROUND(AVERAGE(L17:L$24)/100,4)</f>
        <v>1.18E-2</v>
      </c>
    </row>
    <row r="18" spans="1:34">
      <c r="A18" s="2651" t="s">
        <v>964</v>
      </c>
      <c r="B18" s="2665">
        <f t="shared" ref="B18:C20" si="58">B17/(1+N17)</f>
        <v>327.65915576109415</v>
      </c>
      <c r="C18" s="2665">
        <f t="shared" si="58"/>
        <v>273.95905449510434</v>
      </c>
      <c r="D18" s="2665">
        <f t="shared" si="55"/>
        <v>273.95905449510434</v>
      </c>
      <c r="E18" s="2665">
        <f t="shared" ref="E18:F20" si="59">E17/(1+P17)</f>
        <v>451.01699911565294</v>
      </c>
      <c r="F18" s="2665">
        <f t="shared" si="59"/>
        <v>244.38119540681129</v>
      </c>
      <c r="G18" s="3478"/>
      <c r="H18" s="2676">
        <v>3</v>
      </c>
      <c r="I18" s="2676">
        <v>1.65</v>
      </c>
      <c r="J18" s="2676">
        <v>0.92</v>
      </c>
      <c r="K18" s="2676">
        <v>1.88</v>
      </c>
      <c r="L18" s="2677">
        <v>1.26</v>
      </c>
      <c r="N18" s="2660">
        <f t="shared" si="57"/>
        <v>1.6500000000000001E-2</v>
      </c>
      <c r="O18" s="2678">
        <f t="shared" si="53"/>
        <v>9.1999999999999998E-3</v>
      </c>
      <c r="P18" s="2678">
        <f t="shared" si="53"/>
        <v>1.8799999999999997E-2</v>
      </c>
      <c r="Q18" s="2678">
        <f t="shared" si="53"/>
        <v>1.26E-2</v>
      </c>
      <c r="R18" s="2662"/>
      <c r="S18" s="2660"/>
      <c r="T18" s="2661"/>
      <c r="U18" s="2661"/>
      <c r="V18" s="2661"/>
      <c r="X18" s="2750">
        <f>ROUND(SUMPRODUCT(PRODUCT(1+N18:N$23)),4)</f>
        <v>1.0651999999999999</v>
      </c>
      <c r="Y18" s="2750">
        <f>ROUND(SUMPRODUCT(PRODUCT(1+O18:O$23)),4)</f>
        <v>1.0621</v>
      </c>
      <c r="Z18" s="2750">
        <f t="shared" si="0"/>
        <v>1.0621</v>
      </c>
      <c r="AA18" s="2750">
        <f>ROUND(SUMPRODUCT(PRODUCT(1+P18:P$23)),4)</f>
        <v>1.0668</v>
      </c>
      <c r="AB18" s="2750">
        <f>ROUND(SUMPRODUCT(PRODUCT(1+Q18:Q$23)),4)</f>
        <v>1.0636000000000001</v>
      </c>
      <c r="AD18" s="2670">
        <f>ROUND(AVERAGE(I18:I$24)/100,4)</f>
        <v>1.3299999999999999E-2</v>
      </c>
      <c r="AE18" s="2670">
        <f>ROUND(AVERAGE(J18:J$24)/100,4)</f>
        <v>1.2E-2</v>
      </c>
      <c r="AF18" s="2670">
        <f t="shared" si="1"/>
        <v>1.2E-2</v>
      </c>
      <c r="AG18" s="2670">
        <f>ROUND(AVERAGE(K18:K$24)/100,4)</f>
        <v>1.4E-2</v>
      </c>
      <c r="AH18" s="2670">
        <f>ROUND(AVERAGE(L18:L$24)/100,4)</f>
        <v>1.0800000000000001E-2</v>
      </c>
    </row>
    <row r="19" spans="1:34">
      <c r="A19" s="2651" t="s">
        <v>963</v>
      </c>
      <c r="B19" s="2665">
        <f t="shared" si="58"/>
        <v>322.34053690220776</v>
      </c>
      <c r="C19" s="2665">
        <f t="shared" si="58"/>
        <v>271.46160770422546</v>
      </c>
      <c r="D19" s="2665">
        <f t="shared" si="55"/>
        <v>271.46160770422546</v>
      </c>
      <c r="E19" s="2665">
        <f t="shared" si="59"/>
        <v>442.69434542172456</v>
      </c>
      <c r="F19" s="2665">
        <f t="shared" si="59"/>
        <v>241.34030753190925</v>
      </c>
      <c r="G19" s="3478"/>
      <c r="H19" s="2656">
        <v>2</v>
      </c>
      <c r="I19" s="2656">
        <v>0.77</v>
      </c>
      <c r="J19" s="2656">
        <v>0.69</v>
      </c>
      <c r="K19" s="2656">
        <v>0.8</v>
      </c>
      <c r="L19" s="2667">
        <v>0.88</v>
      </c>
      <c r="N19" s="2660">
        <f t="shared" si="57"/>
        <v>7.7000000000000002E-3</v>
      </c>
      <c r="O19" s="2678">
        <f t="shared" si="53"/>
        <v>6.8999999999999999E-3</v>
      </c>
      <c r="P19" s="2678">
        <f t="shared" si="53"/>
        <v>8.0000000000000002E-3</v>
      </c>
      <c r="Q19" s="2678">
        <f t="shared" si="53"/>
        <v>8.8000000000000005E-3</v>
      </c>
      <c r="R19" s="2662"/>
      <c r="S19" s="2660"/>
      <c r="T19" s="2661"/>
      <c r="U19" s="2661"/>
      <c r="V19" s="2661"/>
      <c r="X19" s="2750">
        <f>ROUND(SUMPRODUCT(PRODUCT(1+N19:N$23)),4)</f>
        <v>1.048</v>
      </c>
      <c r="Y19" s="2750">
        <f>ROUND(SUMPRODUCT(PRODUCT(1+O19:O$23)),4)</f>
        <v>1.0524</v>
      </c>
      <c r="Z19" s="2750">
        <f t="shared" si="0"/>
        <v>1.0524</v>
      </c>
      <c r="AA19" s="2750">
        <f>ROUND(SUMPRODUCT(PRODUCT(1+P19:P$23)),4)</f>
        <v>1.0470999999999999</v>
      </c>
      <c r="AB19" s="2750">
        <f>ROUND(SUMPRODUCT(PRODUCT(1+Q19:Q$23)),4)</f>
        <v>1.0504</v>
      </c>
      <c r="AD19" s="2670">
        <f>ROUND(AVERAGE(I19:I$24)/100,4)</f>
        <v>1.2800000000000001E-2</v>
      </c>
      <c r="AE19" s="2670">
        <f>ROUND(AVERAGE(J19:J$24)/100,4)</f>
        <v>1.2500000000000001E-2</v>
      </c>
      <c r="AF19" s="2670">
        <f t="shared" si="1"/>
        <v>1.2500000000000001E-2</v>
      </c>
      <c r="AG19" s="2670">
        <f>ROUND(AVERAGE(K19:K$24)/100,4)</f>
        <v>1.32E-2</v>
      </c>
      <c r="AH19" s="2670">
        <f>ROUND(AVERAGE(L19:L$24)/100,4)</f>
        <v>1.0500000000000001E-2</v>
      </c>
    </row>
    <row r="20" spans="1:34">
      <c r="A20" s="2651" t="s">
        <v>962</v>
      </c>
      <c r="B20" s="2665">
        <f t="shared" si="58"/>
        <v>319.87748030386797</v>
      </c>
      <c r="C20" s="2665">
        <f t="shared" si="58"/>
        <v>269.60135833173649</v>
      </c>
      <c r="D20" s="2665">
        <f t="shared" si="55"/>
        <v>269.60135833173649</v>
      </c>
      <c r="E20" s="2665">
        <f t="shared" si="59"/>
        <v>439.18089823583784</v>
      </c>
      <c r="F20" s="2665">
        <f t="shared" si="59"/>
        <v>239.23503918706311</v>
      </c>
      <c r="G20" s="3479"/>
      <c r="H20" s="2655">
        <v>1</v>
      </c>
      <c r="I20" s="2655">
        <v>0.51</v>
      </c>
      <c r="J20" s="2655">
        <v>0.54</v>
      </c>
      <c r="K20" s="2655">
        <v>0.48</v>
      </c>
      <c r="L20" s="2666">
        <v>0.93</v>
      </c>
      <c r="N20" s="2668">
        <f t="shared" si="57"/>
        <v>5.1000000000000004E-3</v>
      </c>
      <c r="O20" s="2669">
        <f t="shared" si="53"/>
        <v>5.4000000000000003E-3</v>
      </c>
      <c r="P20" s="2669">
        <f t="shared" si="53"/>
        <v>4.7999999999999996E-3</v>
      </c>
      <c r="Q20" s="2669">
        <f t="shared" si="53"/>
        <v>9.300000000000001E-3</v>
      </c>
      <c r="R20" s="2662"/>
      <c r="S20" s="2668">
        <f>B20/B21-1</f>
        <v>5.9040261127922822E-3</v>
      </c>
      <c r="T20" s="2669">
        <f>C20/C21-1</f>
        <v>5.9752176557332781E-3</v>
      </c>
      <c r="U20" s="2669">
        <f>E20/E21-1</f>
        <v>4.9906138119859556E-3</v>
      </c>
      <c r="V20" s="2669">
        <f>F20/F21-1</f>
        <v>9.4305450930933787E-3</v>
      </c>
      <c r="X20" s="2750">
        <f>ROUND(SUMPRODUCT(PRODUCT(1+N20:N$23)),4)</f>
        <v>1.0399</v>
      </c>
      <c r="Y20" s="2750">
        <f>ROUND(SUMPRODUCT(PRODUCT(1+O20:O$23)),4)</f>
        <v>1.0451999999999999</v>
      </c>
      <c r="Z20" s="2750">
        <f t="shared" si="0"/>
        <v>1.0451999999999999</v>
      </c>
      <c r="AA20" s="2750">
        <f>ROUND(SUMPRODUCT(PRODUCT(1+P20:P$23)),4)</f>
        <v>1.0387999999999999</v>
      </c>
      <c r="AB20" s="2750">
        <f>ROUND(SUMPRODUCT(PRODUCT(1+Q20:Q$23)),4)</f>
        <v>1.0411999999999999</v>
      </c>
      <c r="AD20" s="2670">
        <f>ROUND(AVERAGE(I20:I$24)/100,4)</f>
        <v>1.38E-2</v>
      </c>
      <c r="AE20" s="2670">
        <f>ROUND(AVERAGE(J20:J$24)/100,4)</f>
        <v>1.3599999999999999E-2</v>
      </c>
      <c r="AF20" s="2670">
        <f t="shared" si="1"/>
        <v>1.3599999999999999E-2</v>
      </c>
      <c r="AG20" s="2670">
        <f>ROUND(AVERAGE(K20:K$24)/100,4)</f>
        <v>1.4200000000000001E-2</v>
      </c>
      <c r="AH20" s="2670">
        <f>ROUND(AVERAGE(L20:L$24)/100,4)</f>
        <v>1.0800000000000001E-2</v>
      </c>
    </row>
    <row r="21" spans="1:34" ht="13.5" thickBot="1">
      <c r="A21" s="2651" t="s">
        <v>961</v>
      </c>
      <c r="B21" s="2679">
        <v>318</v>
      </c>
      <c r="C21" s="2679">
        <v>268</v>
      </c>
      <c r="D21" s="2679">
        <f t="shared" si="55"/>
        <v>268</v>
      </c>
      <c r="E21" s="2679">
        <v>437</v>
      </c>
      <c r="F21" s="2680">
        <v>237</v>
      </c>
      <c r="G21" s="3477">
        <v>2014</v>
      </c>
      <c r="H21" s="2671">
        <v>4</v>
      </c>
      <c r="I21" s="2671">
        <v>0.21</v>
      </c>
      <c r="J21" s="2671">
        <v>0.41</v>
      </c>
      <c r="K21" s="2671">
        <v>0.12</v>
      </c>
      <c r="L21" s="2672">
        <v>0.89</v>
      </c>
      <c r="N21" s="2660">
        <f t="shared" si="57"/>
        <v>2.0999999999999999E-3</v>
      </c>
      <c r="O21" s="2661">
        <f t="shared" si="53"/>
        <v>4.0999999999999995E-3</v>
      </c>
      <c r="P21" s="2661">
        <f t="shared" si="53"/>
        <v>1.1999999999999999E-3</v>
      </c>
      <c r="Q21" s="2661">
        <f t="shared" si="53"/>
        <v>8.8999999999999999E-3</v>
      </c>
      <c r="R21" s="2662"/>
      <c r="S21" s="2663"/>
      <c r="T21" s="2664"/>
      <c r="U21" s="2664"/>
      <c r="V21" s="2664"/>
      <c r="X21" s="2750">
        <f>ROUND(SUMPRODUCT(PRODUCT(1+N21:N$23)),4)</f>
        <v>1.0347</v>
      </c>
      <c r="Y21" s="2750">
        <f>ROUND(SUMPRODUCT(PRODUCT(1+O21:O$23)),4)</f>
        <v>1.0395000000000001</v>
      </c>
      <c r="Z21" s="2750">
        <f t="shared" si="0"/>
        <v>1.0395000000000001</v>
      </c>
      <c r="AA21" s="2750">
        <f>ROUND(SUMPRODUCT(PRODUCT(1+P21:P$23)),4)</f>
        <v>1.0338000000000001</v>
      </c>
      <c r="AB21" s="2750">
        <f>ROUND(SUMPRODUCT(PRODUCT(1+Q21:Q$23)),4)</f>
        <v>1.0316000000000001</v>
      </c>
      <c r="AD21" s="2670">
        <f>ROUND(AVERAGE(I21:I$24)/100,4)</f>
        <v>1.6E-2</v>
      </c>
      <c r="AE21" s="2670">
        <f>ROUND(AVERAGE(J21:J$24)/100,4)</f>
        <v>1.5599999999999999E-2</v>
      </c>
      <c r="AF21" s="2670">
        <f t="shared" si="1"/>
        <v>1.5599999999999999E-2</v>
      </c>
      <c r="AG21" s="2670">
        <f>ROUND(AVERAGE(K21:K$24)/100,4)</f>
        <v>1.66E-2</v>
      </c>
      <c r="AH21" s="2670">
        <f>ROUND(AVERAGE(L21:L$24)/100,4)</f>
        <v>1.12E-2</v>
      </c>
    </row>
    <row r="22" spans="1:34">
      <c r="A22" s="2651" t="s">
        <v>960</v>
      </c>
      <c r="B22" s="2665">
        <f t="shared" ref="B22:C24" si="60">B21/(1+N21)</f>
        <v>317.33359944117353</v>
      </c>
      <c r="C22" s="2665">
        <f t="shared" si="60"/>
        <v>266.90568668459315</v>
      </c>
      <c r="D22" s="2665">
        <f t="shared" si="55"/>
        <v>266.90568668459315</v>
      </c>
      <c r="E22" s="2665">
        <f t="shared" ref="E22:F24" si="61">E21/(1+P21)</f>
        <v>436.47622852576905</v>
      </c>
      <c r="F22" s="2665">
        <f t="shared" si="61"/>
        <v>234.90930716622066</v>
      </c>
      <c r="G22" s="3478"/>
      <c r="H22" s="2681">
        <v>3</v>
      </c>
      <c r="I22" s="2681">
        <v>0.83</v>
      </c>
      <c r="J22" s="2681">
        <v>1.47</v>
      </c>
      <c r="K22" s="2681">
        <v>0.65</v>
      </c>
      <c r="L22" s="2682">
        <v>0.72</v>
      </c>
      <c r="N22" s="2660">
        <f t="shared" si="57"/>
        <v>8.3000000000000001E-3</v>
      </c>
      <c r="O22" s="2661">
        <f t="shared" si="53"/>
        <v>1.47E-2</v>
      </c>
      <c r="P22" s="2661">
        <f t="shared" si="53"/>
        <v>6.5000000000000006E-3</v>
      </c>
      <c r="Q22" s="2661">
        <f t="shared" si="53"/>
        <v>7.1999999999999998E-3</v>
      </c>
      <c r="R22" s="2662"/>
      <c r="S22" s="2660"/>
      <c r="T22" s="2661"/>
      <c r="U22" s="2661"/>
      <c r="V22" s="2661"/>
      <c r="X22" s="2750">
        <f>ROUND(SUMPRODUCT(PRODUCT(1+N22:N$23)),4)</f>
        <v>1.0325</v>
      </c>
      <c r="Y22" s="2750">
        <f>ROUND(SUMPRODUCT(PRODUCT(1+O22:O$23)),4)</f>
        <v>1.0353000000000001</v>
      </c>
      <c r="Z22" s="2750">
        <f t="shared" ref="Z22:Z23" si="62">Y22</f>
        <v>1.0353000000000001</v>
      </c>
      <c r="AA22" s="2750">
        <f>ROUND(SUMPRODUCT(PRODUCT(1+P22:P$23)),4)</f>
        <v>1.0326</v>
      </c>
      <c r="AB22" s="2750">
        <f>ROUND(SUMPRODUCT(PRODUCT(1+Q22:Q$23)),4)</f>
        <v>1.0225</v>
      </c>
      <c r="AD22" s="2670">
        <f>ROUND(AVERAGE(I22:I$24)/100,4)</f>
        <v>2.07E-2</v>
      </c>
      <c r="AE22" s="2670">
        <f>ROUND(AVERAGE(J22:J$24)/100,4)</f>
        <v>1.95E-2</v>
      </c>
      <c r="AF22" s="2670">
        <f t="shared" si="1"/>
        <v>1.95E-2</v>
      </c>
      <c r="AG22" s="2670">
        <f>ROUND(AVERAGE(K22:K$24)/100,4)</f>
        <v>2.1700000000000001E-2</v>
      </c>
      <c r="AH22" s="2670">
        <f>ROUND(AVERAGE(L22:L$24)/100,4)</f>
        <v>1.2E-2</v>
      </c>
    </row>
    <row r="23" spans="1:34" ht="13.5" thickBot="1">
      <c r="A23" s="2651" t="s">
        <v>959</v>
      </c>
      <c r="B23" s="2665">
        <f t="shared" si="60"/>
        <v>314.72141172386546</v>
      </c>
      <c r="C23" s="2665">
        <f t="shared" si="60"/>
        <v>263.03901319069001</v>
      </c>
      <c r="D23" s="2665">
        <f t="shared" si="55"/>
        <v>263.03901319069001</v>
      </c>
      <c r="E23" s="2665">
        <f t="shared" si="61"/>
        <v>433.65745506782821</v>
      </c>
      <c r="F23" s="2665">
        <f t="shared" si="61"/>
        <v>233.23005080045735</v>
      </c>
      <c r="G23" s="3478"/>
      <c r="H23" s="2671">
        <v>2</v>
      </c>
      <c r="I23" s="2671">
        <v>2.4</v>
      </c>
      <c r="J23" s="2671">
        <v>2.0299999999999998</v>
      </c>
      <c r="K23" s="2671">
        <v>2.59</v>
      </c>
      <c r="L23" s="2672">
        <v>1.52</v>
      </c>
      <c r="N23" s="2660">
        <f t="shared" si="57"/>
        <v>2.4E-2</v>
      </c>
      <c r="O23" s="2661">
        <f t="shared" si="53"/>
        <v>2.0299999999999999E-2</v>
      </c>
      <c r="P23" s="2661">
        <f t="shared" si="53"/>
        <v>2.5899999999999999E-2</v>
      </c>
      <c r="Q23" s="2661">
        <f t="shared" si="53"/>
        <v>1.52E-2</v>
      </c>
      <c r="R23" s="2662"/>
      <c r="S23" s="2660"/>
      <c r="T23" s="2661"/>
      <c r="U23" s="2661"/>
      <c r="V23" s="2661"/>
      <c r="X23" s="2750">
        <f>1+N23</f>
        <v>1.024</v>
      </c>
      <c r="Y23" s="2750">
        <f>1+O23</f>
        <v>1.0203</v>
      </c>
      <c r="Z23" s="2750">
        <f t="shared" si="62"/>
        <v>1.0203</v>
      </c>
      <c r="AA23" s="2750">
        <f>1+P23</f>
        <v>1.0259</v>
      </c>
      <c r="AB23" s="2750">
        <f>1+Q23</f>
        <v>1.0152000000000001</v>
      </c>
      <c r="AD23" s="2670">
        <f>ROUND(AVERAGE(I23:I$24)/100,4)</f>
        <v>2.69E-2</v>
      </c>
      <c r="AE23" s="2670">
        <f>ROUND(AVERAGE(J23:J$24)/100,4)</f>
        <v>2.1899999999999999E-2</v>
      </c>
      <c r="AF23" s="2670">
        <f t="shared" ref="AF23" si="63">AE23</f>
        <v>2.1899999999999999E-2</v>
      </c>
      <c r="AG23" s="2670">
        <f>ROUND(AVERAGE(K23:K$24)/100,4)</f>
        <v>2.9399999999999999E-2</v>
      </c>
      <c r="AH23" s="2670">
        <f>ROUND(AVERAGE(L23:L$24)/100,4)</f>
        <v>1.44E-2</v>
      </c>
    </row>
    <row r="24" spans="1:34" s="2687" customFormat="1" ht="13.5" thickBot="1">
      <c r="A24" s="2683" t="s">
        <v>958</v>
      </c>
      <c r="B24" s="2684">
        <f t="shared" si="60"/>
        <v>307.34512863658733</v>
      </c>
      <c r="C24" s="2684">
        <f t="shared" si="60"/>
        <v>257.80556031626975</v>
      </c>
      <c r="D24" s="2684">
        <f t="shared" si="55"/>
        <v>257.80556031626975</v>
      </c>
      <c r="E24" s="2684">
        <f t="shared" si="61"/>
        <v>422.70928459677179</v>
      </c>
      <c r="F24" s="2684">
        <f t="shared" si="61"/>
        <v>229.73803270336617</v>
      </c>
      <c r="G24" s="3479"/>
      <c r="H24" s="2685">
        <v>1</v>
      </c>
      <c r="I24" s="2685">
        <v>2.97</v>
      </c>
      <c r="J24" s="2685">
        <v>2.34</v>
      </c>
      <c r="K24" s="2685">
        <v>3.28</v>
      </c>
      <c r="L24" s="2686">
        <v>1.36</v>
      </c>
      <c r="N24" s="2688">
        <f t="shared" si="57"/>
        <v>2.9700000000000001E-2</v>
      </c>
      <c r="O24" s="2689">
        <f t="shared" si="53"/>
        <v>2.3399999999999997E-2</v>
      </c>
      <c r="P24" s="2689">
        <f t="shared" si="53"/>
        <v>3.2799999999999996E-2</v>
      </c>
      <c r="Q24" s="2689">
        <f t="shared" si="53"/>
        <v>1.3600000000000001E-2</v>
      </c>
      <c r="R24" s="2690"/>
      <c r="S24" s="2691">
        <f>B24/B25-1</f>
        <v>2.7910129219355539E-2</v>
      </c>
      <c r="T24" s="2692">
        <f>C24/C25-1</f>
        <v>2.3037937762975247E-2</v>
      </c>
      <c r="U24" s="2692">
        <f>E24/E25-1</f>
        <v>3.3519033243940788E-2</v>
      </c>
      <c r="V24" s="2692">
        <f>F24/F25-1</f>
        <v>1.2061818076502862E-2</v>
      </c>
      <c r="W24" s="2759" t="s">
        <v>2632</v>
      </c>
      <c r="X24" s="2761">
        <v>1</v>
      </c>
      <c r="Y24" s="2761">
        <v>1</v>
      </c>
      <c r="Z24" s="2761">
        <v>1</v>
      </c>
      <c r="AA24" s="2761">
        <v>1</v>
      </c>
      <c r="AB24" s="2761">
        <v>1</v>
      </c>
      <c r="AD24" s="3005">
        <f>I24/100</f>
        <v>2.9700000000000001E-2</v>
      </c>
      <c r="AE24" s="3005">
        <f>J24/100</f>
        <v>2.3399999999999997E-2</v>
      </c>
      <c r="AF24" s="3005">
        <f>AE24</f>
        <v>2.3399999999999997E-2</v>
      </c>
      <c r="AG24" s="3005">
        <f>K24/100</f>
        <v>3.2799999999999996E-2</v>
      </c>
      <c r="AH24" s="3005">
        <f>L24/100</f>
        <v>1.3600000000000001E-2</v>
      </c>
    </row>
    <row r="25" spans="1:34" ht="13.5" thickBot="1">
      <c r="A25" s="2651" t="s">
        <v>2575</v>
      </c>
      <c r="B25" s="2657">
        <v>299</v>
      </c>
      <c r="C25" s="2657">
        <v>252</v>
      </c>
      <c r="D25" s="2657">
        <f t="shared" si="55"/>
        <v>252</v>
      </c>
      <c r="E25" s="2657">
        <v>409</v>
      </c>
      <c r="F25" s="2658">
        <v>227</v>
      </c>
      <c r="G25" s="3484">
        <v>2013</v>
      </c>
      <c r="H25" s="2693">
        <v>4</v>
      </c>
      <c r="I25" s="2693">
        <v>1.83</v>
      </c>
      <c r="J25" s="2693">
        <v>1.68</v>
      </c>
      <c r="K25" s="2693">
        <v>1.97</v>
      </c>
      <c r="L25" s="2694">
        <v>0.87</v>
      </c>
      <c r="N25" s="2673">
        <f t="shared" si="57"/>
        <v>1.83E-2</v>
      </c>
      <c r="O25" s="2674">
        <f t="shared" si="53"/>
        <v>1.6799999999999999E-2</v>
      </c>
      <c r="P25" s="2674">
        <f t="shared" si="53"/>
        <v>1.9699999999999999E-2</v>
      </c>
      <c r="Q25" s="2674">
        <f t="shared" si="53"/>
        <v>8.6999999999999994E-3</v>
      </c>
      <c r="R25" s="2662"/>
      <c r="S25" s="2663"/>
      <c r="T25" s="2664"/>
      <c r="U25" s="2664"/>
      <c r="V25" s="2664"/>
      <c r="X25" s="2664"/>
      <c r="Y25" s="2664"/>
      <c r="Z25" s="2664"/>
    </row>
    <row r="26" spans="1:34">
      <c r="A26" s="2651" t="s">
        <v>2576</v>
      </c>
      <c r="B26" s="2665">
        <f t="shared" ref="B26:C28" si="64">B25/(1+N25)</f>
        <v>293.62663262299913</v>
      </c>
      <c r="C26" s="2665">
        <f t="shared" si="64"/>
        <v>247.83634933123525</v>
      </c>
      <c r="D26" s="2665">
        <f t="shared" si="55"/>
        <v>247.83634933123525</v>
      </c>
      <c r="E26" s="2665">
        <f t="shared" ref="E26:F28" si="65">E25/(1+P25)</f>
        <v>401.09836226341076</v>
      </c>
      <c r="F26" s="2665">
        <f t="shared" si="65"/>
        <v>225.04213343908003</v>
      </c>
      <c r="G26" s="3485"/>
      <c r="H26" s="2676">
        <v>3</v>
      </c>
      <c r="I26" s="2676">
        <v>1.86</v>
      </c>
      <c r="J26" s="2676">
        <v>1.72</v>
      </c>
      <c r="K26" s="2676">
        <v>1.98</v>
      </c>
      <c r="L26" s="2677">
        <v>0.88</v>
      </c>
      <c r="N26" s="2660">
        <f t="shared" si="57"/>
        <v>1.8600000000000002E-2</v>
      </c>
      <c r="O26" s="2678">
        <f t="shared" si="53"/>
        <v>1.72E-2</v>
      </c>
      <c r="P26" s="2678">
        <f t="shared" si="53"/>
        <v>1.9799999999999998E-2</v>
      </c>
      <c r="Q26" s="2678">
        <f t="shared" si="53"/>
        <v>8.8000000000000005E-3</v>
      </c>
      <c r="R26" s="2662"/>
      <c r="S26" s="2660"/>
      <c r="T26" s="2661"/>
      <c r="U26" s="2661"/>
      <c r="V26" s="2661"/>
    </row>
    <row r="27" spans="1:34">
      <c r="A27" s="2651" t="s">
        <v>2577</v>
      </c>
      <c r="B27" s="2665">
        <f t="shared" si="64"/>
        <v>288.2649053828776</v>
      </c>
      <c r="C27" s="2665">
        <f t="shared" si="64"/>
        <v>243.64564425013293</v>
      </c>
      <c r="D27" s="2665">
        <f t="shared" si="55"/>
        <v>243.64564425013293</v>
      </c>
      <c r="E27" s="2665">
        <f t="shared" si="65"/>
        <v>393.31080825986544</v>
      </c>
      <c r="F27" s="2665">
        <f t="shared" si="65"/>
        <v>223.07903790551154</v>
      </c>
      <c r="G27" s="3485"/>
      <c r="H27" s="2656">
        <v>2</v>
      </c>
      <c r="I27" s="2656">
        <v>2.04</v>
      </c>
      <c r="J27" s="2656">
        <v>2.33</v>
      </c>
      <c r="K27" s="2656">
        <v>2.0699999999999998</v>
      </c>
      <c r="L27" s="2667">
        <v>0.69</v>
      </c>
      <c r="N27" s="2660">
        <f t="shared" si="57"/>
        <v>2.0400000000000001E-2</v>
      </c>
      <c r="O27" s="2678">
        <f t="shared" si="53"/>
        <v>2.3300000000000001E-2</v>
      </c>
      <c r="P27" s="2678">
        <f t="shared" si="53"/>
        <v>2.07E-2</v>
      </c>
      <c r="Q27" s="2678">
        <f t="shared" si="53"/>
        <v>6.8999999999999999E-3</v>
      </c>
      <c r="R27" s="2662"/>
      <c r="S27" s="2660"/>
      <c r="T27" s="2661"/>
      <c r="U27" s="2661"/>
      <c r="V27" s="2661"/>
      <c r="X27" s="2762"/>
      <c r="Y27" s="2764"/>
    </row>
    <row r="28" spans="1:34">
      <c r="A28" s="2651" t="s">
        <v>2578</v>
      </c>
      <c r="B28" s="2665">
        <f t="shared" si="64"/>
        <v>282.50186729015837</v>
      </c>
      <c r="C28" s="2665">
        <f t="shared" si="64"/>
        <v>238.09796174155468</v>
      </c>
      <c r="D28" s="2665">
        <f t="shared" si="55"/>
        <v>238.09796174155468</v>
      </c>
      <c r="E28" s="2665">
        <f t="shared" si="65"/>
        <v>385.33438646014054</v>
      </c>
      <c r="F28" s="2665">
        <f t="shared" si="65"/>
        <v>221.55034055567739</v>
      </c>
      <c r="G28" s="3486"/>
      <c r="H28" s="2655">
        <v>1</v>
      </c>
      <c r="I28" s="2655">
        <v>1.67</v>
      </c>
      <c r="J28" s="2655">
        <v>1.31</v>
      </c>
      <c r="K28" s="2655">
        <v>1.85</v>
      </c>
      <c r="L28" s="2666">
        <v>0.96</v>
      </c>
      <c r="N28" s="2668">
        <f t="shared" si="57"/>
        <v>1.67E-2</v>
      </c>
      <c r="O28" s="2669">
        <f t="shared" si="53"/>
        <v>1.3100000000000001E-2</v>
      </c>
      <c r="P28" s="2669">
        <f t="shared" si="53"/>
        <v>1.8500000000000003E-2</v>
      </c>
      <c r="Q28" s="2669">
        <f t="shared" si="53"/>
        <v>9.5999999999999992E-3</v>
      </c>
      <c r="R28" s="2662"/>
      <c r="S28" s="2668">
        <f>B28/B29-1</f>
        <v>1.6193767230785472E-2</v>
      </c>
      <c r="T28" s="2669">
        <f>C28/C29-1</f>
        <v>1.7512657015190891E-2</v>
      </c>
      <c r="U28" s="2669">
        <f>E28/E29-1</f>
        <v>1.6713420739157048E-2</v>
      </c>
      <c r="V28" s="2669">
        <f>F28/F29-1</f>
        <v>7.0470025258062563E-3</v>
      </c>
      <c r="X28" s="2763"/>
      <c r="Y28" s="2670"/>
      <c r="Z28" s="2670"/>
    </row>
    <row r="29" spans="1:34" ht="13.5" thickBot="1">
      <c r="A29" s="2651" t="s">
        <v>2579</v>
      </c>
      <c r="B29" s="2695">
        <v>278</v>
      </c>
      <c r="C29" s="2695">
        <v>234</v>
      </c>
      <c r="D29" s="2695">
        <f t="shared" si="55"/>
        <v>234</v>
      </c>
      <c r="E29" s="2695">
        <v>379</v>
      </c>
      <c r="F29" s="2696">
        <v>220</v>
      </c>
      <c r="G29" s="3477">
        <v>2012</v>
      </c>
      <c r="H29" s="2671">
        <v>4</v>
      </c>
      <c r="I29" s="2671">
        <v>0.91</v>
      </c>
      <c r="J29" s="2671">
        <v>0.68</v>
      </c>
      <c r="K29" s="2671">
        <v>0.98</v>
      </c>
      <c r="L29" s="2672">
        <v>0.9</v>
      </c>
      <c r="N29" s="2660">
        <f t="shared" si="57"/>
        <v>9.1000000000000004E-3</v>
      </c>
      <c r="O29" s="2661">
        <f t="shared" si="57"/>
        <v>6.8000000000000005E-3</v>
      </c>
      <c r="P29" s="2661">
        <f t="shared" si="57"/>
        <v>9.7999999999999997E-3</v>
      </c>
      <c r="Q29" s="2661">
        <f t="shared" si="57"/>
        <v>9.0000000000000011E-3</v>
      </c>
      <c r="R29" s="2662"/>
      <c r="S29" s="2663"/>
      <c r="T29" s="2664"/>
      <c r="U29" s="2664"/>
      <c r="V29" s="2664"/>
      <c r="X29" s="2664"/>
      <c r="Y29" s="2664"/>
      <c r="Z29" s="2664"/>
    </row>
    <row r="30" spans="1:34">
      <c r="A30" s="2651" t="s">
        <v>2580</v>
      </c>
      <c r="B30" s="2665">
        <f>B29/(1+N29)</f>
        <v>275.49301357645425</v>
      </c>
      <c r="C30" s="2665">
        <f>C29/(1+O29)</f>
        <v>232.41954707985698</v>
      </c>
      <c r="D30" s="2665">
        <f t="shared" si="55"/>
        <v>232.41954707985698</v>
      </c>
      <c r="E30" s="2665">
        <f t="shared" ref="E30:F32" si="66">E29/(1+P29)</f>
        <v>375.32184591008121</v>
      </c>
      <c r="F30" s="2665">
        <f t="shared" si="66"/>
        <v>218.03766105054513</v>
      </c>
      <c r="G30" s="3478"/>
      <c r="H30" s="2676">
        <v>3</v>
      </c>
      <c r="I30" s="2676">
        <v>0.09</v>
      </c>
      <c r="J30" s="2676">
        <v>0.28999999999999998</v>
      </c>
      <c r="K30" s="2676">
        <v>-0.01</v>
      </c>
      <c r="L30" s="2677">
        <v>0.57999999999999996</v>
      </c>
      <c r="N30" s="2660">
        <f t="shared" si="57"/>
        <v>8.9999999999999998E-4</v>
      </c>
      <c r="O30" s="2661">
        <f t="shared" si="57"/>
        <v>2.8999999999999998E-3</v>
      </c>
      <c r="P30" s="2661">
        <f t="shared" si="57"/>
        <v>-1E-4</v>
      </c>
      <c r="Q30" s="2661">
        <f t="shared" si="57"/>
        <v>5.7999999999999996E-3</v>
      </c>
      <c r="R30" s="2662"/>
      <c r="S30" s="2660"/>
      <c r="T30" s="2661"/>
      <c r="U30" s="2661"/>
      <c r="V30" s="2661"/>
    </row>
    <row r="31" spans="1:34">
      <c r="A31" s="2651" t="s">
        <v>2581</v>
      </c>
      <c r="B31" s="2665">
        <f>B30/(1+N30)</f>
        <v>275.24529281292263</v>
      </c>
      <c r="C31" s="2665">
        <f>C30/(1+O30)</f>
        <v>231.74747938962707</v>
      </c>
      <c r="D31" s="2665">
        <f t="shared" si="55"/>
        <v>231.74747938962707</v>
      </c>
      <c r="E31" s="2665">
        <f t="shared" si="66"/>
        <v>375.35938184826603</v>
      </c>
      <c r="F31" s="2665">
        <f t="shared" si="66"/>
        <v>216.78033510692495</v>
      </c>
      <c r="G31" s="3478"/>
      <c r="H31" s="2656">
        <v>2</v>
      </c>
      <c r="I31" s="2656">
        <v>0.02</v>
      </c>
      <c r="J31" s="2656">
        <v>0.12</v>
      </c>
      <c r="K31" s="2656">
        <v>-0.08</v>
      </c>
      <c r="L31" s="2667">
        <v>1.24</v>
      </c>
      <c r="N31" s="2660">
        <f t="shared" si="57"/>
        <v>2.0000000000000001E-4</v>
      </c>
      <c r="O31" s="2661">
        <f t="shared" si="57"/>
        <v>1.1999999999999999E-3</v>
      </c>
      <c r="P31" s="2661">
        <f t="shared" si="57"/>
        <v>-8.0000000000000004E-4</v>
      </c>
      <c r="Q31" s="2661">
        <f t="shared" si="57"/>
        <v>1.24E-2</v>
      </c>
      <c r="R31" s="2662"/>
      <c r="S31" s="2660"/>
      <c r="T31" s="2661"/>
      <c r="U31" s="2661"/>
      <c r="V31" s="2661"/>
    </row>
    <row r="32" spans="1:34" ht="13.5" thickBot="1">
      <c r="A32" s="2651" t="s">
        <v>2582</v>
      </c>
      <c r="B32" s="2665">
        <f>B31/(1+N31)</f>
        <v>275.19025476197027</v>
      </c>
      <c r="C32" s="2697">
        <v>232</v>
      </c>
      <c r="D32" s="2697">
        <f t="shared" si="55"/>
        <v>232</v>
      </c>
      <c r="E32" s="2665">
        <f t="shared" si="66"/>
        <v>375.65990977608692</v>
      </c>
      <c r="F32" s="2665">
        <f t="shared" si="66"/>
        <v>214.12518283971252</v>
      </c>
      <c r="G32" s="3479"/>
      <c r="H32" s="2655">
        <v>1</v>
      </c>
      <c r="I32" s="2655">
        <v>0.02</v>
      </c>
      <c r="J32" s="2655">
        <v>0.13</v>
      </c>
      <c r="K32" s="2655">
        <v>-0.04</v>
      </c>
      <c r="L32" s="2666">
        <v>0.46</v>
      </c>
      <c r="N32" s="2660">
        <f t="shared" si="57"/>
        <v>2.0000000000000001E-4</v>
      </c>
      <c r="O32" s="2661">
        <f t="shared" si="57"/>
        <v>1.2999999999999999E-3</v>
      </c>
      <c r="P32" s="2661">
        <f t="shared" si="57"/>
        <v>-4.0000000000000002E-4</v>
      </c>
      <c r="Q32" s="2661">
        <f t="shared" si="57"/>
        <v>4.5999999999999999E-3</v>
      </c>
      <c r="R32" s="2662"/>
      <c r="S32" s="2668">
        <f>B32/B33-1</f>
        <v>6.9183549807361189E-4</v>
      </c>
      <c r="T32" s="2669">
        <f>C32/C33-1</f>
        <v>0</v>
      </c>
      <c r="U32" s="2669">
        <f>E32/E33-1</f>
        <v>-9.0449527636460303E-4</v>
      </c>
      <c r="V32" s="2669">
        <f>F32/F33-1</f>
        <v>5.2825485432512753E-3</v>
      </c>
      <c r="X32" s="2670"/>
      <c r="Y32" s="2670"/>
      <c r="Z32" s="2670"/>
    </row>
    <row r="33" spans="1:26" ht="13.5" thickBot="1">
      <c r="A33" s="2651" t="s">
        <v>2583</v>
      </c>
      <c r="B33" s="2657">
        <v>275</v>
      </c>
      <c r="C33" s="2657">
        <v>232</v>
      </c>
      <c r="D33" s="2657">
        <f t="shared" si="55"/>
        <v>232</v>
      </c>
      <c r="E33" s="2657">
        <v>376</v>
      </c>
      <c r="F33" s="2658">
        <v>213</v>
      </c>
      <c r="G33" s="3477">
        <v>2011</v>
      </c>
      <c r="H33" s="2671">
        <v>4</v>
      </c>
      <c r="I33" s="2671">
        <v>-0.2</v>
      </c>
      <c r="J33" s="2671">
        <v>0.04</v>
      </c>
      <c r="K33" s="2671">
        <v>-0.34</v>
      </c>
      <c r="L33" s="2672">
        <v>0.46</v>
      </c>
      <c r="N33" s="2673">
        <f t="shared" si="57"/>
        <v>-2E-3</v>
      </c>
      <c r="O33" s="2674">
        <f t="shared" si="57"/>
        <v>4.0000000000000002E-4</v>
      </c>
      <c r="P33" s="2674">
        <f t="shared" si="57"/>
        <v>-3.4000000000000002E-3</v>
      </c>
      <c r="Q33" s="2674">
        <f t="shared" si="57"/>
        <v>4.5999999999999999E-3</v>
      </c>
      <c r="R33" s="2662"/>
      <c r="S33" s="2663"/>
      <c r="T33" s="2664"/>
      <c r="U33" s="2664"/>
      <c r="V33" s="2664"/>
      <c r="X33" s="2664"/>
      <c r="Y33" s="2664"/>
      <c r="Z33" s="2664"/>
    </row>
    <row r="34" spans="1:26">
      <c r="A34" s="2651" t="s">
        <v>2584</v>
      </c>
      <c r="B34" s="2665">
        <f t="shared" ref="B34:C36" si="67">B33/(1+N33)</f>
        <v>275.55110220440883</v>
      </c>
      <c r="C34" s="2665">
        <f t="shared" si="67"/>
        <v>231.90723710515795</v>
      </c>
      <c r="D34" s="2665">
        <f t="shared" si="55"/>
        <v>231.90723710515795</v>
      </c>
      <c r="E34" s="2665">
        <f t="shared" ref="E34:F36" si="68">E33/(1+P33)</f>
        <v>377.28276138872161</v>
      </c>
      <c r="F34" s="2665">
        <f t="shared" si="68"/>
        <v>212.02468644236512</v>
      </c>
      <c r="G34" s="3478">
        <v>2011</v>
      </c>
      <c r="H34" s="2676">
        <v>3</v>
      </c>
      <c r="I34" s="2676">
        <v>0.13</v>
      </c>
      <c r="J34" s="2676">
        <v>0.75</v>
      </c>
      <c r="K34" s="2676">
        <v>-0.08</v>
      </c>
      <c r="L34" s="2677">
        <v>0.53</v>
      </c>
      <c r="N34" s="2660">
        <f t="shared" si="57"/>
        <v>1.2999999999999999E-3</v>
      </c>
      <c r="O34" s="2678">
        <f t="shared" si="57"/>
        <v>7.4999999999999997E-3</v>
      </c>
      <c r="P34" s="2678">
        <f t="shared" si="57"/>
        <v>-8.0000000000000004E-4</v>
      </c>
      <c r="Q34" s="2678">
        <f t="shared" si="57"/>
        <v>5.3E-3</v>
      </c>
      <c r="R34" s="2662"/>
      <c r="S34" s="2660"/>
      <c r="T34" s="2661"/>
      <c r="U34" s="2661"/>
      <c r="V34" s="2661"/>
    </row>
    <row r="35" spans="1:26">
      <c r="A35" s="2651" t="s">
        <v>2585</v>
      </c>
      <c r="B35" s="2665">
        <f t="shared" si="67"/>
        <v>275.19335084830601</v>
      </c>
      <c r="C35" s="2665">
        <f t="shared" si="67"/>
        <v>230.18088050139744</v>
      </c>
      <c r="D35" s="2665">
        <f t="shared" si="55"/>
        <v>230.18088050139744</v>
      </c>
      <c r="E35" s="2665">
        <f t="shared" si="68"/>
        <v>377.58482925212331</v>
      </c>
      <c r="F35" s="2665">
        <f t="shared" si="68"/>
        <v>210.90687997847917</v>
      </c>
      <c r="G35" s="3478">
        <v>2011</v>
      </c>
      <c r="H35" s="2656">
        <v>2</v>
      </c>
      <c r="I35" s="2656">
        <v>-0.4</v>
      </c>
      <c r="J35" s="2656">
        <v>0.17</v>
      </c>
      <c r="K35" s="2656">
        <v>-0.57999999999999996</v>
      </c>
      <c r="L35" s="2667">
        <v>-0.2</v>
      </c>
      <c r="N35" s="2660">
        <f t="shared" si="57"/>
        <v>-4.0000000000000001E-3</v>
      </c>
      <c r="O35" s="2678">
        <f t="shared" si="57"/>
        <v>1.7000000000000001E-3</v>
      </c>
      <c r="P35" s="2678">
        <f t="shared" si="57"/>
        <v>-5.7999999999999996E-3</v>
      </c>
      <c r="Q35" s="2678">
        <f t="shared" si="57"/>
        <v>-2E-3</v>
      </c>
      <c r="R35" s="2662"/>
      <c r="S35" s="2660"/>
      <c r="T35" s="2661"/>
      <c r="U35" s="2661"/>
      <c r="V35" s="2661"/>
    </row>
    <row r="36" spans="1:26" ht="13.5" thickBot="1">
      <c r="A36" s="2651" t="s">
        <v>2586</v>
      </c>
      <c r="B36" s="2665">
        <f t="shared" si="67"/>
        <v>276.29854502841971</v>
      </c>
      <c r="C36" s="2665">
        <f t="shared" si="67"/>
        <v>229.79023709833027</v>
      </c>
      <c r="D36" s="2665">
        <f t="shared" si="55"/>
        <v>229.79023709833027</v>
      </c>
      <c r="E36" s="2665">
        <f t="shared" si="68"/>
        <v>379.78759731655936</v>
      </c>
      <c r="F36" s="2665">
        <f t="shared" si="68"/>
        <v>211.32953905659235</v>
      </c>
      <c r="G36" s="3479">
        <v>2011</v>
      </c>
      <c r="H36" s="2655">
        <v>1</v>
      </c>
      <c r="I36" s="2655">
        <v>2.65</v>
      </c>
      <c r="J36" s="2655">
        <v>3.76</v>
      </c>
      <c r="K36" s="2655">
        <v>1.89</v>
      </c>
      <c r="L36" s="2666">
        <v>7.95</v>
      </c>
      <c r="N36" s="2668">
        <f t="shared" si="57"/>
        <v>2.6499999999999999E-2</v>
      </c>
      <c r="O36" s="2669">
        <f t="shared" si="57"/>
        <v>3.7599999999999995E-2</v>
      </c>
      <c r="P36" s="2669">
        <f t="shared" si="57"/>
        <v>1.89E-2</v>
      </c>
      <c r="Q36" s="2669">
        <f t="shared" si="57"/>
        <v>7.9500000000000001E-2</v>
      </c>
      <c r="R36" s="2662"/>
      <c r="S36" s="2668">
        <f>B36/B37-1</f>
        <v>2.713213765211786E-2</v>
      </c>
      <c r="T36" s="2669">
        <f>C36/C37-1</f>
        <v>3.9774828499231862E-2</v>
      </c>
      <c r="U36" s="2669">
        <f>E36/E37-1</f>
        <v>1.8197311840641772E-2</v>
      </c>
      <c r="V36" s="2669">
        <f>F36/F37-1</f>
        <v>7.8211933962205826E-2</v>
      </c>
      <c r="X36" s="2670"/>
      <c r="Y36" s="2670"/>
      <c r="Z36" s="2670"/>
    </row>
    <row r="37" spans="1:26" ht="13.5" thickBot="1">
      <c r="A37" s="2651" t="s">
        <v>2587</v>
      </c>
      <c r="B37" s="2657">
        <v>269</v>
      </c>
      <c r="C37" s="2657">
        <v>221</v>
      </c>
      <c r="D37" s="2657">
        <f t="shared" si="55"/>
        <v>221</v>
      </c>
      <c r="E37" s="2657">
        <v>373</v>
      </c>
      <c r="F37" s="2658">
        <v>196</v>
      </c>
      <c r="G37" s="3477">
        <v>2010</v>
      </c>
      <c r="H37" s="2671">
        <v>4</v>
      </c>
      <c r="I37" s="2671">
        <v>5.72</v>
      </c>
      <c r="J37" s="2671">
        <v>6.57</v>
      </c>
      <c r="K37" s="2671">
        <v>5.72</v>
      </c>
      <c r="L37" s="2672">
        <v>2.72</v>
      </c>
      <c r="N37" s="2660">
        <f t="shared" si="57"/>
        <v>5.7200000000000001E-2</v>
      </c>
      <c r="O37" s="2661">
        <f t="shared" si="57"/>
        <v>6.5700000000000008E-2</v>
      </c>
      <c r="P37" s="2661">
        <f t="shared" si="57"/>
        <v>5.7200000000000001E-2</v>
      </c>
      <c r="Q37" s="2661">
        <f t="shared" si="57"/>
        <v>2.7200000000000002E-2</v>
      </c>
      <c r="R37" s="2662"/>
      <c r="S37" s="2663"/>
      <c r="T37" s="2664"/>
      <c r="U37" s="2664"/>
      <c r="V37" s="2664"/>
      <c r="X37" s="2664"/>
      <c r="Y37" s="2664"/>
      <c r="Z37" s="2664"/>
    </row>
    <row r="38" spans="1:26">
      <c r="A38" s="2651" t="s">
        <v>2588</v>
      </c>
      <c r="B38" s="2665">
        <f t="shared" ref="B38:C40" si="69">B37/(1+N37)</f>
        <v>254.44570563753314</v>
      </c>
      <c r="C38" s="2665">
        <f t="shared" si="69"/>
        <v>207.37543398705074</v>
      </c>
      <c r="D38" s="2665">
        <f t="shared" si="55"/>
        <v>207.37543398705074</v>
      </c>
      <c r="E38" s="2665">
        <f t="shared" ref="E38:F40" si="70">E37/(1+P37)</f>
        <v>352.81876655315932</v>
      </c>
      <c r="F38" s="2665">
        <f t="shared" si="70"/>
        <v>190.809968847352</v>
      </c>
      <c r="G38" s="3478">
        <v>2010</v>
      </c>
      <c r="H38" s="2676">
        <v>3</v>
      </c>
      <c r="I38" s="2676">
        <v>4.7300000000000004</v>
      </c>
      <c r="J38" s="2676">
        <v>3.9</v>
      </c>
      <c r="K38" s="2676">
        <v>5.03</v>
      </c>
      <c r="L38" s="2677">
        <v>4.21</v>
      </c>
      <c r="N38" s="2660">
        <f t="shared" si="57"/>
        <v>4.7300000000000002E-2</v>
      </c>
      <c r="O38" s="2661">
        <f t="shared" si="57"/>
        <v>3.9E-2</v>
      </c>
      <c r="P38" s="2661">
        <f t="shared" si="57"/>
        <v>5.0300000000000004E-2</v>
      </c>
      <c r="Q38" s="2661">
        <f t="shared" si="57"/>
        <v>4.2099999999999999E-2</v>
      </c>
      <c r="R38" s="2662"/>
      <c r="S38" s="2660"/>
      <c r="T38" s="2661"/>
      <c r="U38" s="2661"/>
      <c r="V38" s="2661"/>
    </row>
    <row r="39" spans="1:26">
      <c r="A39" s="2651" t="s">
        <v>2589</v>
      </c>
      <c r="B39" s="2665">
        <f t="shared" si="69"/>
        <v>242.95398227588385</v>
      </c>
      <c r="C39" s="2665">
        <f t="shared" si="69"/>
        <v>199.59137053614126</v>
      </c>
      <c r="D39" s="2665">
        <f t="shared" si="55"/>
        <v>199.59137053614126</v>
      </c>
      <c r="E39" s="2665">
        <f t="shared" si="70"/>
        <v>335.92189522342125</v>
      </c>
      <c r="F39" s="2665">
        <f t="shared" si="70"/>
        <v>183.10139991109489</v>
      </c>
      <c r="G39" s="3478">
        <v>2010</v>
      </c>
      <c r="H39" s="2656">
        <v>2</v>
      </c>
      <c r="I39" s="2656">
        <v>4.6900000000000004</v>
      </c>
      <c r="J39" s="2656">
        <v>3.55</v>
      </c>
      <c r="K39" s="2656">
        <v>5.07</v>
      </c>
      <c r="L39" s="2667">
        <v>4.2300000000000004</v>
      </c>
      <c r="N39" s="2660">
        <f t="shared" si="57"/>
        <v>4.6900000000000004E-2</v>
      </c>
      <c r="O39" s="2661">
        <f t="shared" si="57"/>
        <v>3.5499999999999997E-2</v>
      </c>
      <c r="P39" s="2661">
        <f t="shared" si="57"/>
        <v>5.0700000000000002E-2</v>
      </c>
      <c r="Q39" s="2661">
        <f t="shared" si="57"/>
        <v>4.2300000000000004E-2</v>
      </c>
      <c r="R39" s="2662"/>
      <c r="S39" s="2660"/>
      <c r="T39" s="2661"/>
      <c r="U39" s="2661"/>
      <c r="V39" s="2661"/>
    </row>
    <row r="40" spans="1:26" ht="13.5" thickBot="1">
      <c r="A40" s="2651" t="s">
        <v>2590</v>
      </c>
      <c r="B40" s="2665">
        <f t="shared" si="69"/>
        <v>232.06990378821649</v>
      </c>
      <c r="C40" s="2665">
        <f t="shared" si="69"/>
        <v>192.74878854286936</v>
      </c>
      <c r="D40" s="2665">
        <f t="shared" si="55"/>
        <v>192.74878854286936</v>
      </c>
      <c r="E40" s="2665">
        <f t="shared" si="70"/>
        <v>319.71247284992984</v>
      </c>
      <c r="F40" s="2665">
        <f t="shared" si="70"/>
        <v>175.67053622862409</v>
      </c>
      <c r="G40" s="3479">
        <v>2010</v>
      </c>
      <c r="H40" s="2655">
        <v>1</v>
      </c>
      <c r="I40" s="2655">
        <v>5.4</v>
      </c>
      <c r="J40" s="2655">
        <v>3.2</v>
      </c>
      <c r="K40" s="2655">
        <v>6.16</v>
      </c>
      <c r="L40" s="2666">
        <v>4.51</v>
      </c>
      <c r="N40" s="2660">
        <f t="shared" si="57"/>
        <v>5.4000000000000006E-2</v>
      </c>
      <c r="O40" s="2661">
        <f t="shared" si="57"/>
        <v>3.2000000000000001E-2</v>
      </c>
      <c r="P40" s="2661">
        <f t="shared" si="57"/>
        <v>6.1600000000000002E-2</v>
      </c>
      <c r="Q40" s="2661">
        <f t="shared" si="57"/>
        <v>4.5100000000000001E-2</v>
      </c>
      <c r="R40" s="2662"/>
      <c r="S40" s="2668">
        <f>B40/B41-1</f>
        <v>5.4863199037347599E-2</v>
      </c>
      <c r="T40" s="2669">
        <f>C40/C41-1</f>
        <v>3.0742184721226584E-2</v>
      </c>
      <c r="U40" s="2669">
        <f>E40/E41-1</f>
        <v>6.2167683886810154E-2</v>
      </c>
      <c r="V40" s="2669">
        <f>F40/F41-1</f>
        <v>4.5657953741810031E-2</v>
      </c>
      <c r="X40" s="2670"/>
      <c r="Y40" s="2670"/>
      <c r="Z40" s="2670"/>
    </row>
    <row r="41" spans="1:26" ht="13.5" thickBot="1">
      <c r="A41" s="2651" t="s">
        <v>2591</v>
      </c>
      <c r="B41" s="2657">
        <v>220</v>
      </c>
      <c r="C41" s="2657">
        <v>187</v>
      </c>
      <c r="D41" s="2657">
        <f t="shared" si="55"/>
        <v>187</v>
      </c>
      <c r="E41" s="2657">
        <v>301</v>
      </c>
      <c r="F41" s="2658">
        <v>168</v>
      </c>
      <c r="G41" s="3477">
        <v>2009</v>
      </c>
      <c r="H41" s="2671">
        <v>4</v>
      </c>
      <c r="I41" s="2671">
        <v>2.2999999999999998</v>
      </c>
      <c r="J41" s="2671">
        <v>1.04</v>
      </c>
      <c r="K41" s="2671">
        <v>2.84</v>
      </c>
      <c r="L41" s="2672">
        <v>0.67</v>
      </c>
      <c r="N41" s="2673">
        <f t="shared" si="57"/>
        <v>2.3E-2</v>
      </c>
      <c r="O41" s="2674">
        <f t="shared" si="57"/>
        <v>1.04E-2</v>
      </c>
      <c r="P41" s="2674">
        <f t="shared" si="57"/>
        <v>2.8399999999999998E-2</v>
      </c>
      <c r="Q41" s="2674">
        <f t="shared" si="57"/>
        <v>6.7000000000000002E-3</v>
      </c>
      <c r="R41" s="2662"/>
      <c r="S41" s="2663"/>
      <c r="T41" s="2664"/>
      <c r="U41" s="2664"/>
      <c r="V41" s="2664"/>
      <c r="X41" s="2664"/>
      <c r="Y41" s="2664"/>
      <c r="Z41" s="2664"/>
    </row>
    <row r="42" spans="1:26">
      <c r="A42" s="2651" t="s">
        <v>2592</v>
      </c>
      <c r="B42" s="2665">
        <f t="shared" ref="B42:C44" si="71">B41/(1+N41)</f>
        <v>215.05376344086022</v>
      </c>
      <c r="C42" s="2665">
        <f t="shared" si="71"/>
        <v>185.0752177355503</v>
      </c>
      <c r="D42" s="2665">
        <f t="shared" si="55"/>
        <v>185.0752177355503</v>
      </c>
      <c r="E42" s="2665">
        <f t="shared" ref="E42:F44" si="72">E41/(1+P41)</f>
        <v>292.68767016725008</v>
      </c>
      <c r="F42" s="2665">
        <f t="shared" si="72"/>
        <v>166.88189132810174</v>
      </c>
      <c r="G42" s="3478">
        <v>2009</v>
      </c>
      <c r="H42" s="2676">
        <v>3</v>
      </c>
      <c r="I42" s="2676">
        <v>2.1</v>
      </c>
      <c r="J42" s="2676">
        <v>1.86</v>
      </c>
      <c r="K42" s="2676">
        <v>2.29</v>
      </c>
      <c r="L42" s="2677">
        <v>0.85</v>
      </c>
      <c r="N42" s="2660">
        <f t="shared" si="57"/>
        <v>2.1000000000000001E-2</v>
      </c>
      <c r="O42" s="2678">
        <f t="shared" si="57"/>
        <v>1.8600000000000002E-2</v>
      </c>
      <c r="P42" s="2678">
        <f t="shared" si="57"/>
        <v>2.29E-2</v>
      </c>
      <c r="Q42" s="2678">
        <f t="shared" si="57"/>
        <v>8.5000000000000006E-3</v>
      </c>
      <c r="R42" s="2662"/>
      <c r="S42" s="2660"/>
      <c r="T42" s="2661"/>
      <c r="U42" s="2661"/>
      <c r="V42" s="2661"/>
    </row>
    <row r="43" spans="1:26">
      <c r="A43" s="2651" t="s">
        <v>2593</v>
      </c>
      <c r="B43" s="2665">
        <f t="shared" si="71"/>
        <v>210.630522469011</v>
      </c>
      <c r="C43" s="2665">
        <f t="shared" si="71"/>
        <v>181.69567812247232</v>
      </c>
      <c r="D43" s="2665">
        <f t="shared" si="55"/>
        <v>181.69567812247232</v>
      </c>
      <c r="E43" s="2665">
        <f t="shared" si="72"/>
        <v>286.13517466736738</v>
      </c>
      <c r="F43" s="2665">
        <f t="shared" si="72"/>
        <v>165.47535084591149</v>
      </c>
      <c r="G43" s="3478">
        <v>2009</v>
      </c>
      <c r="H43" s="2656">
        <v>2</v>
      </c>
      <c r="I43" s="2656">
        <v>0.86</v>
      </c>
      <c r="J43" s="2656">
        <v>-1.1299999999999999</v>
      </c>
      <c r="K43" s="2656">
        <v>1.79</v>
      </c>
      <c r="L43" s="2667">
        <v>-2.0699999999999998</v>
      </c>
      <c r="N43" s="2660">
        <f t="shared" si="57"/>
        <v>8.6E-3</v>
      </c>
      <c r="O43" s="2678">
        <f t="shared" si="57"/>
        <v>-1.1299999999999999E-2</v>
      </c>
      <c r="P43" s="2678">
        <f t="shared" si="57"/>
        <v>1.7899999999999999E-2</v>
      </c>
      <c r="Q43" s="2678">
        <f t="shared" si="57"/>
        <v>-2.07E-2</v>
      </c>
      <c r="R43" s="2662"/>
      <c r="S43" s="2660"/>
      <c r="T43" s="2661"/>
      <c r="U43" s="2661"/>
      <c r="V43" s="2661"/>
    </row>
    <row r="44" spans="1:26">
      <c r="A44" s="2651" t="s">
        <v>2594</v>
      </c>
      <c r="B44" s="2665">
        <f t="shared" si="71"/>
        <v>208.83454537875372</v>
      </c>
      <c r="C44" s="2665">
        <f t="shared" si="71"/>
        <v>183.77230517090351</v>
      </c>
      <c r="D44" s="2665">
        <f t="shared" si="55"/>
        <v>183.77230517090351</v>
      </c>
      <c r="E44" s="2665">
        <f t="shared" si="72"/>
        <v>281.10342338870947</v>
      </c>
      <c r="F44" s="2665">
        <f t="shared" si="72"/>
        <v>168.97309388942256</v>
      </c>
      <c r="G44" s="3479">
        <v>2009</v>
      </c>
      <c r="H44" s="2655">
        <v>1</v>
      </c>
      <c r="I44" s="2655">
        <v>-2.64</v>
      </c>
      <c r="J44" s="2655">
        <v>-2.5299999999999998</v>
      </c>
      <c r="K44" s="2655">
        <v>-3.02</v>
      </c>
      <c r="L44" s="2666">
        <v>1.52</v>
      </c>
      <c r="N44" s="2668">
        <f t="shared" si="57"/>
        <v>-2.64E-2</v>
      </c>
      <c r="O44" s="2669">
        <f t="shared" si="57"/>
        <v>-2.53E-2</v>
      </c>
      <c r="P44" s="2669">
        <f t="shared" si="57"/>
        <v>-3.0200000000000001E-2</v>
      </c>
      <c r="Q44" s="2669">
        <f t="shared" si="57"/>
        <v>1.52E-2</v>
      </c>
      <c r="R44" s="2662"/>
      <c r="S44" s="2668">
        <f>B44/B45-1</f>
        <v>-2.4137638417038754E-2</v>
      </c>
      <c r="T44" s="2669">
        <f>C44/C45-1</f>
        <v>-2.248773845264096E-2</v>
      </c>
      <c r="U44" s="2669">
        <f>E44/E45-1</f>
        <v>-2.7323794502735366E-2</v>
      </c>
      <c r="V44" s="2669">
        <f>F44/F45-1</f>
        <v>1.7910204153148035E-2</v>
      </c>
      <c r="X44" s="2670"/>
      <c r="Y44" s="2670"/>
      <c r="Z44" s="2670"/>
    </row>
    <row r="45" spans="1:26" ht="13.5" thickBot="1">
      <c r="A45" s="2651" t="s">
        <v>2595</v>
      </c>
      <c r="B45" s="2695">
        <v>214</v>
      </c>
      <c r="C45" s="2695">
        <v>188</v>
      </c>
      <c r="D45" s="2695">
        <f t="shared" si="55"/>
        <v>188</v>
      </c>
      <c r="E45" s="2695">
        <v>289</v>
      </c>
      <c r="F45" s="2696">
        <v>166</v>
      </c>
      <c r="G45" s="3477">
        <v>2008</v>
      </c>
      <c r="H45" s="2671">
        <v>4</v>
      </c>
      <c r="I45" s="2671">
        <v>1.73</v>
      </c>
      <c r="J45" s="2671">
        <v>0.03</v>
      </c>
      <c r="K45" s="2671">
        <v>2.59</v>
      </c>
      <c r="L45" s="2672">
        <v>-1.66</v>
      </c>
      <c r="N45" s="2660">
        <f t="shared" si="57"/>
        <v>1.7299999999999999E-2</v>
      </c>
      <c r="O45" s="2661">
        <f t="shared" si="57"/>
        <v>2.9999999999999997E-4</v>
      </c>
      <c r="P45" s="2661">
        <f t="shared" si="57"/>
        <v>2.5899999999999999E-2</v>
      </c>
      <c r="Q45" s="2661">
        <f t="shared" si="57"/>
        <v>-1.66E-2</v>
      </c>
      <c r="R45" s="2662"/>
      <c r="S45" s="2663"/>
      <c r="T45" s="2664"/>
      <c r="U45" s="2664"/>
      <c r="V45" s="2664"/>
      <c r="X45" s="2664"/>
      <c r="Y45" s="2664"/>
      <c r="Z45" s="2664"/>
    </row>
    <row r="46" spans="1:26">
      <c r="A46" s="2651" t="s">
        <v>2596</v>
      </c>
      <c r="B46" s="2665">
        <f t="shared" ref="B46:C48" si="73">B45/(1+N45)</f>
        <v>210.36075887152265</v>
      </c>
      <c r="C46" s="2665">
        <f t="shared" si="73"/>
        <v>187.94361691492554</v>
      </c>
      <c r="D46" s="2665">
        <f t="shared" si="55"/>
        <v>187.94361691492554</v>
      </c>
      <c r="E46" s="2665">
        <f t="shared" ref="E46:F48" si="74">E45/(1+P45)</f>
        <v>281.70386977288234</v>
      </c>
      <c r="F46" s="2665">
        <f t="shared" si="74"/>
        <v>168.80211511083994</v>
      </c>
      <c r="G46" s="3478">
        <v>2008</v>
      </c>
      <c r="H46" s="2676">
        <v>3</v>
      </c>
      <c r="I46" s="2676">
        <v>1.96</v>
      </c>
      <c r="J46" s="2676">
        <v>2.36</v>
      </c>
      <c r="K46" s="2676">
        <v>1.82</v>
      </c>
      <c r="L46" s="2677">
        <v>2.2200000000000002</v>
      </c>
      <c r="N46" s="2660">
        <f t="shared" si="57"/>
        <v>1.9599999999999999E-2</v>
      </c>
      <c r="O46" s="2661">
        <f t="shared" si="57"/>
        <v>2.3599999999999999E-2</v>
      </c>
      <c r="P46" s="2661">
        <f t="shared" si="57"/>
        <v>1.8200000000000001E-2</v>
      </c>
      <c r="Q46" s="2661">
        <f t="shared" si="57"/>
        <v>2.2200000000000001E-2</v>
      </c>
      <c r="R46" s="2662"/>
      <c r="S46" s="2660"/>
      <c r="T46" s="2661"/>
      <c r="U46" s="2661"/>
      <c r="V46" s="2661"/>
    </row>
    <row r="47" spans="1:26">
      <c r="A47" s="2651" t="s">
        <v>2597</v>
      </c>
      <c r="B47" s="2665">
        <f t="shared" si="73"/>
        <v>206.31694671589116</v>
      </c>
      <c r="C47" s="2665">
        <f t="shared" si="73"/>
        <v>183.61041121036101</v>
      </c>
      <c r="D47" s="2665">
        <f t="shared" si="55"/>
        <v>183.61041121036101</v>
      </c>
      <c r="E47" s="2665">
        <f t="shared" si="74"/>
        <v>276.66850301795557</v>
      </c>
      <c r="F47" s="2665">
        <f t="shared" si="74"/>
        <v>165.1360938278614</v>
      </c>
      <c r="G47" s="3478">
        <v>2008</v>
      </c>
      <c r="H47" s="2656">
        <v>2</v>
      </c>
      <c r="I47" s="2656">
        <v>4.93</v>
      </c>
      <c r="J47" s="2656">
        <v>7.38</v>
      </c>
      <c r="K47" s="2656">
        <v>3.98</v>
      </c>
      <c r="L47" s="2667">
        <v>6.86</v>
      </c>
      <c r="N47" s="2660">
        <f t="shared" si="57"/>
        <v>4.9299999999999997E-2</v>
      </c>
      <c r="O47" s="2661">
        <f t="shared" si="57"/>
        <v>7.3800000000000004E-2</v>
      </c>
      <c r="P47" s="2661">
        <f t="shared" si="57"/>
        <v>3.9800000000000002E-2</v>
      </c>
      <c r="Q47" s="2661">
        <f t="shared" si="57"/>
        <v>6.8600000000000008E-2</v>
      </c>
      <c r="R47" s="2662"/>
      <c r="S47" s="2660"/>
      <c r="T47" s="2661"/>
      <c r="U47" s="2661"/>
      <c r="V47" s="2661"/>
    </row>
    <row r="48" spans="1:26" s="2701" customFormat="1" ht="13.5" thickBot="1">
      <c r="A48" s="2651" t="s">
        <v>2598</v>
      </c>
      <c r="B48" s="2698">
        <f t="shared" si="73"/>
        <v>196.62341248059772</v>
      </c>
      <c r="C48" s="2698">
        <f t="shared" si="73"/>
        <v>170.99125648199012</v>
      </c>
      <c r="D48" s="2698">
        <f t="shared" si="55"/>
        <v>170.99125648199012</v>
      </c>
      <c r="E48" s="2698">
        <f t="shared" si="74"/>
        <v>266.07857570490052</v>
      </c>
      <c r="F48" s="2698">
        <f t="shared" si="74"/>
        <v>154.53499328828505</v>
      </c>
      <c r="G48" s="3479">
        <v>2008</v>
      </c>
      <c r="H48" s="2699">
        <v>1</v>
      </c>
      <c r="I48" s="2699">
        <v>4.1399999999999997</v>
      </c>
      <c r="J48" s="2699">
        <v>3.45</v>
      </c>
      <c r="K48" s="2699">
        <v>4.95</v>
      </c>
      <c r="L48" s="2700">
        <v>4.82</v>
      </c>
      <c r="N48" s="2702">
        <f t="shared" si="57"/>
        <v>4.1399999999999999E-2</v>
      </c>
      <c r="O48" s="2703">
        <f t="shared" si="57"/>
        <v>3.4500000000000003E-2</v>
      </c>
      <c r="P48" s="2703">
        <f t="shared" si="57"/>
        <v>4.9500000000000002E-2</v>
      </c>
      <c r="Q48" s="2703">
        <f t="shared" si="57"/>
        <v>4.82E-2</v>
      </c>
      <c r="R48" s="2704"/>
      <c r="S48" s="2702">
        <f>B48/B49-1</f>
        <v>4.5869215322328349E-2</v>
      </c>
      <c r="T48" s="2703">
        <f>C48/C49-1</f>
        <v>3.6310645345394743E-2</v>
      </c>
      <c r="U48" s="2703">
        <f>E48/E49-1</f>
        <v>4.7553447657088688E-2</v>
      </c>
      <c r="V48" s="2703">
        <f>F48/F49-1</f>
        <v>4.4155360055980086E-2</v>
      </c>
      <c r="X48" s="2705"/>
      <c r="Y48" s="2705"/>
      <c r="Z48" s="2705"/>
    </row>
    <row r="49" spans="1:26" ht="13.5" thickBot="1">
      <c r="A49" s="2651" t="s">
        <v>2599</v>
      </c>
      <c r="B49" s="2657">
        <v>188</v>
      </c>
      <c r="C49" s="2657">
        <v>165</v>
      </c>
      <c r="D49" s="2657">
        <f t="shared" si="55"/>
        <v>165</v>
      </c>
      <c r="E49" s="2657">
        <v>254</v>
      </c>
      <c r="F49" s="2658">
        <v>148</v>
      </c>
      <c r="G49" s="3477">
        <v>2007</v>
      </c>
      <c r="H49" s="2706">
        <v>4</v>
      </c>
      <c r="I49" s="2706">
        <v>5.51</v>
      </c>
      <c r="J49" s="2706">
        <v>4.8899999999999997</v>
      </c>
      <c r="K49" s="2706">
        <v>6.43</v>
      </c>
      <c r="L49" s="2707">
        <v>5.36</v>
      </c>
      <c r="N49" s="2708">
        <f t="shared" ref="N49:O52" si="75">B49/B50-1</f>
        <v>4.1339718365245526E-2</v>
      </c>
      <c r="O49" s="2709">
        <f t="shared" si="75"/>
        <v>4.0324492593776018E-2</v>
      </c>
      <c r="P49" s="2709">
        <f t="shared" ref="P49:Q52" si="76">E49/E50-1</f>
        <v>6.1625555347990968E-2</v>
      </c>
      <c r="Q49" s="2709">
        <f t="shared" si="76"/>
        <v>4.6757569250590603E-2</v>
      </c>
      <c r="R49" s="2662"/>
      <c r="S49" s="2663"/>
      <c r="T49" s="2664"/>
      <c r="U49" s="2664"/>
      <c r="V49" s="2664"/>
      <c r="X49" s="2664"/>
      <c r="Y49" s="2664"/>
      <c r="Z49" s="2664"/>
    </row>
    <row r="50" spans="1:26">
      <c r="A50" s="2651" t="s">
        <v>2600</v>
      </c>
      <c r="B50" s="2665">
        <f t="shared" ref="B50:C52" si="77">B51+(B$49-B$53)*I50/SUM(I$49:I$52)</f>
        <v>180.5366651097618</v>
      </c>
      <c r="C50" s="2665">
        <f t="shared" si="77"/>
        <v>158.60435967302453</v>
      </c>
      <c r="D50" s="2665">
        <f t="shared" si="55"/>
        <v>158.60435967302453</v>
      </c>
      <c r="E50" s="2665">
        <f t="shared" ref="E50:F52" si="78">E51+(E$49-E$53)*K50/SUM(K$49:K$52)</f>
        <v>239.25573260785075</v>
      </c>
      <c r="F50" s="2665">
        <f t="shared" si="78"/>
        <v>141.38899430740037</v>
      </c>
      <c r="G50" s="3478">
        <v>2007</v>
      </c>
      <c r="H50" s="2676">
        <v>3</v>
      </c>
      <c r="I50" s="2676">
        <v>8.65</v>
      </c>
      <c r="J50" s="2676">
        <v>8.06</v>
      </c>
      <c r="K50" s="2676">
        <v>9.94</v>
      </c>
      <c r="L50" s="2677">
        <v>5.8</v>
      </c>
      <c r="N50" s="2708">
        <f t="shared" si="75"/>
        <v>6.940217571740015E-2</v>
      </c>
      <c r="O50" s="2709">
        <f t="shared" si="75"/>
        <v>7.1197482471153428E-2</v>
      </c>
      <c r="P50" s="2709">
        <f t="shared" si="76"/>
        <v>0.10529679922579582</v>
      </c>
      <c r="Q50" s="2709">
        <f t="shared" si="76"/>
        <v>5.3292245059512133E-2</v>
      </c>
      <c r="R50" s="2662"/>
      <c r="S50" s="2660"/>
      <c r="T50" s="2661"/>
      <c r="U50" s="2661"/>
      <c r="V50" s="2661"/>
      <c r="X50" s="2710"/>
      <c r="Y50" s="2710"/>
      <c r="Z50" s="2710"/>
    </row>
    <row r="51" spans="1:26">
      <c r="A51" s="2651" t="s">
        <v>2601</v>
      </c>
      <c r="B51" s="2665">
        <f t="shared" si="77"/>
        <v>168.82017748715555</v>
      </c>
      <c r="C51" s="2665">
        <f t="shared" si="77"/>
        <v>148.06267029972753</v>
      </c>
      <c r="D51" s="2665">
        <f t="shared" si="55"/>
        <v>148.06267029972753</v>
      </c>
      <c r="E51" s="2665">
        <f t="shared" si="78"/>
        <v>216.46288379323747</v>
      </c>
      <c r="F51" s="2665">
        <f t="shared" si="78"/>
        <v>134.23529411764704</v>
      </c>
      <c r="G51" s="3478">
        <v>2007</v>
      </c>
      <c r="H51" s="2656">
        <v>2</v>
      </c>
      <c r="I51" s="2656">
        <v>3.67</v>
      </c>
      <c r="J51" s="2656">
        <v>2.3199999999999998</v>
      </c>
      <c r="K51" s="2656">
        <v>5.0199999999999996</v>
      </c>
      <c r="L51" s="2667">
        <v>6.71</v>
      </c>
      <c r="N51" s="2708">
        <f t="shared" si="75"/>
        <v>3.0339138143848032E-2</v>
      </c>
      <c r="O51" s="2709">
        <f t="shared" si="75"/>
        <v>2.0922341588790472E-2</v>
      </c>
      <c r="P51" s="2709">
        <f t="shared" si="76"/>
        <v>5.6164796592717003E-2</v>
      </c>
      <c r="Q51" s="2709">
        <f t="shared" si="76"/>
        <v>6.5704536723887319E-2</v>
      </c>
      <c r="R51" s="2662"/>
      <c r="S51" s="2660"/>
      <c r="T51" s="2661"/>
      <c r="U51" s="2661"/>
      <c r="V51" s="2661"/>
      <c r="X51" s="2710"/>
      <c r="Y51" s="2710"/>
      <c r="Z51" s="2710"/>
    </row>
    <row r="52" spans="1:26">
      <c r="A52" s="2651" t="s">
        <v>2602</v>
      </c>
      <c r="B52" s="2665">
        <f t="shared" si="77"/>
        <v>163.84913591779542</v>
      </c>
      <c r="C52" s="2665">
        <f t="shared" si="77"/>
        <v>145.0283378746594</v>
      </c>
      <c r="D52" s="2665">
        <f t="shared" si="55"/>
        <v>145.0283378746594</v>
      </c>
      <c r="E52" s="2665">
        <f t="shared" si="78"/>
        <v>204.95180722891567</v>
      </c>
      <c r="F52" s="2665">
        <f t="shared" si="78"/>
        <v>125.95920303605313</v>
      </c>
      <c r="G52" s="3479">
        <v>2007</v>
      </c>
      <c r="H52" s="2655">
        <v>1</v>
      </c>
      <c r="I52" s="2655">
        <v>3.58</v>
      </c>
      <c r="J52" s="2655">
        <v>3.08</v>
      </c>
      <c r="K52" s="2655">
        <v>4.34</v>
      </c>
      <c r="L52" s="2666">
        <v>3.21</v>
      </c>
      <c r="N52" s="2711">
        <f t="shared" si="75"/>
        <v>3.0497710174814063E-2</v>
      </c>
      <c r="O52" s="2712">
        <f t="shared" si="75"/>
        <v>2.8569772160704998E-2</v>
      </c>
      <c r="P52" s="2712">
        <f t="shared" si="76"/>
        <v>5.1034908866234296E-2</v>
      </c>
      <c r="Q52" s="2712">
        <f t="shared" si="76"/>
        <v>3.245248390207478E-2</v>
      </c>
      <c r="R52" s="2662"/>
      <c r="S52" s="2668">
        <f>B52/B53-1</f>
        <v>3.0497710174814063E-2</v>
      </c>
      <c r="T52" s="2669">
        <f>C52/C53-1</f>
        <v>2.8569772160704998E-2</v>
      </c>
      <c r="U52" s="2669">
        <f>E52/E53-1</f>
        <v>5.1034908866234296E-2</v>
      </c>
      <c r="V52" s="2669">
        <f>F52/F53-1</f>
        <v>3.245248390207478E-2</v>
      </c>
      <c r="X52" s="2710"/>
      <c r="Y52" s="2710"/>
      <c r="Z52" s="2710"/>
    </row>
    <row r="53" spans="1:26" ht="13.5" thickBot="1">
      <c r="A53" s="2651" t="s">
        <v>2603</v>
      </c>
      <c r="B53" s="2679">
        <v>159</v>
      </c>
      <c r="C53" s="2679">
        <v>141</v>
      </c>
      <c r="D53" s="2679">
        <f t="shared" si="55"/>
        <v>141</v>
      </c>
      <c r="E53" s="2679">
        <v>195</v>
      </c>
      <c r="F53" s="2680">
        <v>122</v>
      </c>
      <c r="G53" s="3477">
        <v>2006</v>
      </c>
      <c r="H53" s="2671">
        <v>4</v>
      </c>
      <c r="I53" s="2671">
        <v>3.79</v>
      </c>
      <c r="J53" s="2671">
        <v>2.21</v>
      </c>
      <c r="K53" s="2671">
        <v>5.65</v>
      </c>
      <c r="L53" s="2672">
        <v>5.41</v>
      </c>
      <c r="N53" s="2708">
        <f t="shared" ref="N53:O56" si="79">I53/SUM(I$53:I$56)*(B$53/B$57-1)</f>
        <v>7.245466462748526E-2</v>
      </c>
      <c r="O53" s="2709">
        <f t="shared" si="79"/>
        <v>2.3237230038062766E-2</v>
      </c>
      <c r="P53" s="2709">
        <f t="shared" ref="P53:Q56" si="80">K53/SUM(K$53:K$56)*(E$53/E$57-1)</f>
        <v>0.16146893866323722</v>
      </c>
      <c r="Q53" s="2709">
        <f t="shared" si="80"/>
        <v>5.0755230321793784E-2</v>
      </c>
      <c r="R53" s="2662"/>
      <c r="S53" s="2663"/>
      <c r="T53" s="2664"/>
      <c r="U53" s="2664"/>
      <c r="V53" s="2664"/>
      <c r="X53" s="2710"/>
      <c r="Y53" s="2710"/>
      <c r="Z53" s="2710"/>
    </row>
    <row r="54" spans="1:26">
      <c r="A54" s="2651" t="s">
        <v>2604</v>
      </c>
      <c r="B54" s="2665">
        <f t="shared" ref="B54:C56" si="81">B55+(B$53-B$57)*I54/SUM(I$53:I$56)</f>
        <v>149.00125628140702</v>
      </c>
      <c r="C54" s="2665">
        <f t="shared" si="81"/>
        <v>137.95592286501378</v>
      </c>
      <c r="D54" s="2665">
        <f t="shared" si="55"/>
        <v>137.95592286501378</v>
      </c>
      <c r="E54" s="2665">
        <f t="shared" ref="E54:F56" si="82">E55+(E$53-E$57)*K54/SUM(K$53:K$56)</f>
        <v>169.97231450719823</v>
      </c>
      <c r="F54" s="2665">
        <f t="shared" si="82"/>
        <v>116.21390374331551</v>
      </c>
      <c r="G54" s="3478">
        <v>2006</v>
      </c>
      <c r="H54" s="2676">
        <v>3</v>
      </c>
      <c r="I54" s="2676">
        <v>0.92</v>
      </c>
      <c r="J54" s="2676">
        <v>1.08</v>
      </c>
      <c r="K54" s="2676">
        <v>0.73</v>
      </c>
      <c r="L54" s="2677">
        <v>1.08</v>
      </c>
      <c r="N54" s="2708">
        <f t="shared" si="79"/>
        <v>1.7587939698492462E-2</v>
      </c>
      <c r="O54" s="2709">
        <f t="shared" si="79"/>
        <v>1.1355750425840628E-2</v>
      </c>
      <c r="P54" s="2709">
        <f t="shared" si="80"/>
        <v>2.0862358446754544E-2</v>
      </c>
      <c r="Q54" s="2709">
        <f t="shared" si="80"/>
        <v>1.0132282578103011E-2</v>
      </c>
      <c r="R54" s="2662"/>
      <c r="S54" s="2660"/>
      <c r="T54" s="2661"/>
      <c r="U54" s="2661"/>
      <c r="V54" s="2661"/>
      <c r="X54" s="2710"/>
      <c r="Y54" s="2710"/>
      <c r="Z54" s="2710"/>
    </row>
    <row r="55" spans="1:26">
      <c r="A55" s="2651" t="s">
        <v>2605</v>
      </c>
      <c r="B55" s="2665">
        <f t="shared" si="81"/>
        <v>146.57412060301507</v>
      </c>
      <c r="C55" s="2665">
        <f t="shared" si="81"/>
        <v>136.46831955922866</v>
      </c>
      <c r="D55" s="2665">
        <f t="shared" si="55"/>
        <v>136.46831955922866</v>
      </c>
      <c r="E55" s="2665">
        <f t="shared" si="82"/>
        <v>166.73864894795128</v>
      </c>
      <c r="F55" s="2665">
        <f t="shared" si="82"/>
        <v>115.05882352941177</v>
      </c>
      <c r="G55" s="3478">
        <v>2006</v>
      </c>
      <c r="H55" s="2656">
        <v>2</v>
      </c>
      <c r="I55" s="2656">
        <v>0.96</v>
      </c>
      <c r="J55" s="2656">
        <v>0.25</v>
      </c>
      <c r="K55" s="2656">
        <v>1.9</v>
      </c>
      <c r="L55" s="2667">
        <v>0.95</v>
      </c>
      <c r="N55" s="2708">
        <f t="shared" si="79"/>
        <v>1.8352632728861701E-2</v>
      </c>
      <c r="O55" s="2709">
        <f t="shared" si="79"/>
        <v>2.6286459319075526E-3</v>
      </c>
      <c r="P55" s="2709">
        <f t="shared" si="80"/>
        <v>5.4299289107991269E-2</v>
      </c>
      <c r="Q55" s="2709">
        <f t="shared" si="80"/>
        <v>8.9126559714794995E-3</v>
      </c>
      <c r="R55" s="2662"/>
      <c r="S55" s="2660"/>
      <c r="T55" s="2661"/>
      <c r="U55" s="2661"/>
      <c r="V55" s="2661"/>
      <c r="X55" s="2710"/>
      <c r="Y55" s="2710"/>
      <c r="Z55" s="2710"/>
    </row>
    <row r="56" spans="1:26">
      <c r="A56" s="2651" t="s">
        <v>2606</v>
      </c>
      <c r="B56" s="2665">
        <f t="shared" si="81"/>
        <v>144.04145728643215</v>
      </c>
      <c r="C56" s="2665">
        <f t="shared" si="81"/>
        <v>136.12396694214877</v>
      </c>
      <c r="D56" s="2665">
        <f t="shared" si="55"/>
        <v>136.12396694214877</v>
      </c>
      <c r="E56" s="2665">
        <f t="shared" si="82"/>
        <v>158.32225913621264</v>
      </c>
      <c r="F56" s="2665">
        <f t="shared" si="82"/>
        <v>114.04278074866311</v>
      </c>
      <c r="G56" s="3479">
        <v>2006</v>
      </c>
      <c r="H56" s="2655">
        <v>1</v>
      </c>
      <c r="I56" s="2655">
        <v>2.29</v>
      </c>
      <c r="J56" s="2655">
        <v>3.72</v>
      </c>
      <c r="K56" s="2655">
        <v>0.75</v>
      </c>
      <c r="L56" s="2666">
        <v>0.04</v>
      </c>
      <c r="N56" s="2711">
        <f t="shared" si="79"/>
        <v>4.3778675988638847E-2</v>
      </c>
      <c r="O56" s="2712">
        <f t="shared" si="79"/>
        <v>3.9114251466784385E-2</v>
      </c>
      <c r="P56" s="2712">
        <f t="shared" si="80"/>
        <v>2.1433929911049188E-2</v>
      </c>
      <c r="Q56" s="2712">
        <f t="shared" si="80"/>
        <v>3.7526972511492629E-4</v>
      </c>
      <c r="R56" s="2662"/>
      <c r="S56" s="2668">
        <f>B56/B57-1</f>
        <v>4.3778675988638716E-2</v>
      </c>
      <c r="T56" s="2669">
        <f>C56/C57-1</f>
        <v>3.91142514667846E-2</v>
      </c>
      <c r="U56" s="2669">
        <f>E56/E57-1</f>
        <v>2.143392991104931E-2</v>
      </c>
      <c r="V56" s="2669">
        <f>F56/F57-1</f>
        <v>3.7526972511492396E-4</v>
      </c>
      <c r="X56" s="2710"/>
      <c r="Y56" s="2710"/>
      <c r="Z56" s="2710"/>
    </row>
    <row r="57" spans="1:26" ht="13.5" thickBot="1">
      <c r="A57" s="2651" t="s">
        <v>2607</v>
      </c>
      <c r="B57" s="2679">
        <v>138</v>
      </c>
      <c r="C57" s="2679">
        <v>131</v>
      </c>
      <c r="D57" s="2679">
        <f t="shared" si="55"/>
        <v>131</v>
      </c>
      <c r="E57" s="2679">
        <v>155</v>
      </c>
      <c r="F57" s="2680">
        <v>114</v>
      </c>
      <c r="G57" s="3477">
        <v>2005</v>
      </c>
      <c r="H57" s="2671">
        <v>4</v>
      </c>
      <c r="I57" s="2671">
        <v>3.29</v>
      </c>
      <c r="J57" s="2671">
        <v>1.44</v>
      </c>
      <c r="K57" s="2671">
        <v>0.66</v>
      </c>
      <c r="L57" s="2672">
        <v>7.78</v>
      </c>
      <c r="N57" s="2708">
        <f t="shared" ref="N57:O60" si="83">I57/SUM(I$57:I$60)*(B$57/B$61-1)</f>
        <v>9.9404603216919935E-2</v>
      </c>
      <c r="O57" s="2709">
        <f t="shared" si="83"/>
        <v>4.7636550760861554E-2</v>
      </c>
      <c r="P57" s="2709">
        <f t="shared" ref="P57:Q60" si="84">K57/SUM(K$57:K$60)*(E$57/E$61-1)</f>
        <v>8.3756345177664976E-2</v>
      </c>
      <c r="Q57" s="2709">
        <f t="shared" si="84"/>
        <v>5.2148766661559584E-2</v>
      </c>
      <c r="R57" s="2662"/>
      <c r="S57" s="2663"/>
      <c r="T57" s="2664"/>
      <c r="U57" s="2664"/>
      <c r="V57" s="2664"/>
      <c r="X57" s="2710"/>
      <c r="Y57" s="2710"/>
      <c r="Z57" s="2710"/>
    </row>
    <row r="58" spans="1:26">
      <c r="A58" s="2651" t="s">
        <v>2608</v>
      </c>
      <c r="B58" s="2665">
        <f t="shared" ref="B58:C60" si="85">B59+(B$57-B$61)*I58/SUM(I$57:I$60)</f>
        <v>125.9720430107527</v>
      </c>
      <c r="C58" s="2665">
        <f t="shared" si="85"/>
        <v>125.1883408071749</v>
      </c>
      <c r="D58" s="2665">
        <f t="shared" si="55"/>
        <v>125.1883408071749</v>
      </c>
      <c r="E58" s="2665">
        <f t="shared" ref="E58:F60" si="86">E59+(E$57-E$61)*K58/SUM(K$57:K$60)</f>
        <v>144.61421319796952</v>
      </c>
      <c r="F58" s="2665">
        <f t="shared" si="86"/>
        <v>108.42008196721311</v>
      </c>
      <c r="G58" s="3478">
        <v>2005</v>
      </c>
      <c r="H58" s="2676">
        <v>3</v>
      </c>
      <c r="I58" s="2676">
        <v>0.46</v>
      </c>
      <c r="J58" s="2676">
        <v>0.32</v>
      </c>
      <c r="K58" s="2676">
        <v>0.42</v>
      </c>
      <c r="L58" s="2677">
        <v>0.64</v>
      </c>
      <c r="N58" s="2708">
        <f t="shared" si="83"/>
        <v>1.3898515951301874E-2</v>
      </c>
      <c r="O58" s="2709">
        <f t="shared" si="83"/>
        <v>1.0585900169080346E-2</v>
      </c>
      <c r="P58" s="2709">
        <f t="shared" si="84"/>
        <v>5.3299492385786795E-2</v>
      </c>
      <c r="Q58" s="2709">
        <f t="shared" si="84"/>
        <v>4.2898728359123568E-3</v>
      </c>
      <c r="R58" s="2662"/>
      <c r="S58" s="2660"/>
      <c r="T58" s="2661"/>
      <c r="U58" s="2661"/>
      <c r="V58" s="2661"/>
      <c r="X58" s="2710"/>
      <c r="Y58" s="2710"/>
      <c r="Z58" s="2710"/>
    </row>
    <row r="59" spans="1:26">
      <c r="A59" s="2651" t="s">
        <v>2609</v>
      </c>
      <c r="B59" s="2665">
        <f t="shared" si="85"/>
        <v>124.29032258064517</v>
      </c>
      <c r="C59" s="2665">
        <f t="shared" si="85"/>
        <v>123.8968609865471</v>
      </c>
      <c r="D59" s="2665">
        <f t="shared" si="55"/>
        <v>123.8968609865471</v>
      </c>
      <c r="E59" s="2665">
        <f t="shared" si="86"/>
        <v>138.00507614213197</v>
      </c>
      <c r="F59" s="2665">
        <f t="shared" si="86"/>
        <v>107.96106557377048</v>
      </c>
      <c r="G59" s="3478">
        <v>2005</v>
      </c>
      <c r="H59" s="2656">
        <v>2</v>
      </c>
      <c r="I59" s="2656">
        <v>0.47</v>
      </c>
      <c r="J59" s="2656">
        <v>0.1</v>
      </c>
      <c r="K59" s="2656">
        <v>0.52</v>
      </c>
      <c r="L59" s="2667">
        <v>0.79</v>
      </c>
      <c r="N59" s="2708">
        <f t="shared" si="83"/>
        <v>1.420065760241713E-2</v>
      </c>
      <c r="O59" s="2709">
        <f t="shared" si="83"/>
        <v>3.3080938028376083E-3</v>
      </c>
      <c r="P59" s="2709">
        <f t="shared" si="84"/>
        <v>6.598984771573603E-2</v>
      </c>
      <c r="Q59" s="2709">
        <f t="shared" si="84"/>
        <v>5.2953117818293153E-3</v>
      </c>
      <c r="R59" s="2662"/>
      <c r="S59" s="2660"/>
      <c r="T59" s="2661"/>
      <c r="U59" s="2661"/>
      <c r="V59" s="2661"/>
      <c r="X59" s="2710"/>
      <c r="Y59" s="2710"/>
      <c r="Z59" s="2710"/>
    </row>
    <row r="60" spans="1:26">
      <c r="A60" s="2651" t="s">
        <v>2610</v>
      </c>
      <c r="B60" s="2665">
        <f t="shared" si="85"/>
        <v>122.57204301075269</v>
      </c>
      <c r="C60" s="2665">
        <f t="shared" si="85"/>
        <v>123.4932735426009</v>
      </c>
      <c r="D60" s="2665">
        <f t="shared" si="55"/>
        <v>123.4932735426009</v>
      </c>
      <c r="E60" s="2665">
        <f t="shared" si="86"/>
        <v>129.82233502538071</v>
      </c>
      <c r="F60" s="2665">
        <f t="shared" si="86"/>
        <v>107.39446721311475</v>
      </c>
      <c r="G60" s="3479">
        <v>2005</v>
      </c>
      <c r="H60" s="2655">
        <v>1</v>
      </c>
      <c r="I60" s="2655">
        <v>0.43</v>
      </c>
      <c r="J60" s="2655">
        <v>0.37</v>
      </c>
      <c r="K60" s="2655">
        <v>0.37</v>
      </c>
      <c r="L60" s="2666">
        <v>0.55000000000000004</v>
      </c>
      <c r="N60" s="2711">
        <f t="shared" si="83"/>
        <v>1.2992090997956099E-2</v>
      </c>
      <c r="O60" s="2712">
        <f t="shared" si="83"/>
        <v>1.2239947070499151E-2</v>
      </c>
      <c r="P60" s="2712">
        <f t="shared" si="84"/>
        <v>4.6954314720812178E-2</v>
      </c>
      <c r="Q60" s="2712">
        <f t="shared" si="84"/>
        <v>3.6866094683621815E-3</v>
      </c>
      <c r="R60" s="2662"/>
      <c r="S60" s="2668">
        <f>B60/B61-1</f>
        <v>1.2992090997956174E-2</v>
      </c>
      <c r="T60" s="2669">
        <f>C60/C61-1</f>
        <v>1.2239947070499246E-2</v>
      </c>
      <c r="U60" s="2669">
        <f>E60/E61-1</f>
        <v>4.695431472081224E-2</v>
      </c>
      <c r="V60" s="2669">
        <f>F60/F61-1</f>
        <v>3.6866094683620787E-3</v>
      </c>
      <c r="X60" s="2710"/>
      <c r="Y60" s="2710"/>
      <c r="Z60" s="2710"/>
    </row>
    <row r="61" spans="1:26" ht="13.5" thickBot="1">
      <c r="A61" s="2651" t="s">
        <v>2611</v>
      </c>
      <c r="B61" s="2695">
        <v>121</v>
      </c>
      <c r="C61" s="2695">
        <v>122</v>
      </c>
      <c r="D61" s="2695">
        <f t="shared" si="55"/>
        <v>122</v>
      </c>
      <c r="E61" s="2695">
        <v>124</v>
      </c>
      <c r="F61" s="2696">
        <v>107</v>
      </c>
      <c r="G61" s="3477">
        <v>2004</v>
      </c>
      <c r="H61" s="2671">
        <v>4</v>
      </c>
      <c r="I61" s="2671">
        <v>0.33</v>
      </c>
      <c r="J61" s="2671">
        <v>0.5</v>
      </c>
      <c r="K61" s="2671">
        <v>0.5</v>
      </c>
      <c r="L61" s="2672">
        <v>0</v>
      </c>
      <c r="N61" s="2708">
        <f t="shared" ref="N61:O64" si="87">I61/SUM(I$61:I$64)*(B$61/B$65-1)</f>
        <v>1.3391770148526898E-2</v>
      </c>
      <c r="O61" s="2709">
        <f t="shared" si="87"/>
        <v>1.063264221158958E-2</v>
      </c>
      <c r="P61" s="2709">
        <f t="shared" ref="P61:Q64" si="88">K61/SUM(K$61:K$64)*(E$61/E$65-1)</f>
        <v>2.2244466688911134E-2</v>
      </c>
      <c r="Q61" s="2709">
        <f t="shared" si="88"/>
        <v>0</v>
      </c>
      <c r="R61" s="2662"/>
      <c r="S61" s="2663"/>
      <c r="T61" s="2664"/>
      <c r="U61" s="2664"/>
      <c r="V61" s="2664"/>
      <c r="X61" s="2710"/>
      <c r="Y61" s="2710"/>
      <c r="Z61" s="2710"/>
    </row>
    <row r="62" spans="1:26">
      <c r="A62" s="2651" t="s">
        <v>2612</v>
      </c>
      <c r="B62" s="2665">
        <f t="shared" ref="B62:C64" si="89">B63+(B$61-B$65)*I62/SUM(I$61:I$64)</f>
        <v>119.51351351351352</v>
      </c>
      <c r="C62" s="2665">
        <f t="shared" si="89"/>
        <v>120.7878787878788</v>
      </c>
      <c r="D62" s="2665">
        <f t="shared" si="55"/>
        <v>120.7878787878788</v>
      </c>
      <c r="E62" s="2665">
        <f t="shared" ref="E62:F64" si="90">E63+(E$61-E$65)*K62/SUM(K$61:K$64)</f>
        <v>121.5975975975976</v>
      </c>
      <c r="F62" s="2665">
        <f t="shared" si="90"/>
        <v>107</v>
      </c>
      <c r="G62" s="3478">
        <v>2004</v>
      </c>
      <c r="H62" s="2676">
        <v>3</v>
      </c>
      <c r="I62" s="2676">
        <v>0.56000000000000005</v>
      </c>
      <c r="J62" s="2676">
        <v>0.8</v>
      </c>
      <c r="K62" s="2676">
        <v>0.83</v>
      </c>
      <c r="L62" s="2677">
        <v>0.06</v>
      </c>
      <c r="N62" s="2708">
        <f t="shared" si="87"/>
        <v>2.2725428130833527E-2</v>
      </c>
      <c r="O62" s="2709">
        <f t="shared" si="87"/>
        <v>1.7012227538543329E-2</v>
      </c>
      <c r="P62" s="2709">
        <f t="shared" si="88"/>
        <v>3.6925814703592477E-2</v>
      </c>
      <c r="Q62" s="2709">
        <f t="shared" si="88"/>
        <v>2.8846153846153744E-2</v>
      </c>
      <c r="R62" s="2662"/>
      <c r="S62" s="2660"/>
      <c r="T62" s="2661"/>
      <c r="U62" s="2661"/>
      <c r="V62" s="2661"/>
      <c r="X62" s="2710"/>
      <c r="Y62" s="2710"/>
      <c r="Z62" s="2710"/>
    </row>
    <row r="63" spans="1:26">
      <c r="A63" s="2651" t="s">
        <v>2613</v>
      </c>
      <c r="B63" s="2665">
        <f t="shared" si="89"/>
        <v>116.99099099099099</v>
      </c>
      <c r="C63" s="2665">
        <f t="shared" si="89"/>
        <v>118.84848484848486</v>
      </c>
      <c r="D63" s="2665">
        <f t="shared" si="55"/>
        <v>118.84848484848486</v>
      </c>
      <c r="E63" s="2665">
        <f t="shared" si="90"/>
        <v>117.60960960960961</v>
      </c>
      <c r="F63" s="2665">
        <f t="shared" si="90"/>
        <v>104</v>
      </c>
      <c r="G63" s="3478">
        <v>2004</v>
      </c>
      <c r="H63" s="2656">
        <v>2</v>
      </c>
      <c r="I63" s="2656">
        <v>1</v>
      </c>
      <c r="J63" s="2656">
        <v>1.5</v>
      </c>
      <c r="K63" s="2656">
        <v>1.5</v>
      </c>
      <c r="L63" s="2667">
        <v>0</v>
      </c>
      <c r="N63" s="2708">
        <f t="shared" si="87"/>
        <v>4.0581121662202721E-2</v>
      </c>
      <c r="O63" s="2709">
        <f t="shared" si="87"/>
        <v>3.1897926634768738E-2</v>
      </c>
      <c r="P63" s="2709">
        <f t="shared" si="88"/>
        <v>6.6733400066733395E-2</v>
      </c>
      <c r="Q63" s="2709">
        <f t="shared" si="88"/>
        <v>0</v>
      </c>
      <c r="R63" s="2662"/>
      <c r="S63" s="2660"/>
      <c r="T63" s="2661"/>
      <c r="U63" s="2661"/>
      <c r="V63" s="2661"/>
      <c r="X63" s="2710"/>
      <c r="Y63" s="2710"/>
      <c r="Z63" s="2710"/>
    </row>
    <row r="64" spans="1:26" s="2701" customFormat="1" ht="13.5" thickBot="1">
      <c r="A64" s="2651" t="s">
        <v>2614</v>
      </c>
      <c r="B64" s="2698">
        <f t="shared" si="89"/>
        <v>112.48648648648648</v>
      </c>
      <c r="C64" s="2698">
        <f t="shared" si="89"/>
        <v>115.21212121212122</v>
      </c>
      <c r="D64" s="2698">
        <f t="shared" si="55"/>
        <v>115.21212121212122</v>
      </c>
      <c r="E64" s="2698">
        <f t="shared" si="90"/>
        <v>110.4024024024024</v>
      </c>
      <c r="F64" s="2698">
        <f t="shared" si="90"/>
        <v>104</v>
      </c>
      <c r="G64" s="3479">
        <v>2004</v>
      </c>
      <c r="H64" s="2699">
        <v>1</v>
      </c>
      <c r="I64" s="2699">
        <v>0.33</v>
      </c>
      <c r="J64" s="2699">
        <v>0.5</v>
      </c>
      <c r="K64" s="2699">
        <v>0.5</v>
      </c>
      <c r="L64" s="2700">
        <v>0</v>
      </c>
      <c r="N64" s="2713">
        <f t="shared" si="87"/>
        <v>1.3391770148526898E-2</v>
      </c>
      <c r="O64" s="2714">
        <f t="shared" si="87"/>
        <v>1.063264221158958E-2</v>
      </c>
      <c r="P64" s="2714">
        <f t="shared" si="88"/>
        <v>2.2244466688911134E-2</v>
      </c>
      <c r="Q64" s="2714">
        <f t="shared" si="88"/>
        <v>0</v>
      </c>
      <c r="R64" s="2704"/>
      <c r="S64" s="2702">
        <f>B64/B65-1</f>
        <v>1.3391770148526883E-2</v>
      </c>
      <c r="T64" s="2703">
        <f>C64/C65-1</f>
        <v>1.063264221158966E-2</v>
      </c>
      <c r="U64" s="2703">
        <f>E64/E65-1</f>
        <v>2.2244466688911224E-2</v>
      </c>
      <c r="V64" s="2703">
        <f>F64/F65-1</f>
        <v>0</v>
      </c>
      <c r="X64" s="2715"/>
      <c r="Y64" s="2715"/>
      <c r="Z64" s="2715"/>
    </row>
    <row r="65" spans="1:26" ht="13.5" thickBot="1">
      <c r="A65" s="2651" t="s">
        <v>2615</v>
      </c>
      <c r="B65" s="2716">
        <v>111</v>
      </c>
      <c r="C65" s="2716">
        <v>114</v>
      </c>
      <c r="D65" s="2716">
        <f t="shared" si="55"/>
        <v>114</v>
      </c>
      <c r="E65" s="2716">
        <v>108</v>
      </c>
      <c r="F65" s="2717">
        <v>104</v>
      </c>
      <c r="G65" s="3477">
        <v>2003</v>
      </c>
      <c r="H65" s="2706">
        <v>4</v>
      </c>
      <c r="I65" s="2718"/>
      <c r="J65" s="2718"/>
      <c r="K65" s="2718"/>
      <c r="L65" s="2718"/>
      <c r="N65" s="2719"/>
      <c r="O65" s="2718"/>
      <c r="P65" s="2718"/>
      <c r="Q65" s="2718"/>
      <c r="S65" s="2719"/>
      <c r="T65" s="2718"/>
      <c r="U65" s="2718"/>
      <c r="V65" s="2718"/>
      <c r="X65" s="2710"/>
      <c r="Y65" s="2710"/>
      <c r="Z65" s="2710"/>
    </row>
    <row r="66" spans="1:26">
      <c r="A66" s="2651" t="s">
        <v>2616</v>
      </c>
      <c r="B66" s="2720">
        <f t="shared" ref="B66:C68" si="91">B67+(B$65-B$69)/4</f>
        <v>109.75</v>
      </c>
      <c r="C66" s="2720">
        <f t="shared" si="91"/>
        <v>112.25</v>
      </c>
      <c r="D66" s="2720">
        <f t="shared" si="55"/>
        <v>112.25</v>
      </c>
      <c r="E66" s="2720">
        <f t="shared" ref="E66:F68" si="92">E67+(E$65-E$69)/4</f>
        <v>107.25</v>
      </c>
      <c r="F66" s="2720">
        <f t="shared" si="92"/>
        <v>103.5</v>
      </c>
      <c r="G66" s="3478">
        <v>2003</v>
      </c>
      <c r="H66" s="2676">
        <v>3</v>
      </c>
      <c r="I66" s="2718"/>
      <c r="J66" s="2718"/>
      <c r="K66" s="2718"/>
      <c r="L66" s="2718"/>
      <c r="X66" s="2710"/>
      <c r="Y66" s="2710"/>
      <c r="Z66" s="2710"/>
    </row>
    <row r="67" spans="1:26">
      <c r="A67" s="2651" t="s">
        <v>2617</v>
      </c>
      <c r="B67" s="2720">
        <f t="shared" si="91"/>
        <v>108.5</v>
      </c>
      <c r="C67" s="2720">
        <f t="shared" si="91"/>
        <v>110.5</v>
      </c>
      <c r="D67" s="2720">
        <f t="shared" si="55"/>
        <v>110.5</v>
      </c>
      <c r="E67" s="2720">
        <f t="shared" si="92"/>
        <v>106.5</v>
      </c>
      <c r="F67" s="2720">
        <f t="shared" si="92"/>
        <v>103</v>
      </c>
      <c r="G67" s="3478">
        <v>2003</v>
      </c>
      <c r="H67" s="2656">
        <v>2</v>
      </c>
      <c r="I67" s="2718"/>
      <c r="J67" s="2718"/>
      <c r="K67" s="2718"/>
      <c r="L67" s="2718"/>
      <c r="X67" s="2710"/>
      <c r="Y67" s="2710"/>
      <c r="Z67" s="2710"/>
    </row>
    <row r="68" spans="1:26" ht="13.5" thickBot="1">
      <c r="A68" s="2651" t="s">
        <v>2618</v>
      </c>
      <c r="B68" s="2720">
        <f t="shared" si="91"/>
        <v>107.25</v>
      </c>
      <c r="C68" s="2720">
        <f t="shared" si="91"/>
        <v>108.75</v>
      </c>
      <c r="D68" s="2720">
        <f t="shared" si="55"/>
        <v>108.75</v>
      </c>
      <c r="E68" s="2720">
        <f t="shared" si="92"/>
        <v>105.75</v>
      </c>
      <c r="F68" s="2720">
        <f t="shared" si="92"/>
        <v>102.5</v>
      </c>
      <c r="G68" s="3479">
        <v>2003</v>
      </c>
      <c r="H68" s="2721">
        <v>1</v>
      </c>
      <c r="I68" s="2718"/>
      <c r="J68" s="2718"/>
      <c r="K68" s="2718"/>
      <c r="L68" s="2718"/>
      <c r="S68" s="2660"/>
      <c r="T68" s="2661"/>
      <c r="U68" s="2661"/>
      <c r="X68" s="2710"/>
      <c r="Y68" s="2710"/>
      <c r="Z68" s="2710"/>
    </row>
    <row r="69" spans="1:26" ht="13.5" thickBot="1">
      <c r="A69" s="2651" t="s">
        <v>2619</v>
      </c>
      <c r="B69" s="2722">
        <v>106</v>
      </c>
      <c r="C69" s="2722">
        <v>107</v>
      </c>
      <c r="D69" s="2722">
        <f t="shared" si="55"/>
        <v>107</v>
      </c>
      <c r="E69" s="2722">
        <v>105</v>
      </c>
      <c r="F69" s="2723">
        <v>102</v>
      </c>
      <c r="G69" s="3477">
        <v>2002</v>
      </c>
      <c r="H69" s="2671">
        <v>4</v>
      </c>
      <c r="I69" s="2718"/>
      <c r="J69" s="2718"/>
      <c r="K69" s="2718"/>
      <c r="L69" s="2718"/>
      <c r="N69" s="2719"/>
      <c r="O69" s="2718"/>
      <c r="P69" s="2718"/>
      <c r="Q69" s="2718"/>
      <c r="S69" s="2719"/>
      <c r="T69" s="2718"/>
      <c r="U69" s="2718"/>
      <c r="V69" s="2718"/>
      <c r="X69" s="2710"/>
      <c r="Y69" s="2710"/>
      <c r="Z69" s="2710"/>
    </row>
    <row r="70" spans="1:26">
      <c r="A70" s="2651" t="s">
        <v>2620</v>
      </c>
      <c r="B70" s="2720">
        <f t="shared" ref="B70:C72" si="93">B71+(B$69-B$73)/4</f>
        <v>105</v>
      </c>
      <c r="C70" s="2720">
        <f t="shared" si="93"/>
        <v>106</v>
      </c>
      <c r="D70" s="2720">
        <f t="shared" si="55"/>
        <v>106</v>
      </c>
      <c r="E70" s="2720">
        <f t="shared" ref="E70:F72" si="94">E71+(E$69-E$73)/4</f>
        <v>104.5</v>
      </c>
      <c r="F70" s="2720">
        <f t="shared" si="94"/>
        <v>101.5</v>
      </c>
      <c r="G70" s="3478">
        <v>2002</v>
      </c>
      <c r="H70" s="2676">
        <v>3</v>
      </c>
      <c r="I70" s="2718"/>
      <c r="J70" s="2718"/>
      <c r="K70" s="2718"/>
      <c r="L70" s="2718"/>
      <c r="X70" s="2710"/>
      <c r="Y70" s="2710"/>
      <c r="Z70" s="2710"/>
    </row>
    <row r="71" spans="1:26">
      <c r="A71" s="2651" t="s">
        <v>2621</v>
      </c>
      <c r="B71" s="2720">
        <f t="shared" si="93"/>
        <v>104</v>
      </c>
      <c r="C71" s="2720">
        <f t="shared" si="93"/>
        <v>105</v>
      </c>
      <c r="D71" s="2720">
        <f t="shared" si="55"/>
        <v>105</v>
      </c>
      <c r="E71" s="2720">
        <f t="shared" si="94"/>
        <v>104</v>
      </c>
      <c r="F71" s="2720">
        <f t="shared" si="94"/>
        <v>101</v>
      </c>
      <c r="G71" s="3478">
        <v>2002</v>
      </c>
      <c r="H71" s="2656">
        <v>2</v>
      </c>
      <c r="I71" s="2718"/>
      <c r="J71" s="2718"/>
      <c r="K71" s="2718"/>
      <c r="L71" s="2718"/>
      <c r="X71" s="2710"/>
      <c r="Y71" s="2710"/>
      <c r="Z71" s="2710"/>
    </row>
    <row r="72" spans="1:26" s="2687" customFormat="1" ht="13.5" thickBot="1">
      <c r="A72" s="2683" t="s">
        <v>2622</v>
      </c>
      <c r="B72" s="2724">
        <f t="shared" si="93"/>
        <v>103</v>
      </c>
      <c r="C72" s="2724">
        <f t="shared" si="93"/>
        <v>104</v>
      </c>
      <c r="D72" s="2724">
        <f t="shared" si="55"/>
        <v>104</v>
      </c>
      <c r="E72" s="2724">
        <f t="shared" si="94"/>
        <v>103.5</v>
      </c>
      <c r="F72" s="2724">
        <f t="shared" si="94"/>
        <v>100.5</v>
      </c>
      <c r="G72" s="3479">
        <v>2002</v>
      </c>
      <c r="H72" s="2725">
        <v>1</v>
      </c>
      <c r="I72" s="2726"/>
      <c r="J72" s="2726"/>
      <c r="K72" s="2726"/>
      <c r="L72" s="2726"/>
      <c r="N72" s="2727"/>
      <c r="S72" s="2727"/>
      <c r="X72" s="2728"/>
      <c r="Y72" s="2728"/>
      <c r="Z72" s="2728"/>
    </row>
    <row r="73" spans="1:26" ht="13.5" thickBot="1">
      <c r="B73" s="2729">
        <v>102</v>
      </c>
      <c r="C73" s="2730">
        <v>103</v>
      </c>
      <c r="D73" s="2730">
        <f t="shared" si="55"/>
        <v>103</v>
      </c>
      <c r="E73" s="2730">
        <v>103</v>
      </c>
      <c r="F73" s="2731">
        <v>100</v>
      </c>
      <c r="I73" s="2718"/>
      <c r="J73" s="2718"/>
      <c r="K73" s="2718"/>
      <c r="L73" s="2718"/>
      <c r="N73" s="2719"/>
      <c r="O73" s="2718"/>
      <c r="P73" s="2718"/>
      <c r="Q73" s="2718"/>
      <c r="S73" s="2719"/>
      <c r="T73" s="2718"/>
      <c r="U73" s="2718"/>
      <c r="V73" s="2718"/>
      <c r="X73" s="2664"/>
      <c r="Y73" s="2664"/>
      <c r="Z73" s="2664"/>
    </row>
    <row r="75" spans="1:26" s="2733" customFormat="1">
      <c r="A75" s="2732" t="s">
        <v>2623</v>
      </c>
      <c r="G75" s="2734"/>
      <c r="N75" s="2734"/>
      <c r="S75" s="2734"/>
    </row>
    <row r="76" spans="1:26" s="2733" customFormat="1">
      <c r="A76" s="2733" t="s">
        <v>2624</v>
      </c>
      <c r="G76" s="2734"/>
      <c r="N76" s="2734"/>
      <c r="S76" s="2734"/>
    </row>
    <row r="77" spans="1:26" s="2733" customFormat="1">
      <c r="A77" s="2733" t="s">
        <v>2625</v>
      </c>
      <c r="G77" s="2734"/>
      <c r="I77" s="2735"/>
      <c r="J77" s="2735"/>
      <c r="K77" s="2735"/>
      <c r="L77" s="2735"/>
      <c r="N77" s="2736"/>
      <c r="O77" s="2735"/>
      <c r="P77" s="2735"/>
      <c r="Q77" s="2735"/>
      <c r="S77" s="2736"/>
      <c r="T77" s="2735"/>
      <c r="U77" s="2735"/>
      <c r="V77" s="2735"/>
    </row>
    <row r="78" spans="1:26" s="2733" customFormat="1">
      <c r="A78" s="2733" t="s">
        <v>2626</v>
      </c>
      <c r="G78" s="2734"/>
      <c r="N78" s="2734"/>
      <c r="S78" s="2734"/>
    </row>
    <row r="85" spans="7:22" ht="13.5" thickBot="1"/>
    <row r="86" spans="7:22">
      <c r="G86" s="2659"/>
      <c r="S86" s="2737" t="s">
        <v>2627</v>
      </c>
      <c r="T86" s="2738" t="s">
        <v>2628</v>
      </c>
      <c r="U86" s="2738" t="s">
        <v>2629</v>
      </c>
      <c r="V86" s="2738" t="s">
        <v>2630</v>
      </c>
    </row>
    <row r="87" spans="7:22">
      <c r="G87" s="2659"/>
      <c r="N87" s="2663"/>
      <c r="O87" s="2664"/>
      <c r="P87" s="2664"/>
      <c r="Q87" s="2664"/>
      <c r="S87" s="2739">
        <v>2006</v>
      </c>
      <c r="T87" s="2740">
        <v>15.1</v>
      </c>
      <c r="U87" s="2740">
        <v>7.43</v>
      </c>
      <c r="V87" s="2740">
        <v>26.26</v>
      </c>
    </row>
    <row r="88" spans="7:22">
      <c r="G88" s="2659"/>
      <c r="N88" s="2663"/>
      <c r="O88" s="2664"/>
      <c r="P88" s="2664"/>
      <c r="Q88" s="2664"/>
      <c r="S88" s="2742">
        <v>2005</v>
      </c>
      <c r="T88" s="2741">
        <v>13.9</v>
      </c>
      <c r="U88" s="2741">
        <v>7.49</v>
      </c>
      <c r="V88" s="2741">
        <v>24.92</v>
      </c>
    </row>
    <row r="89" spans="7:22">
      <c r="G89" s="2659"/>
      <c r="N89" s="2663"/>
      <c r="O89" s="2664"/>
      <c r="P89" s="2664"/>
      <c r="Q89" s="2664"/>
      <c r="S89" s="2739">
        <v>2004</v>
      </c>
      <c r="T89" s="2740">
        <v>9.48</v>
      </c>
      <c r="U89" s="2740">
        <v>7.2</v>
      </c>
      <c r="V89" s="2740">
        <v>14.68</v>
      </c>
    </row>
    <row r="90" spans="7:22">
      <c r="G90" s="2659"/>
      <c r="N90" s="2663"/>
      <c r="O90" s="2664"/>
      <c r="P90" s="2664"/>
      <c r="Q90" s="2664"/>
      <c r="S90" s="2742">
        <v>2003</v>
      </c>
      <c r="T90" s="2741">
        <v>4.5</v>
      </c>
      <c r="U90" s="2741">
        <v>6.12</v>
      </c>
      <c r="V90" s="2741">
        <v>2.34</v>
      </c>
    </row>
    <row r="91" spans="7:22" ht="13.5" thickBot="1">
      <c r="G91" s="2659"/>
      <c r="N91" s="2663"/>
      <c r="O91" s="2664"/>
      <c r="P91" s="2664"/>
      <c r="Q91" s="2664"/>
      <c r="S91" s="2743">
        <v>2002</v>
      </c>
      <c r="T91" s="2744">
        <v>3.59</v>
      </c>
      <c r="U91" s="2744">
        <v>4.54</v>
      </c>
      <c r="V91" s="2744">
        <v>2.5499999999999998</v>
      </c>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row r="107" spans="7:19">
      <c r="G107" s="2659"/>
      <c r="N107" s="2663"/>
      <c r="O107" s="2664"/>
      <c r="P107" s="2664"/>
      <c r="Q107" s="2664"/>
      <c r="S107" s="2659"/>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1901</v>
      </c>
    </row>
    <row r="2" spans="1:4">
      <c r="A2" s="1775"/>
    </row>
    <row r="3" spans="1:4" ht="18.75">
      <c r="A3" s="1793" t="str">
        <f>项目基本情况!B5&amp;"："</f>
        <v>石家庄安联房地产开发有限公司：</v>
      </c>
    </row>
    <row r="4" spans="1:4" ht="56.25">
      <c r="A4" s="1787" t="str">
        <f>"受贵公司委托，我公司对"&amp;项目基本情况!K2&amp;项目基本情况!B9&amp;"进行了预评估。"</f>
        <v>受贵公司委托，我公司对河北省石家庄市长安区和平东路以北、东二环北路东侧商业、地下车库、地下仓储用地出让国有建设用地使用权出让国有建设用地使用权抵押价格进行了预评估。</v>
      </c>
    </row>
    <row r="5" spans="1:4" ht="18.75">
      <c r="A5" s="1790" t="s">
        <v>1902</v>
      </c>
    </row>
    <row r="6" spans="1:4" ht="131.2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7" spans="1:4" ht="56.25">
      <c r="A7" s="1791" t="s">
        <v>2739</v>
      </c>
    </row>
    <row r="8" spans="1:4" ht="18.75">
      <c r="A8" s="1790" t="s">
        <v>1903</v>
      </c>
    </row>
    <row r="9" spans="1:4" ht="75">
      <c r="A9" s="179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2023</v>
      </c>
    </row>
    <row r="11" spans="1:4" ht="18.75">
      <c r="A11" s="1776" t="str">
        <f>TEXT(项目基本情况!D3,"yyyy年m月d日;;")&amp;IF(项目基本情况!B3=项目基本情况!D3,"（评估专业人员勘察现场之日）","")</f>
        <v>2018年12月13日（评估专业人员勘察现场之日）</v>
      </c>
    </row>
    <row r="12" spans="1:4" ht="18.75">
      <c r="A12" s="1793" t="s">
        <v>2022</v>
      </c>
    </row>
    <row r="13" spans="1:4" ht="18.75">
      <c r="A13" s="1787" t="s">
        <v>2929</v>
      </c>
    </row>
    <row r="14" spans="1:4" ht="37.5">
      <c r="A14" s="1787" t="str">
        <f>"根据"&amp;项目基本情况!F12&amp;"，本次评估估价对象证载（地类）用途为"&amp;项目基本情况!B12&amp;"。"</f>
        <v>根据《国有土地使用证》[长安国用（2014）第00003号]，本次评估估价对象证载（地类）用途为商务金融用地。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本次评估设定用途即为证载用途商业、地下车库及地下仓储。</v>
      </c>
      <c r="C15" s="1777"/>
      <c r="D15" s="1778"/>
    </row>
    <row r="16" spans="1:4" ht="18.75">
      <c r="A16" s="1787" t="s">
        <v>2069</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2070</v>
      </c>
    </row>
    <row r="20" spans="1:1" ht="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安国用（2014）第00003号]，估价对象（分摊）出让国有建设用地使用权面积为32181.54平方米。根据《建设工程规划许可证》[建字第建管130100201800074、130100201800082号]，估价对象规划建筑面积为186890.99平方米。</v>
      </c>
    </row>
    <row r="21" spans="1:1" ht="18.75">
      <c r="A21" s="1787" t="s">
        <v>2071</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长安国用（2014）第00003号]证载土地终止日期为商业2053年12月15日地下车库2063年12月15日、地下仓储2063年12月15日。截至估价期日，出让国有建设用地使用权剩余土地使用年限为商业35年、地下车库、地下仓储45年。</v>
      </c>
    </row>
    <row r="23" spans="1:1" ht="37.5">
      <c r="A23" s="1787" t="str">
        <f>IF(项目基本情况!B16="出让","本次评估设定估价对象剩余土地使用年限为"&amp;项目基本情况!D20&amp;"。","")</f>
        <v>本次评估设定估价对象剩余土地使用年限为商业35年、地下车库、地下仓储45年。</v>
      </c>
    </row>
    <row r="24" spans="1:1" ht="18.75">
      <c r="A24" s="1787" t="s">
        <v>2072</v>
      </c>
    </row>
    <row r="25" spans="1:1" ht="93.75">
      <c r="A25" s="1787" t="str">
        <f>定义!C53</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2024</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463</v>
      </c>
      <c r="B1" s="2805"/>
      <c r="C1" s="2100"/>
      <c r="D1" s="2100"/>
      <c r="E1" s="2100"/>
      <c r="F1" s="2100"/>
      <c r="G1" s="2100"/>
      <c r="H1" s="2100"/>
      <c r="I1" s="2100"/>
      <c r="J1" s="2100"/>
      <c r="K1" s="420">
        <f>MATCH(B1,'数据-取费表'!A6:A16,0)+5</f>
        <v>13</v>
      </c>
    </row>
    <row r="2" spans="1:31" s="2037" customFormat="1" ht="18" customHeight="1">
      <c r="A2" s="2097" t="s">
        <v>464</v>
      </c>
      <c r="B2" s="2101">
        <f ca="1">C36</f>
        <v>88898</v>
      </c>
      <c r="C2" s="2100"/>
      <c r="D2" s="2100"/>
      <c r="E2" s="2100"/>
      <c r="F2" s="2100"/>
      <c r="G2" s="2100"/>
      <c r="H2" s="2100"/>
      <c r="I2" s="2100"/>
      <c r="J2" s="2100"/>
      <c r="K2" s="2100"/>
    </row>
    <row r="3" spans="1:31" s="2037" customFormat="1" ht="18" customHeight="1">
      <c r="A3" s="2102" t="s">
        <v>1681</v>
      </c>
      <c r="B3" s="2103">
        <f ca="1">ROUND(B2*10000/IF(B1="",'数据-汇总表'!E3,INDIRECT("'数据-取费表'!K"&amp;$K$1)),0)</f>
        <v>4757</v>
      </c>
      <c r="C3" s="2100"/>
      <c r="D3" s="2100"/>
      <c r="E3" s="2100"/>
      <c r="F3" s="2100"/>
      <c r="G3" s="2100"/>
      <c r="H3" s="2100"/>
      <c r="I3" s="2100"/>
      <c r="J3" s="2100"/>
      <c r="K3" s="2100"/>
    </row>
    <row r="4" spans="1:31" s="2037" customFormat="1" ht="18" customHeight="1">
      <c r="A4" s="424" t="s">
        <v>465</v>
      </c>
      <c r="B4" s="425">
        <f ca="1">ROUND(B2*10000/IF(B1="",'数据-汇总表'!D3,INDIRECT("'数据-取费表'!R"&amp;$K$1)),0)</f>
        <v>27624</v>
      </c>
      <c r="C4" s="426"/>
      <c r="D4" s="420"/>
      <c r="E4" s="420"/>
      <c r="F4" s="420"/>
      <c r="G4" s="420"/>
      <c r="H4" s="420"/>
      <c r="I4" s="420"/>
      <c r="J4" s="420"/>
      <c r="K4" s="420"/>
    </row>
    <row r="5" spans="1:31" s="2037" customFormat="1" ht="18" customHeight="1" thickBot="1">
      <c r="A5" s="427"/>
      <c r="B5" s="428">
        <f ca="1">ROUND(B2/(IF(B1="",'数据-汇总表'!D3,INDIRECT("'数据-取费表'!R"&amp;$K$1))/666.67),0)</f>
        <v>1842</v>
      </c>
      <c r="C5" s="429" t="s">
        <v>466</v>
      </c>
      <c r="D5" s="420"/>
      <c r="E5" s="420"/>
      <c r="F5" s="420"/>
      <c r="G5" s="420"/>
      <c r="H5" s="420"/>
      <c r="I5" s="420"/>
      <c r="J5" s="420"/>
      <c r="K5" s="420"/>
    </row>
    <row r="6" spans="1:31" s="2107" customFormat="1" ht="16.5" customHeight="1">
      <c r="A6" s="2824" t="s">
        <v>1839</v>
      </c>
      <c r="B6" s="2825"/>
      <c r="C6" s="2826">
        <f ca="1">SUM(C10:K10)</f>
        <v>206435</v>
      </c>
      <c r="D6" s="2825"/>
      <c r="E6" s="2825"/>
      <c r="F6" s="2825"/>
      <c r="G6" s="2825"/>
      <c r="H6" s="2825"/>
      <c r="I6" s="2825"/>
      <c r="J6" s="2825"/>
      <c r="K6" s="2827"/>
    </row>
    <row r="7" spans="1:31" s="2109" customFormat="1" ht="15">
      <c r="A7" s="2828" t="s">
        <v>467</v>
      </c>
      <c r="B7" s="2829" t="s">
        <v>468</v>
      </c>
      <c r="C7" s="434" t="s">
        <v>3109</v>
      </c>
      <c r="D7" s="434" t="s">
        <v>3111</v>
      </c>
      <c r="E7" s="434" t="s">
        <v>3113</v>
      </c>
      <c r="F7" s="434" t="s">
        <v>3115</v>
      </c>
      <c r="G7" s="434" t="s">
        <v>2996</v>
      </c>
      <c r="H7" s="434" t="s">
        <v>35</v>
      </c>
      <c r="I7" s="434" t="s">
        <v>3135</v>
      </c>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1842</v>
      </c>
      <c r="B8" s="259" t="s">
        <v>469</v>
      </c>
      <c r="C8" s="2830">
        <f>'不动产比较法-住宅'!B3</f>
        <v>14291</v>
      </c>
      <c r="D8" s="2830">
        <f>ROUND(C8*0.95,0)</f>
        <v>13576</v>
      </c>
      <c r="E8" s="2830">
        <f>ROUND(C8*0.75,0)</f>
        <v>10718</v>
      </c>
      <c r="F8" s="2830">
        <f>ROUND(C8*0.65,0)</f>
        <v>9289</v>
      </c>
      <c r="G8" s="2830">
        <f ca="1">不动产收益法商业!B3</f>
        <v>11848</v>
      </c>
      <c r="H8" s="2830">
        <f ca="1">不动产收益法车库!B3</f>
        <v>3514</v>
      </c>
      <c r="I8" s="2830">
        <f ca="1">不动产收益法仓储!B3</f>
        <v>3188</v>
      </c>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1843</v>
      </c>
      <c r="B9" s="259" t="s">
        <v>470</v>
      </c>
      <c r="C9" s="439">
        <f>SUMIF('数据-汇总表'!$C19:$C33,'剩余法-待开发'!C7,'数据-汇总表'!$E19:$E33)</f>
        <v>30626.26</v>
      </c>
      <c r="D9" s="439">
        <f>SUMIF('数据-汇总表'!$C19:$C33,'剩余法-待开发'!D7,'数据-汇总表'!$E19:$E33)</f>
        <v>77107.640000000014</v>
      </c>
      <c r="E9" s="439">
        <f>SUMIF('数据-汇总表'!$C19:$C33,'剩余法-待开发'!E7,'数据-汇总表'!$E19:$E33)</f>
        <v>17835.989999999998</v>
      </c>
      <c r="F9" s="439">
        <f>SUMIF('数据-汇总表'!$C19:$C33,'剩余法-待开发'!F7,'数据-汇总表'!$E19:$E33)</f>
        <v>23752.149999999998</v>
      </c>
      <c r="G9" s="439">
        <f>SUMIF('数据-汇总表'!$C19:$C33,'剩余法-待开发'!G7,'数据-汇总表'!$E19:$E33)</f>
        <v>5360.21</v>
      </c>
      <c r="H9" s="439">
        <f>SUMIF('数据-汇总表'!$C19:$C33,'剩余法-待开发'!H7,'数据-汇总表'!$E19:$E33)</f>
        <v>23721.78</v>
      </c>
      <c r="I9" s="439">
        <f>SUMIF('数据-汇总表'!$C19:$C33,'剩余法-待开发'!I7,'数据-汇总表'!$E19:$E33)</f>
        <v>6650.08</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1844</v>
      </c>
      <c r="B10" s="2818" t="s">
        <v>471</v>
      </c>
      <c r="C10" s="3021">
        <f>'不动产比较法-住宅'!B2</f>
        <v>43768</v>
      </c>
      <c r="D10" s="3021">
        <f>ROUND(D8*D9/10000,0)</f>
        <v>104681</v>
      </c>
      <c r="E10" s="3021">
        <f t="shared" ref="E10:F10" si="0">ROUND(E8*E9/10000,0)</f>
        <v>19117</v>
      </c>
      <c r="F10" s="3021">
        <f t="shared" si="0"/>
        <v>22063</v>
      </c>
      <c r="G10" s="2833">
        <f ca="1">不动产收益法商业!B2</f>
        <v>6351</v>
      </c>
      <c r="H10" s="2833">
        <f ca="1">不动产收益法车库!B2</f>
        <v>8335</v>
      </c>
      <c r="I10" s="2833">
        <f ca="1">不动产收益法仓储!B2</f>
        <v>2120</v>
      </c>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1840</v>
      </c>
      <c r="B11" s="2825"/>
      <c r="C11" s="2825"/>
      <c r="D11" s="2825"/>
      <c r="E11" s="2825"/>
      <c r="F11" s="2825"/>
      <c r="G11" s="2825"/>
      <c r="H11" s="2825"/>
      <c r="I11" s="2825"/>
      <c r="J11" s="2825"/>
      <c r="K11" s="2827"/>
    </row>
    <row r="12" spans="1:31" s="2081" customFormat="1" ht="13.5" customHeight="1">
      <c r="A12" s="2836" t="s">
        <v>467</v>
      </c>
      <c r="B12" s="2808" t="s">
        <v>468</v>
      </c>
      <c r="C12" s="2837" t="s">
        <v>472</v>
      </c>
      <c r="D12" s="2804" t="s">
        <v>473</v>
      </c>
      <c r="E12" s="2804" t="s">
        <v>474</v>
      </c>
      <c r="F12" s="2804" t="s">
        <v>475</v>
      </c>
      <c r="G12" s="2808"/>
      <c r="H12" s="2809"/>
      <c r="I12" s="2809"/>
      <c r="J12" s="2809"/>
      <c r="K12" s="2810"/>
    </row>
    <row r="13" spans="1:31" s="2112" customFormat="1" ht="13.5" customHeight="1">
      <c r="A13" s="2838" t="s">
        <v>1845</v>
      </c>
      <c r="B13" s="2839" t="s">
        <v>476</v>
      </c>
      <c r="C13" s="448">
        <f ca="1">IF(B1="",'数据-取费表'!P16,INDIRECT("'数据-取费表'!p"&amp;$K$1)+INDIRECT("'数据-取费表'!t"&amp;$K$1))</f>
        <v>44816</v>
      </c>
      <c r="D13" s="2840"/>
      <c r="E13" s="2841"/>
      <c r="F13" s="2842"/>
      <c r="G13" s="2808"/>
      <c r="H13" s="2809"/>
      <c r="I13" s="2809"/>
      <c r="J13" s="2809"/>
      <c r="K13" s="2810"/>
    </row>
    <row r="14" spans="1:31" s="2112" customFormat="1" ht="13.5" customHeight="1">
      <c r="A14" s="2838" t="s">
        <v>1846</v>
      </c>
      <c r="B14" s="2839" t="s">
        <v>477</v>
      </c>
      <c r="C14" s="53">
        <f ca="1">ROUND(C13*F14,0)</f>
        <v>1793</v>
      </c>
      <c r="D14" s="2840"/>
      <c r="E14" s="2841"/>
      <c r="F14" s="2843">
        <f>'数据-取费表'!B33</f>
        <v>0.04</v>
      </c>
      <c r="G14" s="2808" t="s">
        <v>478</v>
      </c>
      <c r="H14" s="2809"/>
      <c r="I14" s="2809"/>
      <c r="J14" s="2809"/>
      <c r="K14" s="2810"/>
    </row>
    <row r="15" spans="1:31" s="2112" customFormat="1" ht="13.5" customHeight="1">
      <c r="A15" s="2838" t="s">
        <v>1847</v>
      </c>
      <c r="B15" s="2839" t="s">
        <v>479</v>
      </c>
      <c r="C15" s="53">
        <f ca="1">ROUND(IF(B1="",SUMIF('数据-取费表'!C:C,"住宅",'数据-取费表'!P:P)*F15,IF(INDIRECT("'数据-取费表'!c"&amp;$K$1)="住宅",INDIRECT("'数据-取费表'!P"&amp;$K$1)*F15,0)),0)</f>
        <v>0</v>
      </c>
      <c r="D15" s="2840"/>
      <c r="E15" s="2841"/>
      <c r="F15" s="2843">
        <f>'数据-取费表'!B34</f>
        <v>0</v>
      </c>
      <c r="G15" s="2808" t="s">
        <v>480</v>
      </c>
      <c r="H15" s="2809"/>
      <c r="I15" s="2809"/>
      <c r="J15" s="2809"/>
      <c r="K15" s="2810"/>
    </row>
    <row r="16" spans="1:31" s="2113" customFormat="1" ht="13.5" customHeight="1">
      <c r="A16" s="2838" t="s">
        <v>1848</v>
      </c>
      <c r="B16" s="2839" t="s">
        <v>481</v>
      </c>
      <c r="C16" s="53">
        <f ca="1">ROUND(D16*E16/10000,0)</f>
        <v>3738</v>
      </c>
      <c r="D16" s="2840">
        <f ca="1">IF(B1="",'数据-汇总表'!E3,INDIRECT("'数据-取费表'!K"&amp;$K$1)+INDIRECT("'数据-取费表'!S"&amp;$K$1))</f>
        <v>186890.99</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1849</v>
      </c>
      <c r="B17" s="2839" t="s">
        <v>482</v>
      </c>
      <c r="C17" s="2844">
        <f ca="1">ROUND(C13*F17,0)</f>
        <v>672</v>
      </c>
      <c r="D17" s="473"/>
      <c r="E17" s="2844"/>
      <c r="F17" s="2845">
        <f>'数据-取费表'!B36</f>
        <v>1.4999999999999999E-2</v>
      </c>
      <c r="G17" s="259" t="s">
        <v>483</v>
      </c>
      <c r="H17" s="2811"/>
      <c r="I17" s="2811"/>
      <c r="J17" s="2811"/>
      <c r="K17" s="277"/>
    </row>
    <row r="18" spans="1:14" s="2112" customFormat="1" ht="13.5" customHeight="1">
      <c r="A18" s="2846" t="s">
        <v>1850</v>
      </c>
      <c r="B18" s="2847" t="s">
        <v>484</v>
      </c>
      <c r="C18" s="2848">
        <f ca="1">SUM(C13:C17)</f>
        <v>51019</v>
      </c>
      <c r="D18" s="2849"/>
      <c r="E18" s="466"/>
      <c r="F18" s="466"/>
      <c r="G18" s="2812" t="s">
        <v>2424</v>
      </c>
      <c r="H18" s="2813"/>
      <c r="I18" s="2813"/>
      <c r="J18" s="2813"/>
      <c r="K18" s="2814"/>
    </row>
    <row r="19" spans="1:14" s="2112" customFormat="1" ht="13.5" customHeight="1">
      <c r="A19" s="2846" t="s">
        <v>1851</v>
      </c>
      <c r="B19" s="2847" t="s">
        <v>485</v>
      </c>
      <c r="C19" s="2804">
        <f ca="1">ROUND(D19*E19/10000,0)</f>
        <v>0</v>
      </c>
      <c r="D19" s="2850">
        <f ca="1">D16</f>
        <v>186890.99</v>
      </c>
      <c r="E19" s="2804">
        <f>'数据-取费表'!B32</f>
        <v>0</v>
      </c>
      <c r="F19" s="466"/>
      <c r="G19" s="2808" t="s">
        <v>486</v>
      </c>
      <c r="H19" s="2809"/>
      <c r="I19" s="2813"/>
      <c r="J19" s="2813"/>
      <c r="K19" s="2814"/>
    </row>
    <row r="20" spans="1:14" s="2112" customFormat="1" ht="13.5" customHeight="1">
      <c r="A20" s="2846" t="s">
        <v>1852</v>
      </c>
      <c r="B20" s="2847" t="s">
        <v>487</v>
      </c>
      <c r="C20" s="2804">
        <f ca="1">C21+C22-IF(B1="",'数据-取费表'!B29,IF(G20="已全部缴纳",C21+C22,H20))</f>
        <v>2018</v>
      </c>
      <c r="D20" s="2850"/>
      <c r="E20" s="2804"/>
      <c r="F20" s="2851"/>
      <c r="G20" s="3078" t="s">
        <v>3069</v>
      </c>
      <c r="H20" s="2806"/>
      <c r="I20" s="2807" t="s">
        <v>2643</v>
      </c>
      <c r="J20" s="2813"/>
      <c r="K20" s="2814"/>
    </row>
    <row r="21" spans="1:14" s="2112" customFormat="1" ht="13.5" customHeight="1">
      <c r="A21" s="2838" t="s">
        <v>1853</v>
      </c>
      <c r="B21" s="2839" t="s">
        <v>488</v>
      </c>
      <c r="C21" s="53">
        <f ca="1">ROUND(D21*E21/10000,0)</f>
        <v>0</v>
      </c>
      <c r="D21" s="2840">
        <f ca="1">IF(B1="",'数据-汇总表'!E5,IF(INDIRECT("'数据-取费表'!c"&amp;$K$1)="住宅",INDIRECT("'数据-取费表'!k"&amp;$K$1),0))</f>
        <v>0</v>
      </c>
      <c r="E21" s="53">
        <f>'数据-取费表'!B27</f>
        <v>0</v>
      </c>
      <c r="F21" s="2843"/>
      <c r="G21" s="26"/>
      <c r="H21" s="51"/>
      <c r="I21" s="51"/>
      <c r="J21" s="51"/>
      <c r="K21" s="2815"/>
    </row>
    <row r="22" spans="1:14" s="2112" customFormat="1" ht="13.5" customHeight="1">
      <c r="A22" s="2838" t="s">
        <v>1854</v>
      </c>
      <c r="B22" s="2839" t="s">
        <v>489</v>
      </c>
      <c r="C22" s="53">
        <f ca="1">ROUND(D22*E22/10000,0)</f>
        <v>2018</v>
      </c>
      <c r="D22" s="2840">
        <f ca="1">IF(B1="",'数据-汇总表'!E6,IF(INDIRECT("'数据-取费表'!c"&amp;$K$1)="住宅",INDIRECT("'数据-取费表'!s"&amp;$K$1),INDIRECT("'数据-取费表'!k"&amp;$K$1)+INDIRECT("'数据-取费表'!s"&amp;$K$1)))</f>
        <v>186890.99</v>
      </c>
      <c r="E22" s="53">
        <f>'数据-取费表'!B28</f>
        <v>108</v>
      </c>
      <c r="F22" s="2843"/>
      <c r="G22" s="26"/>
      <c r="H22" s="51"/>
      <c r="I22" s="51"/>
      <c r="J22" s="51"/>
      <c r="K22" s="2815"/>
    </row>
    <row r="23" spans="1:14" s="2112" customFormat="1" ht="13.5" customHeight="1">
      <c r="A23" s="2846" t="s">
        <v>1855</v>
      </c>
      <c r="B23" s="3027" t="s">
        <v>2826</v>
      </c>
      <c r="C23" s="2848">
        <f ca="1">ROUND((C18+C19+C20)*F23,0)</f>
        <v>1061</v>
      </c>
      <c r="D23" s="466"/>
      <c r="E23" s="466"/>
      <c r="F23" s="2852">
        <f>'数据-取费表'!B37</f>
        <v>0.02</v>
      </c>
      <c r="G23" s="2808" t="s">
        <v>2425</v>
      </c>
      <c r="H23" s="2809"/>
      <c r="I23" s="2809"/>
      <c r="J23" s="2809"/>
      <c r="K23" s="2810"/>
      <c r="L23" s="2114"/>
      <c r="M23" s="2114"/>
      <c r="N23" s="2114"/>
    </row>
    <row r="24" spans="1:14" s="2112" customFormat="1" ht="13.5" customHeight="1">
      <c r="A24" s="2846" t="s">
        <v>1856</v>
      </c>
      <c r="B24" s="3027" t="s">
        <v>2829</v>
      </c>
      <c r="C24" s="2848">
        <f ca="1">ROUND(C6*F24,0)</f>
        <v>4129</v>
      </c>
      <c r="D24" s="473"/>
      <c r="E24" s="471"/>
      <c r="F24" s="2852">
        <f>'数据-取费表'!B38</f>
        <v>0.02</v>
      </c>
      <c r="G24" s="2817" t="s">
        <v>496</v>
      </c>
      <c r="H24" s="2811"/>
      <c r="I24" s="2811"/>
      <c r="J24" s="2811"/>
      <c r="K24" s="277"/>
      <c r="L24" s="2114"/>
      <c r="M24" s="2114"/>
      <c r="N24" s="2114"/>
    </row>
    <row r="25" spans="1:14" s="2115" customFormat="1" ht="13.5" customHeight="1">
      <c r="A25" s="2846" t="s">
        <v>1857</v>
      </c>
      <c r="B25" s="3027" t="s">
        <v>2827</v>
      </c>
      <c r="C25" s="465">
        <f>ROUND(F25/(1+'数据-取费表'!C42),4)</f>
        <v>3.8600000000000002E-2</v>
      </c>
      <c r="D25" s="460" t="s">
        <v>2821</v>
      </c>
      <c r="E25" s="467"/>
      <c r="F25" s="2852">
        <f>'数据-取费表'!B48+'数据-取费表'!B49</f>
        <v>4.0500000000000001E-2</v>
      </c>
      <c r="G25" s="2816" t="s">
        <v>2285</v>
      </c>
      <c r="H25" s="2809"/>
      <c r="I25" s="2809"/>
      <c r="J25" s="2809"/>
      <c r="K25" s="2810"/>
    </row>
    <row r="26" spans="1:14" s="2114" customFormat="1" ht="13.5" customHeight="1">
      <c r="A26" s="2846" t="s">
        <v>1858</v>
      </c>
      <c r="B26" s="3028" t="s">
        <v>2828</v>
      </c>
      <c r="C26" s="2853">
        <f ca="1">C28</f>
        <v>2766</v>
      </c>
      <c r="D26" s="465">
        <f ca="1">C27</f>
        <v>0.10100000000000001</v>
      </c>
      <c r="E26" s="467" t="s">
        <v>492</v>
      </c>
      <c r="F26" s="469">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1" t="s">
        <v>1853</v>
      </c>
      <c r="B27" s="2854" t="s">
        <v>493</v>
      </c>
      <c r="C27" s="2855">
        <f ca="1">ROUND(IF('数据-取费表'!B22&lt;=1,(1+C25)*F26*'数据-取费表'!B24,(1+C25)*(POWER((1+F26),'数据-取费表'!B24)-1)),4)</f>
        <v>0.10100000000000001</v>
      </c>
      <c r="D27" s="470"/>
      <c r="E27" s="471"/>
      <c r="F27" s="472"/>
      <c r="G27" s="2568" t="str">
        <f>IF('数据-取费表'!B22&lt;=1,"（1+取得税费率/(1+5%)）×年利率×建设期","（1+取得税费率）/(1+5%)×((1+年利率)^建设期-1)")</f>
        <v>（1+取得税费率）/(1+5%)×((1+年利率)^建设期-1)</v>
      </c>
      <c r="H27" s="2811"/>
      <c r="I27" s="2811"/>
      <c r="J27" s="2811"/>
      <c r="K27" s="277"/>
    </row>
    <row r="28" spans="1:14" s="2116" customFormat="1" ht="13.5" customHeight="1">
      <c r="A28" s="801" t="s">
        <v>1854</v>
      </c>
      <c r="B28" s="2854" t="s">
        <v>2830</v>
      </c>
      <c r="C28" s="2856">
        <f ca="1">ROUND(IF('数据-取费表'!B22&lt;=1,(C18+C19+C20+C23+C24)*F26*'数据-取费表'!B24/2,(C18+C19+C20+C23+C24)*(POWER((1+F26),'数据-取费表'!B24/2)-1)),0)</f>
        <v>2766</v>
      </c>
      <c r="D28" s="470"/>
      <c r="E28" s="471"/>
      <c r="F28" s="472"/>
      <c r="G28" s="2568" t="str">
        <f>IF('数据-取费表'!B22&lt;=1,"（1）-（4）项×年利率×建设期÷2","（1）-（4）项×((1+年利率)^(建设期÷2)-1)")</f>
        <v>（1）-（4）项×((1+年利率)^(建设期÷2)-1)</v>
      </c>
      <c r="H28" s="2811"/>
      <c r="I28" s="2811"/>
      <c r="J28" s="2811"/>
      <c r="K28" s="277"/>
    </row>
    <row r="29" spans="1:14" s="2116" customFormat="1" ht="13.5" customHeight="1">
      <c r="A29" s="2857" t="s">
        <v>1859</v>
      </c>
      <c r="B29" s="2847" t="s">
        <v>494</v>
      </c>
      <c r="C29" s="2848">
        <f ca="1">ROUND(C6*F29/(1+'数据-取费表'!C42),0)</f>
        <v>11010</v>
      </c>
      <c r="D29" s="466"/>
      <c r="E29" s="466"/>
      <c r="F29" s="3029">
        <f>'数据-取费表'!B41</f>
        <v>5.6000000000000001E-2</v>
      </c>
      <c r="G29" s="2817" t="s">
        <v>495</v>
      </c>
      <c r="H29" s="2809"/>
      <c r="I29" s="2809"/>
      <c r="J29" s="2809"/>
      <c r="K29" s="2810"/>
    </row>
    <row r="30" spans="1:14" s="2117" customFormat="1" ht="13.5" customHeight="1">
      <c r="A30" s="1632" t="s">
        <v>1860</v>
      </c>
      <c r="B30" s="2858" t="s">
        <v>497</v>
      </c>
      <c r="C30" s="2853">
        <f ca="1">C31</f>
        <v>72003</v>
      </c>
      <c r="D30" s="475">
        <f ca="1">C32</f>
        <v>0.1396</v>
      </c>
      <c r="E30" s="467" t="s">
        <v>492</v>
      </c>
      <c r="F30" s="469"/>
      <c r="G30" s="2816" t="s">
        <v>2959</v>
      </c>
      <c r="H30" s="2809"/>
      <c r="I30" s="2809"/>
      <c r="J30" s="2809"/>
      <c r="K30" s="2810"/>
    </row>
    <row r="31" spans="1:14" s="2116" customFormat="1" ht="13.5" customHeight="1">
      <c r="A31" s="801" t="s">
        <v>1853</v>
      </c>
      <c r="B31" s="2854"/>
      <c r="C31" s="448">
        <f ca="1">C18+C19+C20+C23+C24+C26+C29</f>
        <v>72003</v>
      </c>
      <c r="D31" s="470"/>
      <c r="E31" s="471"/>
      <c r="F31" s="472"/>
      <c r="G31" s="259"/>
      <c r="H31" s="2811"/>
      <c r="I31" s="2811"/>
      <c r="J31" s="2811"/>
      <c r="K31" s="277"/>
    </row>
    <row r="32" spans="1:14" s="2116" customFormat="1" ht="13.5" customHeight="1">
      <c r="A32" s="801" t="s">
        <v>1854</v>
      </c>
      <c r="B32" s="2854"/>
      <c r="C32" s="53">
        <f ca="1">ROUND(C25+D26,4)</f>
        <v>0.1396</v>
      </c>
      <c r="D32" s="470"/>
      <c r="E32" s="471"/>
      <c r="F32" s="472"/>
      <c r="G32" s="259"/>
      <c r="H32" s="2811"/>
      <c r="I32" s="2811"/>
      <c r="J32" s="2811"/>
      <c r="K32" s="277"/>
    </row>
    <row r="33" spans="1:11" s="2118" customFormat="1" ht="13.5" customHeight="1">
      <c r="A33" s="3026" t="s">
        <v>2825</v>
      </c>
      <c r="B33" s="3024" t="s">
        <v>2823</v>
      </c>
      <c r="C33" s="476">
        <f ca="1">C35</f>
        <v>12810</v>
      </c>
      <c r="D33" s="465">
        <f ca="1">C34</f>
        <v>0.22850000000000001</v>
      </c>
      <c r="E33" s="467" t="s">
        <v>492</v>
      </c>
      <c r="F33" s="477">
        <f ca="1">IF(B1="",'数据-取费表'!Q16,INDIRECT("'数据-取费表'!q"&amp;$K$1))</f>
        <v>0.22</v>
      </c>
      <c r="G33" s="2812"/>
      <c r="H33" s="2813"/>
      <c r="I33" s="2813"/>
      <c r="J33" s="2813"/>
      <c r="K33" s="2814"/>
    </row>
    <row r="34" spans="1:11" s="2119" customFormat="1" ht="13.5" customHeight="1">
      <c r="A34" s="373" t="s">
        <v>1853</v>
      </c>
      <c r="B34" s="2859" t="s">
        <v>498</v>
      </c>
      <c r="C34" s="470">
        <f ca="1">ROUND((1+C25)*F33,4)</f>
        <v>0.22850000000000001</v>
      </c>
      <c r="D34" s="470"/>
      <c r="E34" s="471"/>
      <c r="F34" s="478"/>
      <c r="G34" s="259" t="s">
        <v>2286</v>
      </c>
      <c r="H34" s="2811"/>
      <c r="I34" s="2811"/>
      <c r="J34" s="2811"/>
      <c r="K34" s="277"/>
    </row>
    <row r="35" spans="1:11" s="2119" customFormat="1" ht="13.5" customHeight="1" thickBot="1">
      <c r="A35" s="1633" t="s">
        <v>1854</v>
      </c>
      <c r="B35" s="3025" t="s">
        <v>2831</v>
      </c>
      <c r="C35" s="1625">
        <f ca="1">ROUND((C18+C19+C20+C23+C24)*F33,0)</f>
        <v>12810</v>
      </c>
      <c r="D35" s="1626"/>
      <c r="E35" s="2860"/>
      <c r="F35" s="1627"/>
      <c r="G35" s="2818"/>
      <c r="H35" s="2819"/>
      <c r="I35" s="2819"/>
      <c r="J35" s="2819"/>
      <c r="K35" s="2820"/>
    </row>
    <row r="36" spans="1:11" s="2081" customFormat="1" ht="13.5" customHeight="1" thickBot="1">
      <c r="A36" s="282" t="s">
        <v>1841</v>
      </c>
      <c r="B36" s="2822"/>
      <c r="C36" s="2861">
        <f ca="1">ROUND((C6-C30-C33)/(1+D30+D33),0)</f>
        <v>88898</v>
      </c>
      <c r="D36" s="2822"/>
      <c r="E36" s="2822"/>
      <c r="F36" s="2822"/>
      <c r="G36" s="2821" t="s">
        <v>2832</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5" customWidth="1"/>
    <col min="2" max="2" width="15.75" style="1335" customWidth="1"/>
    <col min="3" max="3" width="15.125" style="1335" customWidth="1"/>
    <col min="4" max="4" width="12.25" style="1335" customWidth="1"/>
    <col min="5" max="5" width="16.75" style="1335" customWidth="1"/>
    <col min="6" max="6" width="12.25" style="1335" customWidth="1"/>
    <col min="7" max="7" width="16.875" style="1335" customWidth="1"/>
    <col min="8" max="8" width="12.25" style="1335" customWidth="1"/>
    <col min="9" max="9" width="16.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2619" t="s">
        <v>716</v>
      </c>
      <c r="C1" s="2620" t="s">
        <v>717</v>
      </c>
      <c r="D1" s="2621" t="s">
        <v>3109</v>
      </c>
      <c r="E1" s="2622"/>
      <c r="F1" s="2803" t="s">
        <v>3037</v>
      </c>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464</v>
      </c>
      <c r="B2" s="2618">
        <f>ROUND(B3*D3/10000,0)</f>
        <v>43768</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7" t="s">
        <v>516</v>
      </c>
      <c r="B3" s="849">
        <f>C49</f>
        <v>14291</v>
      </c>
      <c r="C3" s="850" t="s">
        <v>719</v>
      </c>
      <c r="D3" s="849">
        <f>SUMIF('数据-汇总表'!$C19:$C33,D1,'数据-汇总表'!$E19:$E33)</f>
        <v>30626.26</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0" t="s">
        <v>518</v>
      </c>
      <c r="B4" s="511"/>
      <c r="C4" s="3403" t="s">
        <v>519</v>
      </c>
      <c r="D4" s="3404"/>
      <c r="E4" s="3438" t="s">
        <v>520</v>
      </c>
      <c r="F4" s="3439"/>
      <c r="G4" s="3403" t="s">
        <v>521</v>
      </c>
      <c r="H4" s="3404"/>
      <c r="I4" s="3403" t="s">
        <v>522</v>
      </c>
      <c r="J4" s="3404"/>
      <c r="K4" s="851" t="s">
        <v>523</v>
      </c>
      <c r="L4" s="2129"/>
      <c r="M4" s="2130"/>
      <c r="N4" s="2130"/>
      <c r="O4" s="2130"/>
      <c r="P4" s="3405" t="s">
        <v>524</v>
      </c>
      <c r="Q4" s="3406"/>
      <c r="R4" s="3411" t="s">
        <v>520</v>
      </c>
      <c r="S4" s="3412"/>
      <c r="T4" s="3411" t="s">
        <v>521</v>
      </c>
      <c r="U4" s="3412"/>
      <c r="V4" s="3398" t="s">
        <v>522</v>
      </c>
      <c r="W4" s="3398"/>
      <c r="X4" s="1564"/>
      <c r="Y4" s="3411" t="s">
        <v>524</v>
      </c>
      <c r="Z4" s="3412"/>
      <c r="AA4" s="3400" t="s">
        <v>520</v>
      </c>
      <c r="AB4" s="3400" t="s">
        <v>521</v>
      </c>
      <c r="AC4" s="3400" t="s">
        <v>522</v>
      </c>
    </row>
    <row r="5" spans="1:29" ht="15">
      <c r="A5" s="513"/>
      <c r="B5" s="514"/>
      <c r="C5" s="3419" t="s">
        <v>2915</v>
      </c>
      <c r="D5" s="3420"/>
      <c r="E5" s="3493" t="s">
        <v>3231</v>
      </c>
      <c r="F5" s="3441"/>
      <c r="G5" s="3491" t="s">
        <v>3232</v>
      </c>
      <c r="H5" s="3420"/>
      <c r="I5" s="3491" t="s">
        <v>3243</v>
      </c>
      <c r="J5" s="3420"/>
      <c r="K5" s="852"/>
      <c r="L5" s="2129"/>
      <c r="M5" s="2130"/>
      <c r="N5" s="2130"/>
      <c r="O5" s="2130"/>
      <c r="P5" s="3407"/>
      <c r="Q5" s="3408"/>
      <c r="R5" s="3413"/>
      <c r="S5" s="3414"/>
      <c r="T5" s="3413"/>
      <c r="U5" s="3414"/>
      <c r="V5" s="3398"/>
      <c r="W5" s="3398"/>
      <c r="X5" s="1564"/>
      <c r="Y5" s="3413"/>
      <c r="Z5" s="3414"/>
      <c r="AA5" s="3401"/>
      <c r="AB5" s="3401"/>
      <c r="AC5" s="3401"/>
    </row>
    <row r="6" spans="1:29" ht="15.75" thickBot="1">
      <c r="A6" s="515"/>
      <c r="B6" s="516"/>
      <c r="C6" s="3417" t="s">
        <v>2919</v>
      </c>
      <c r="D6" s="3418"/>
      <c r="E6" s="3492"/>
      <c r="F6" s="3437"/>
      <c r="G6" s="3490"/>
      <c r="H6" s="3418"/>
      <c r="I6" s="3490"/>
      <c r="J6" s="3418"/>
      <c r="K6" s="852" t="s">
        <v>525</v>
      </c>
      <c r="L6" s="2129"/>
      <c r="M6" s="2130"/>
      <c r="N6" s="2130"/>
      <c r="O6" s="2130"/>
      <c r="P6" s="3409"/>
      <c r="Q6" s="3410"/>
      <c r="R6" s="3413"/>
      <c r="S6" s="3414"/>
      <c r="T6" s="3415"/>
      <c r="U6" s="3416"/>
      <c r="V6" s="3398"/>
      <c r="W6" s="3398"/>
      <c r="X6" s="1564"/>
      <c r="Y6" s="3415"/>
      <c r="Z6" s="3416"/>
      <c r="AA6" s="3402"/>
      <c r="AB6" s="3402"/>
      <c r="AC6" s="3402"/>
    </row>
    <row r="7" spans="1:29" s="1218" customFormat="1" ht="15.75" thickBot="1">
      <c r="A7" s="2908"/>
      <c r="B7" s="2915" t="s">
        <v>526</v>
      </c>
      <c r="C7" s="517">
        <f>'数据-取费表'!B2</f>
        <v>43447</v>
      </c>
      <c r="D7" s="518">
        <v>100</v>
      </c>
      <c r="E7" s="519">
        <f>C7</f>
        <v>43447</v>
      </c>
      <c r="F7" s="520">
        <f>SUMIF(58:58,YEAR(E7)&amp;"-"&amp;MONTH(E7),59:59)</f>
        <v>100</v>
      </c>
      <c r="G7" s="521">
        <f>C7</f>
        <v>43447</v>
      </c>
      <c r="H7" s="518">
        <f>SUMIF(58:58,YEAR(G7)&amp;"-"&amp;MONTH(G7),59:59)</f>
        <v>100</v>
      </c>
      <c r="I7" s="521">
        <f>C7</f>
        <v>43447</v>
      </c>
      <c r="J7" s="518">
        <f>SUMIF(58:58,YEAR(I7)&amp;"-"&amp;MONTH(I7),59:59)</f>
        <v>100</v>
      </c>
      <c r="K7" s="853"/>
      <c r="L7" s="2131"/>
      <c r="M7" s="2132"/>
      <c r="N7" s="2132"/>
      <c r="O7" s="2132"/>
      <c r="P7" s="3429" t="s">
        <v>527</v>
      </c>
      <c r="Q7" s="3431"/>
      <c r="R7" s="1565" t="s">
        <v>13</v>
      </c>
      <c r="S7" s="1566">
        <f t="shared" ref="S7:S15" si="0">F7</f>
        <v>100</v>
      </c>
      <c r="T7" s="1565" t="s">
        <v>13</v>
      </c>
      <c r="U7" s="1566">
        <f t="shared" ref="U7:U15" si="1">H7</f>
        <v>100</v>
      </c>
      <c r="V7" s="1565" t="s">
        <v>13</v>
      </c>
      <c r="W7" s="1566">
        <f t="shared" ref="W7:W15" si="2">J7</f>
        <v>100</v>
      </c>
      <c r="X7" s="1567"/>
      <c r="Y7" s="3429" t="s">
        <v>527</v>
      </c>
      <c r="Z7" s="3430"/>
      <c r="AA7" s="1568">
        <f>D7/F7</f>
        <v>1</v>
      </c>
      <c r="AB7" s="1568">
        <f>D7/H7</f>
        <v>1</v>
      </c>
      <c r="AC7" s="1568">
        <f>D7/J7</f>
        <v>1</v>
      </c>
    </row>
    <row r="8" spans="1:29" s="1218" customFormat="1" ht="15.75" thickBot="1">
      <c r="A8" s="2909"/>
      <c r="B8" s="2916" t="s">
        <v>528</v>
      </c>
      <c r="C8" s="523" t="s">
        <v>573</v>
      </c>
      <c r="D8" s="518">
        <v>100</v>
      </c>
      <c r="E8" s="854" t="s">
        <v>2984</v>
      </c>
      <c r="F8" s="520">
        <f>SUMIF(61:61,E8,62:62)-SUMIF(61:61,C8,62:62)+100</f>
        <v>100</v>
      </c>
      <c r="G8" s="523" t="s">
        <v>2984</v>
      </c>
      <c r="H8" s="518">
        <f>SUMIF(61:61,G8,62:62)-SUMIF(61:61,C8,62:62)+100</f>
        <v>100</v>
      </c>
      <c r="I8" s="854" t="s">
        <v>2984</v>
      </c>
      <c r="J8" s="518">
        <f>SUMIF(61:61,I8,62:62)-SUMIF(61:61,C8,62:62)+100</f>
        <v>100</v>
      </c>
      <c r="K8" s="853"/>
      <c r="L8" s="2131"/>
      <c r="M8" s="2132"/>
      <c r="N8" s="2132"/>
      <c r="O8" s="2132"/>
      <c r="P8" s="3429" t="s">
        <v>530</v>
      </c>
      <c r="Q8" s="3430"/>
      <c r="R8" s="1565" t="s">
        <v>13</v>
      </c>
      <c r="S8" s="1566">
        <f t="shared" si="0"/>
        <v>100</v>
      </c>
      <c r="T8" s="1565" t="s">
        <v>13</v>
      </c>
      <c r="U8" s="1566">
        <f t="shared" si="1"/>
        <v>100</v>
      </c>
      <c r="V8" s="1565" t="s">
        <v>13</v>
      </c>
      <c r="W8" s="1566">
        <f t="shared" si="2"/>
        <v>100</v>
      </c>
      <c r="X8" s="1567"/>
      <c r="Y8" s="3429" t="s">
        <v>530</v>
      </c>
      <c r="Z8" s="3430"/>
      <c r="AA8" s="1568">
        <f t="shared" ref="AA8:AA46" si="3">D8/F8</f>
        <v>1</v>
      </c>
      <c r="AB8" s="1568">
        <f t="shared" ref="AB8:AB46" si="4">D8/H8</f>
        <v>1</v>
      </c>
      <c r="AC8" s="1568">
        <f t="shared" ref="AC8:AC46" si="5">D8/J8</f>
        <v>1</v>
      </c>
    </row>
    <row r="9" spans="1:29" s="1218" customFormat="1" ht="15">
      <c r="A9" s="2910"/>
      <c r="B9" s="2917" t="s">
        <v>2748</v>
      </c>
      <c r="C9" s="3181" t="s">
        <v>3233</v>
      </c>
      <c r="D9" s="252">
        <v>100</v>
      </c>
      <c r="E9" s="3182" t="s">
        <v>2996</v>
      </c>
      <c r="F9" s="857">
        <f>SUMIF(63:63,E9,64:64)-SUMIF(63:63,C9,64:64)+100</f>
        <v>100</v>
      </c>
      <c r="G9" s="3183" t="s">
        <v>2996</v>
      </c>
      <c r="H9" s="252">
        <f>SUMIF(63:63,G9,64:64)-SUMIF(63:63,C9,64:64)+100</f>
        <v>100</v>
      </c>
      <c r="I9" s="3183" t="s">
        <v>2996</v>
      </c>
      <c r="J9" s="252">
        <f>SUMIF(63:63,I9,64:64)-SUMIF(63:63,C9,64:64)+100</f>
        <v>100</v>
      </c>
      <c r="K9" s="853"/>
      <c r="L9" s="2131"/>
      <c r="M9" s="2132"/>
      <c r="N9" s="2132"/>
      <c r="O9" s="2133"/>
      <c r="P9" s="3397" t="s">
        <v>532</v>
      </c>
      <c r="Q9" s="1149" t="str">
        <f t="shared" ref="Q9:Q15" si="6">B9</f>
        <v>用途</v>
      </c>
      <c r="R9" s="1565" t="s">
        <v>8</v>
      </c>
      <c r="S9" s="1566">
        <f t="shared" si="0"/>
        <v>100</v>
      </c>
      <c r="T9" s="1565" t="s">
        <v>8</v>
      </c>
      <c r="U9" s="1566">
        <f t="shared" si="1"/>
        <v>100</v>
      </c>
      <c r="V9" s="1565" t="s">
        <v>8</v>
      </c>
      <c r="W9" s="1566">
        <f t="shared" si="2"/>
        <v>100</v>
      </c>
      <c r="X9" s="1567"/>
      <c r="Y9" s="3343" t="s">
        <v>533</v>
      </c>
      <c r="Z9" s="1148" t="str">
        <f t="shared" ref="Z9:Z15" si="7">Q9</f>
        <v>用途</v>
      </c>
      <c r="AA9" s="1568">
        <f t="shared" si="3"/>
        <v>1</v>
      </c>
      <c r="AB9" s="1568">
        <f t="shared" si="4"/>
        <v>1</v>
      </c>
      <c r="AC9" s="1568">
        <f t="shared" si="5"/>
        <v>1</v>
      </c>
    </row>
    <row r="10" spans="1:29" s="1336" customFormat="1" ht="27">
      <c r="A10" s="2911"/>
      <c r="B10" s="2916" t="s">
        <v>2749</v>
      </c>
      <c r="C10" s="859" t="s">
        <v>3234</v>
      </c>
      <c r="D10" s="253">
        <v>100</v>
      </c>
      <c r="E10" s="860" t="s">
        <v>3234</v>
      </c>
      <c r="F10" s="861">
        <f>SUMIF(65:65,E10,66:66)-SUMIF(65:65,C10,66:66)+100</f>
        <v>100</v>
      </c>
      <c r="G10" s="859" t="s">
        <v>3234</v>
      </c>
      <c r="H10" s="253">
        <f>SUMIF(65:65,G10,66:66)-SUMIF(65:65,C10,66:66)+100</f>
        <v>100</v>
      </c>
      <c r="I10" s="859" t="s">
        <v>3234</v>
      </c>
      <c r="J10" s="253">
        <f>SUMIF(65:65,I10,66:66)-SUMIF(65:65,C10,66:66)+100</f>
        <v>100</v>
      </c>
      <c r="K10" s="862">
        <v>2</v>
      </c>
      <c r="L10" s="2134"/>
      <c r="M10" s="2174"/>
      <c r="N10" s="2174"/>
      <c r="O10" s="2135"/>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2750</v>
      </c>
      <c r="C11" s="3194">
        <f>'数据-汇总表'!I6</f>
        <v>4.8499999999999996</v>
      </c>
      <c r="D11" s="253">
        <v>100</v>
      </c>
      <c r="E11" s="532">
        <v>2.5</v>
      </c>
      <c r="F11" s="861">
        <f>LOOKUP(E11,68:68,69:69)-LOOKUP(C11,68:68,69:69)+100</f>
        <v>103</v>
      </c>
      <c r="G11" s="531">
        <v>4.5</v>
      </c>
      <c r="H11" s="253">
        <f>LOOKUP(G11,68:68,69:69)-LOOKUP(C11,68:68,69:69)+100</f>
        <v>100</v>
      </c>
      <c r="I11" s="531">
        <v>4</v>
      </c>
      <c r="J11" s="253">
        <f>LOOKUP(I11,68:68,69:69)-LOOKUP(C11,68:68,69:69)+100</f>
        <v>100</v>
      </c>
      <c r="K11" s="862">
        <v>3</v>
      </c>
      <c r="L11" s="2136"/>
      <c r="M11" s="2130"/>
      <c r="N11" s="2130"/>
      <c r="O11" s="2137"/>
      <c r="P11" s="3397"/>
      <c r="Q11" s="1149" t="str">
        <f t="shared" si="6"/>
        <v>容积率</v>
      </c>
      <c r="R11" s="1565" t="s">
        <v>11</v>
      </c>
      <c r="S11" s="1566">
        <f t="shared" si="0"/>
        <v>103</v>
      </c>
      <c r="T11" s="1565" t="s">
        <v>11</v>
      </c>
      <c r="U11" s="1566">
        <f t="shared" si="1"/>
        <v>100</v>
      </c>
      <c r="V11" s="1565" t="s">
        <v>11</v>
      </c>
      <c r="W11" s="1566">
        <f t="shared" si="2"/>
        <v>100</v>
      </c>
      <c r="X11" s="1567"/>
      <c r="Y11" s="3343"/>
      <c r="Z11" s="1148" t="str">
        <f t="shared" si="7"/>
        <v>容积率</v>
      </c>
      <c r="AA11" s="1568">
        <f t="shared" si="3"/>
        <v>0.970873786407767</v>
      </c>
      <c r="AB11" s="1568">
        <f t="shared" si="4"/>
        <v>1</v>
      </c>
      <c r="AC11" s="1568">
        <f t="shared" si="5"/>
        <v>1</v>
      </c>
    </row>
    <row r="12" spans="1:29" s="1218" customFormat="1" ht="15">
      <c r="A12" s="2913"/>
      <c r="B12" s="2919">
        <v>111</v>
      </c>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397"/>
      <c r="Q12" s="1149">
        <f t="shared" si="6"/>
        <v>111</v>
      </c>
      <c r="R12" s="1565" t="s">
        <v>11</v>
      </c>
      <c r="S12" s="1566">
        <f t="shared" si="0"/>
        <v>100</v>
      </c>
      <c r="T12" s="1565" t="s">
        <v>11</v>
      </c>
      <c r="U12" s="1566">
        <f t="shared" si="1"/>
        <v>100</v>
      </c>
      <c r="V12" s="1565" t="s">
        <v>11</v>
      </c>
      <c r="W12" s="1566">
        <f t="shared" si="2"/>
        <v>100</v>
      </c>
      <c r="X12" s="1567"/>
      <c r="Y12" s="3343"/>
      <c r="Z12" s="1148">
        <f t="shared" si="7"/>
        <v>111</v>
      </c>
      <c r="AA12" s="1568">
        <f>D12/F12</f>
        <v>1</v>
      </c>
      <c r="AB12" s="1568">
        <f>D12/H12</f>
        <v>1</v>
      </c>
      <c r="AC12" s="1568">
        <f>D12/J12</f>
        <v>1</v>
      </c>
    </row>
    <row r="13" spans="1:29" ht="15">
      <c r="A13" s="2913"/>
      <c r="B13" s="2919">
        <v>111</v>
      </c>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397"/>
      <c r="Q13" s="1149">
        <f t="shared" si="6"/>
        <v>111</v>
      </c>
      <c r="R13" s="1565" t="s">
        <v>11</v>
      </c>
      <c r="S13" s="1566">
        <f t="shared" si="0"/>
        <v>100</v>
      </c>
      <c r="T13" s="1565" t="s">
        <v>11</v>
      </c>
      <c r="U13" s="1566">
        <f t="shared" si="1"/>
        <v>100</v>
      </c>
      <c r="V13" s="1565" t="s">
        <v>11</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397"/>
      <c r="Q14" s="1149">
        <f t="shared" si="6"/>
        <v>111</v>
      </c>
      <c r="R14" s="1565" t="s">
        <v>11</v>
      </c>
      <c r="S14" s="1566">
        <f t="shared" si="0"/>
        <v>100</v>
      </c>
      <c r="T14" s="1565" t="s">
        <v>11</v>
      </c>
      <c r="U14" s="1566">
        <f t="shared" si="1"/>
        <v>100</v>
      </c>
      <c r="V14" s="1565" t="s">
        <v>11</v>
      </c>
      <c r="W14" s="1566">
        <f t="shared" si="2"/>
        <v>100</v>
      </c>
      <c r="X14" s="1567"/>
      <c r="Y14" s="3343"/>
      <c r="Z14" s="1148">
        <f t="shared" si="7"/>
        <v>111</v>
      </c>
      <c r="AA14" s="1568">
        <f t="shared" si="3"/>
        <v>1</v>
      </c>
      <c r="AB14" s="1568">
        <f t="shared" si="4"/>
        <v>1</v>
      </c>
      <c r="AC14" s="1568">
        <f t="shared" si="5"/>
        <v>1</v>
      </c>
    </row>
    <row r="15" spans="1:29" ht="90.75" customHeight="1">
      <c r="A15" s="2906" t="s">
        <v>2746</v>
      </c>
      <c r="B15" s="164" t="s">
        <v>294</v>
      </c>
      <c r="C15" s="865" t="str">
        <f>估价对象房地状况!C3</f>
        <v>周边有瑞府、秋景怡园等住宅社区，分布密度一般，入住率一般，居住社区成熟度一般。</v>
      </c>
      <c r="D15" s="547">
        <v>100</v>
      </c>
      <c r="E15" s="3220" t="s">
        <v>3255</v>
      </c>
      <c r="F15" s="549">
        <f>SUMIF(76:76,E16,77:77)-SUMIF(76:76,C16,77:77)+100</f>
        <v>100</v>
      </c>
      <c r="G15" s="3219" t="s">
        <v>3247</v>
      </c>
      <c r="H15" s="547">
        <f>SUMIF(76:76,G16,77:77)-SUMIF(76:76,C16,77:77)+100</f>
        <v>100</v>
      </c>
      <c r="I15" s="3220" t="s">
        <v>3252</v>
      </c>
      <c r="J15" s="547">
        <f>SUMIF(76:76,I16,77:77)-SUMIF(76:76,C16,77:77)+100</f>
        <v>102</v>
      </c>
      <c r="K15" s="866">
        <v>2</v>
      </c>
      <c r="L15" s="2138"/>
      <c r="M15" s="2130"/>
      <c r="N15" s="2130"/>
      <c r="O15" s="2137"/>
      <c r="P15" s="3432" t="s">
        <v>537</v>
      </c>
      <c r="Q15" s="1569" t="str">
        <f t="shared" si="6"/>
        <v>居住社区成熟度</v>
      </c>
      <c r="R15" s="1570" t="s">
        <v>11</v>
      </c>
      <c r="S15" s="1571">
        <f t="shared" si="0"/>
        <v>100</v>
      </c>
      <c r="T15" s="1570" t="s">
        <v>11</v>
      </c>
      <c r="U15" s="1571">
        <f t="shared" si="1"/>
        <v>100</v>
      </c>
      <c r="V15" s="1570" t="s">
        <v>11</v>
      </c>
      <c r="W15" s="1571">
        <f t="shared" si="2"/>
        <v>102</v>
      </c>
      <c r="X15" s="1564"/>
      <c r="Y15" s="3432" t="s">
        <v>537</v>
      </c>
      <c r="Z15" s="1572" t="str">
        <f t="shared" si="7"/>
        <v>居住社区成熟度</v>
      </c>
      <c r="AA15" s="1573">
        <f t="shared" si="3"/>
        <v>1</v>
      </c>
      <c r="AB15" s="1573">
        <f t="shared" si="4"/>
        <v>1</v>
      </c>
      <c r="AC15" s="1573">
        <f t="shared" si="5"/>
        <v>0.98039215686274506</v>
      </c>
    </row>
    <row r="16" spans="1:29" ht="15">
      <c r="A16" s="530"/>
      <c r="B16" s="867"/>
      <c r="C16" s="574" t="s">
        <v>3057</v>
      </c>
      <c r="D16" s="553"/>
      <c r="E16" s="554" t="s">
        <v>3057</v>
      </c>
      <c r="F16" s="555"/>
      <c r="G16" s="556" t="s">
        <v>3057</v>
      </c>
      <c r="H16" s="557"/>
      <c r="I16" s="556" t="s">
        <v>3031</v>
      </c>
      <c r="J16" s="553"/>
      <c r="K16" s="868"/>
      <c r="L16" s="2138"/>
      <c r="M16" s="2130"/>
      <c r="N16" s="2130"/>
      <c r="O16" s="2137"/>
      <c r="P16" s="3433"/>
      <c r="Q16" s="1569"/>
      <c r="R16" s="1570"/>
      <c r="S16" s="1571"/>
      <c r="T16" s="1570"/>
      <c r="U16" s="1571"/>
      <c r="V16" s="1570"/>
      <c r="W16" s="1571"/>
      <c r="X16" s="1564"/>
      <c r="Y16" s="3433"/>
      <c r="Z16" s="1572"/>
      <c r="AA16" s="1573">
        <v>1</v>
      </c>
      <c r="AB16" s="1573">
        <v>1</v>
      </c>
      <c r="AC16" s="1573">
        <v>1</v>
      </c>
    </row>
    <row r="17" spans="1:29" ht="117" customHeight="1">
      <c r="A17" s="530"/>
      <c r="B17" s="869" t="s">
        <v>295</v>
      </c>
      <c r="C17" s="870" t="str">
        <f>估价对象房地状况!C6</f>
        <v>周边有4路、45路、98路等多条公交线路，邻近东二环北路，路网密集度一般、停车较便捷，综合评价交通便捷度较好。</v>
      </c>
      <c r="D17" s="557">
        <v>100</v>
      </c>
      <c r="E17" s="560" t="s">
        <v>3248</v>
      </c>
      <c r="F17" s="561">
        <f>SUMIF(78:78,E18,79:79)-SUMIF(78:78,C18,79:79)+100</f>
        <v>100</v>
      </c>
      <c r="G17" s="562" t="s">
        <v>3251</v>
      </c>
      <c r="H17" s="563">
        <f>SUMIF(78:78,G18,79:79)-SUMIF(78:78,C18,79:79)+100</f>
        <v>100</v>
      </c>
      <c r="I17" s="562" t="s">
        <v>3253</v>
      </c>
      <c r="J17" s="563">
        <f>SUMIF(78:78,I18,79:79)-SUMIF(78:78,C18,79:79)+100</f>
        <v>100</v>
      </c>
      <c r="K17" s="866">
        <v>3</v>
      </c>
      <c r="L17" s="2138"/>
      <c r="M17" s="2130"/>
      <c r="N17" s="2130"/>
      <c r="O17" s="2137"/>
      <c r="P17" s="3433"/>
      <c r="Q17" s="1569" t="str">
        <f>B17</f>
        <v>交通便捷度</v>
      </c>
      <c r="R17" s="1570" t="s">
        <v>11</v>
      </c>
      <c r="S17" s="1571">
        <f>F17</f>
        <v>100</v>
      </c>
      <c r="T17" s="1570" t="s">
        <v>11</v>
      </c>
      <c r="U17" s="1571">
        <f>H17</f>
        <v>100</v>
      </c>
      <c r="V17" s="1570" t="s">
        <v>11</v>
      </c>
      <c r="W17" s="1571">
        <f>J17</f>
        <v>100</v>
      </c>
      <c r="X17" s="1564"/>
      <c r="Y17" s="3433"/>
      <c r="Z17" s="1572" t="str">
        <f>Q17</f>
        <v>交通便捷度</v>
      </c>
      <c r="AA17" s="1573">
        <f t="shared" si="3"/>
        <v>1</v>
      </c>
      <c r="AB17" s="1573">
        <f t="shared" si="4"/>
        <v>1</v>
      </c>
      <c r="AC17" s="1573">
        <f t="shared" si="5"/>
        <v>1</v>
      </c>
    </row>
    <row r="18" spans="1:29" ht="15">
      <c r="A18" s="530"/>
      <c r="B18" s="593"/>
      <c r="C18" s="556" t="s">
        <v>3031</v>
      </c>
      <c r="D18" s="557"/>
      <c r="E18" s="556" t="s">
        <v>3031</v>
      </c>
      <c r="F18" s="561"/>
      <c r="G18" s="556" t="s">
        <v>3031</v>
      </c>
      <c r="H18" s="553"/>
      <c r="I18" s="556" t="s">
        <v>3031</v>
      </c>
      <c r="J18" s="553"/>
      <c r="K18" s="868"/>
      <c r="L18" s="2138"/>
      <c r="M18" s="2130"/>
      <c r="N18" s="2130"/>
      <c r="O18" s="2137"/>
      <c r="P18" s="3433"/>
      <c r="Q18" s="1569"/>
      <c r="R18" s="1570"/>
      <c r="S18" s="1571"/>
      <c r="T18" s="1570"/>
      <c r="U18" s="1571"/>
      <c r="V18" s="1570"/>
      <c r="W18" s="1571"/>
      <c r="X18" s="1564"/>
      <c r="Y18" s="3433"/>
      <c r="Z18" s="1572"/>
      <c r="AA18" s="1573">
        <v>1</v>
      </c>
      <c r="AB18" s="1573">
        <v>1</v>
      </c>
      <c r="AC18" s="1573">
        <v>1</v>
      </c>
    </row>
    <row r="19" spans="1:29" ht="42.75">
      <c r="A19" s="530"/>
      <c r="B19" s="2596" t="s">
        <v>2538</v>
      </c>
      <c r="C19" s="870" t="str">
        <f>估价对象房地状况!C7</f>
        <v>所在区域公共配套设施齐备情况较好。</v>
      </c>
      <c r="D19" s="563">
        <v>100</v>
      </c>
      <c r="E19" s="568" t="s">
        <v>3249</v>
      </c>
      <c r="F19" s="569">
        <f>SUMIF(80:80,E20,81:81)-SUMIF(80:80,C20,81:81)+100</f>
        <v>100</v>
      </c>
      <c r="G19" s="568" t="s">
        <v>3249</v>
      </c>
      <c r="H19" s="557">
        <f>SUMIF(80:80,G20,81:81)-SUMIF(80:80,C20,81:81)+100</f>
        <v>100</v>
      </c>
      <c r="I19" s="568" t="s">
        <v>3249</v>
      </c>
      <c r="J19" s="557">
        <f>SUMIF(80:80,I20,81:81)-SUMIF(80:80,C20,81:81)+100</f>
        <v>100</v>
      </c>
      <c r="K19" s="866">
        <v>3</v>
      </c>
      <c r="L19" s="2138"/>
      <c r="M19" s="2130"/>
      <c r="N19" s="2130"/>
      <c r="O19" s="2137"/>
      <c r="P19" s="3433"/>
      <c r="Q19" s="1569" t="str">
        <f>B19</f>
        <v>公共配套设施</v>
      </c>
      <c r="R19" s="1570" t="s">
        <v>11</v>
      </c>
      <c r="S19" s="1571">
        <f>F19</f>
        <v>100</v>
      </c>
      <c r="T19" s="1570" t="s">
        <v>11</v>
      </c>
      <c r="U19" s="1571">
        <f>H19</f>
        <v>100</v>
      </c>
      <c r="V19" s="1570" t="s">
        <v>11</v>
      </c>
      <c r="W19" s="1571">
        <f>J19</f>
        <v>100</v>
      </c>
      <c r="X19" s="1564"/>
      <c r="Y19" s="3433"/>
      <c r="Z19" s="1572" t="str">
        <f>Q19</f>
        <v>公共配套设施</v>
      </c>
      <c r="AA19" s="1573">
        <f t="shared" si="3"/>
        <v>1</v>
      </c>
      <c r="AB19" s="1573">
        <f t="shared" si="4"/>
        <v>1</v>
      </c>
      <c r="AC19" s="1573">
        <f t="shared" si="5"/>
        <v>1</v>
      </c>
    </row>
    <row r="20" spans="1:29" ht="15">
      <c r="A20" s="530"/>
      <c r="B20" s="593"/>
      <c r="C20" s="556" t="s">
        <v>3031</v>
      </c>
      <c r="D20" s="553"/>
      <c r="E20" s="556" t="s">
        <v>3031</v>
      </c>
      <c r="F20" s="555"/>
      <c r="G20" s="556" t="s">
        <v>3031</v>
      </c>
      <c r="H20" s="553"/>
      <c r="I20" s="556" t="s">
        <v>3031</v>
      </c>
      <c r="J20" s="553"/>
      <c r="K20" s="868"/>
      <c r="L20" s="2138"/>
      <c r="M20" s="2130"/>
      <c r="N20" s="2130"/>
      <c r="O20" s="2137"/>
      <c r="P20" s="3433"/>
      <c r="Q20" s="1569"/>
      <c r="R20" s="1570"/>
      <c r="S20" s="1571"/>
      <c r="T20" s="1570"/>
      <c r="U20" s="1571"/>
      <c r="V20" s="1570"/>
      <c r="W20" s="1571"/>
      <c r="X20" s="1564"/>
      <c r="Y20" s="3433"/>
      <c r="Z20" s="1572"/>
      <c r="AA20" s="1573">
        <v>1</v>
      </c>
      <c r="AB20" s="1573">
        <v>1</v>
      </c>
      <c r="AC20" s="1573">
        <v>1</v>
      </c>
    </row>
    <row r="21" spans="1:29" ht="28.5">
      <c r="A21" s="530"/>
      <c r="B21" s="2589" t="s">
        <v>2550</v>
      </c>
      <c r="C21" s="870" t="str">
        <f>估价对象房地状况!C8</f>
        <v>所在区域基础设施水平达“七通”。</v>
      </c>
      <c r="D21" s="563">
        <v>100</v>
      </c>
      <c r="E21" s="570" t="s">
        <v>3216</v>
      </c>
      <c r="F21" s="569">
        <f>SUMIF(82:82,E22,83:83)-SUMIF(82:82,C22,83:83)+100</f>
        <v>100</v>
      </c>
      <c r="G21" s="570" t="s">
        <v>3216</v>
      </c>
      <c r="H21" s="563">
        <f>SUMIF(82:82,G22,83:83)-SUMIF(82:82,C22,83:83)+100</f>
        <v>100</v>
      </c>
      <c r="I21" s="570" t="s">
        <v>3216</v>
      </c>
      <c r="J21" s="563">
        <f>SUMIF(82:82,I22,83:83)-SUMIF(82:82,C22,83:83)+100</f>
        <v>100</v>
      </c>
      <c r="K21" s="866">
        <v>2</v>
      </c>
      <c r="L21" s="2138"/>
      <c r="M21" s="2130"/>
      <c r="N21" s="2130"/>
      <c r="O21" s="2137"/>
      <c r="P21" s="3433"/>
      <c r="Q21" s="2575" t="str">
        <f>B21</f>
        <v>基础设施水平</v>
      </c>
      <c r="R21" s="1570" t="s">
        <v>11</v>
      </c>
      <c r="S21" s="1571">
        <f>F21</f>
        <v>100</v>
      </c>
      <c r="T21" s="1570" t="s">
        <v>11</v>
      </c>
      <c r="U21" s="1571">
        <f>H21</f>
        <v>100</v>
      </c>
      <c r="V21" s="1570" t="s">
        <v>11</v>
      </c>
      <c r="W21" s="1571">
        <f>J21</f>
        <v>100</v>
      </c>
      <c r="X21" s="2577"/>
      <c r="Y21" s="3433"/>
      <c r="Z21" s="2576" t="str">
        <f>Q21</f>
        <v>基础设施水平</v>
      </c>
      <c r="AA21" s="1573">
        <f t="shared" ref="AA21" si="8">D21/F21</f>
        <v>1</v>
      </c>
      <c r="AB21" s="1573">
        <f t="shared" ref="AB21" si="9">D21/H21</f>
        <v>1</v>
      </c>
      <c r="AC21" s="1573">
        <f t="shared" ref="AC21" si="10">D21/J21</f>
        <v>1</v>
      </c>
    </row>
    <row r="22" spans="1:29" ht="15">
      <c r="A22" s="530"/>
      <c r="B22" s="920"/>
      <c r="C22" s="556" t="s">
        <v>3031</v>
      </c>
      <c r="D22" s="553"/>
      <c r="E22" s="556" t="s">
        <v>3031</v>
      </c>
      <c r="F22" s="555"/>
      <c r="G22" s="556" t="s">
        <v>3031</v>
      </c>
      <c r="H22" s="553"/>
      <c r="I22" s="556" t="s">
        <v>3031</v>
      </c>
      <c r="J22" s="553"/>
      <c r="K22" s="2595"/>
      <c r="L22" s="2138"/>
      <c r="M22" s="2130"/>
      <c r="N22" s="2130"/>
      <c r="O22" s="2137"/>
      <c r="P22" s="3433"/>
      <c r="Q22" s="2575"/>
      <c r="R22" s="1570"/>
      <c r="S22" s="1571"/>
      <c r="T22" s="1570"/>
      <c r="U22" s="1571"/>
      <c r="V22" s="1570"/>
      <c r="W22" s="1571"/>
      <c r="X22" s="2577"/>
      <c r="Y22" s="3433"/>
      <c r="Z22" s="2576"/>
      <c r="AA22" s="1573">
        <v>1</v>
      </c>
      <c r="AB22" s="1573">
        <v>1</v>
      </c>
      <c r="AC22" s="1573">
        <v>1</v>
      </c>
    </row>
    <row r="23" spans="1:29" ht="99.75">
      <c r="A23" s="530"/>
      <c r="B23" s="869" t="s">
        <v>296</v>
      </c>
      <c r="C23" s="870" t="str">
        <f>估价对象房地状况!C9</f>
        <v>所在区域有三角河公园，自然环境一般；无博物馆等人文设施，人文环境差；综合评价环境状况较差。</v>
      </c>
      <c r="D23" s="557">
        <v>100</v>
      </c>
      <c r="E23" s="3189" t="s">
        <v>3250</v>
      </c>
      <c r="F23" s="561">
        <f>SUMIF(84:84,E24,85:85)-SUMIF(84:84,C24,85:85)+100</f>
        <v>100</v>
      </c>
      <c r="G23" s="3188" t="s">
        <v>3221</v>
      </c>
      <c r="H23" s="557">
        <f>SUMIF(84:84,G24,85:85)-SUMIF(84:84,C24,85:85)+100</f>
        <v>97</v>
      </c>
      <c r="I23" s="3189" t="s">
        <v>3254</v>
      </c>
      <c r="J23" s="557">
        <f>SUMIF(84:84,I24,85:85)-SUMIF(84:84,C24,85:85)+100</f>
        <v>103</v>
      </c>
      <c r="K23" s="866">
        <v>3</v>
      </c>
      <c r="L23" s="2138"/>
      <c r="M23" s="2130"/>
      <c r="N23" s="2130"/>
      <c r="O23" s="2137"/>
      <c r="P23" s="3433"/>
      <c r="Q23" s="1569" t="str">
        <f>B23</f>
        <v>自然及人文环境</v>
      </c>
      <c r="R23" s="1570" t="s">
        <v>11</v>
      </c>
      <c r="S23" s="1571">
        <f>F23</f>
        <v>100</v>
      </c>
      <c r="T23" s="1570" t="s">
        <v>11</v>
      </c>
      <c r="U23" s="1571">
        <f>H23</f>
        <v>97</v>
      </c>
      <c r="V23" s="1570" t="s">
        <v>11</v>
      </c>
      <c r="W23" s="1571">
        <f>J23</f>
        <v>103</v>
      </c>
      <c r="X23" s="1564"/>
      <c r="Y23" s="3433"/>
      <c r="Z23" s="1572" t="str">
        <f>Q23</f>
        <v>自然及人文环境</v>
      </c>
      <c r="AA23" s="1573">
        <f t="shared" si="3"/>
        <v>1</v>
      </c>
      <c r="AB23" s="1573">
        <f t="shared" si="4"/>
        <v>1.0309278350515463</v>
      </c>
      <c r="AC23" s="1573">
        <f t="shared" si="5"/>
        <v>0.970873786407767</v>
      </c>
    </row>
    <row r="24" spans="1:29" ht="15">
      <c r="A24" s="530"/>
      <c r="B24" s="593"/>
      <c r="C24" s="556" t="s">
        <v>3123</v>
      </c>
      <c r="D24" s="553"/>
      <c r="E24" s="556" t="s">
        <v>3123</v>
      </c>
      <c r="F24" s="555"/>
      <c r="G24" s="556" t="s">
        <v>3222</v>
      </c>
      <c r="H24" s="553"/>
      <c r="I24" s="556" t="s">
        <v>3057</v>
      </c>
      <c r="J24" s="553"/>
      <c r="K24" s="868"/>
      <c r="L24" s="2138"/>
      <c r="M24" s="2130"/>
      <c r="N24" s="2130"/>
      <c r="O24" s="2137"/>
      <c r="P24" s="3433"/>
      <c r="Q24" s="1569"/>
      <c r="R24" s="1570"/>
      <c r="S24" s="1571"/>
      <c r="T24" s="1570"/>
      <c r="U24" s="1571"/>
      <c r="V24" s="1570"/>
      <c r="W24" s="1571"/>
      <c r="X24" s="1564"/>
      <c r="Y24" s="3433"/>
      <c r="Z24" s="1572"/>
      <c r="AA24" s="1573">
        <v>1</v>
      </c>
      <c r="AB24" s="1573">
        <v>1</v>
      </c>
      <c r="AC24" s="1573">
        <v>1</v>
      </c>
    </row>
    <row r="25" spans="1:29" ht="15">
      <c r="A25" s="530"/>
      <c r="B25" s="1891" t="s">
        <v>2253</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433"/>
      <c r="Q25" s="1569" t="str">
        <f t="shared" ref="Q25:Q46" si="11">B25</f>
        <v>楼层-1</v>
      </c>
      <c r="R25" s="1570" t="s">
        <v>11</v>
      </c>
      <c r="S25" s="1571">
        <f>F25</f>
        <v>100</v>
      </c>
      <c r="T25" s="1570" t="s">
        <v>11</v>
      </c>
      <c r="U25" s="1571">
        <f>H25</f>
        <v>100</v>
      </c>
      <c r="V25" s="1570" t="s">
        <v>11</v>
      </c>
      <c r="W25" s="1571">
        <f>J25</f>
        <v>100</v>
      </c>
      <c r="X25" s="1564"/>
      <c r="Y25" s="3433"/>
      <c r="Z25" s="1572" t="str">
        <f>Q25</f>
        <v>楼层-1</v>
      </c>
      <c r="AA25" s="1573">
        <f t="shared" si="3"/>
        <v>1</v>
      </c>
      <c r="AB25" s="1573">
        <f t="shared" si="4"/>
        <v>1</v>
      </c>
      <c r="AC25" s="1573">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433"/>
      <c r="Q26" s="1569" t="str">
        <f t="shared" si="11"/>
        <v>朝向</v>
      </c>
      <c r="R26" s="1570" t="s">
        <v>11</v>
      </c>
      <c r="S26" s="1571">
        <f>F26</f>
        <v>100</v>
      </c>
      <c r="T26" s="1570" t="s">
        <v>11</v>
      </c>
      <c r="U26" s="1571">
        <f>H26</f>
        <v>100</v>
      </c>
      <c r="V26" s="1570" t="s">
        <v>11</v>
      </c>
      <c r="W26" s="1571">
        <f>J26</f>
        <v>100</v>
      </c>
      <c r="X26" s="1564"/>
      <c r="Y26" s="3433"/>
      <c r="Z26" s="1572" t="str">
        <f>Q26</f>
        <v>朝向</v>
      </c>
      <c r="AA26" s="1573">
        <f t="shared" si="3"/>
        <v>1</v>
      </c>
      <c r="AB26" s="1573">
        <f t="shared" si="4"/>
        <v>1</v>
      </c>
      <c r="AC26" s="1573">
        <f t="shared" si="5"/>
        <v>1</v>
      </c>
    </row>
    <row r="27" spans="1:29" s="1218"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433"/>
      <c r="Q27" s="1149" t="str">
        <f t="shared" si="11"/>
        <v>道路级别</v>
      </c>
      <c r="R27" s="1565" t="s">
        <v>11</v>
      </c>
      <c r="S27" s="1566">
        <f>F27</f>
        <v>100</v>
      </c>
      <c r="T27" s="1565" t="s">
        <v>11</v>
      </c>
      <c r="U27" s="1566">
        <f>H27</f>
        <v>100</v>
      </c>
      <c r="V27" s="1565" t="s">
        <v>11</v>
      </c>
      <c r="W27" s="1566">
        <f>J27</f>
        <v>100</v>
      </c>
      <c r="X27" s="1567"/>
      <c r="Y27" s="3433"/>
      <c r="Z27" s="1148"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433"/>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3"/>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433"/>
      <c r="Q29" s="1569">
        <f t="shared" si="11"/>
        <v>111</v>
      </c>
      <c r="R29" s="1570" t="s">
        <v>11</v>
      </c>
      <c r="S29" s="1571">
        <f t="shared" si="12"/>
        <v>100</v>
      </c>
      <c r="T29" s="1570" t="s">
        <v>11</v>
      </c>
      <c r="U29" s="1571">
        <f t="shared" si="13"/>
        <v>100</v>
      </c>
      <c r="V29" s="1570" t="s">
        <v>11</v>
      </c>
      <c r="W29" s="1571">
        <f t="shared" si="14"/>
        <v>100</v>
      </c>
      <c r="X29" s="1564"/>
      <c r="Y29" s="3433"/>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433"/>
      <c r="Q30" s="1569">
        <f t="shared" si="11"/>
        <v>111</v>
      </c>
      <c r="R30" s="1570" t="s">
        <v>11</v>
      </c>
      <c r="S30" s="1571">
        <f t="shared" si="12"/>
        <v>100</v>
      </c>
      <c r="T30" s="1570" t="s">
        <v>11</v>
      </c>
      <c r="U30" s="1571">
        <f t="shared" si="13"/>
        <v>100</v>
      </c>
      <c r="V30" s="1570" t="s">
        <v>11</v>
      </c>
      <c r="W30" s="1571">
        <f t="shared" si="14"/>
        <v>100</v>
      </c>
      <c r="X30" s="1564"/>
      <c r="Y30" s="3433"/>
      <c r="Z30" s="1572">
        <f t="shared" si="15"/>
        <v>111</v>
      </c>
      <c r="AA30" s="1573">
        <f t="shared" si="3"/>
        <v>1</v>
      </c>
      <c r="AB30" s="1573">
        <f t="shared" si="4"/>
        <v>1</v>
      </c>
      <c r="AC30" s="1573">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433"/>
      <c r="Q31" s="1569">
        <f t="shared" si="11"/>
        <v>111</v>
      </c>
      <c r="R31" s="1570" t="s">
        <v>11</v>
      </c>
      <c r="S31" s="1571">
        <f t="shared" si="12"/>
        <v>100</v>
      </c>
      <c r="T31" s="1570" t="s">
        <v>11</v>
      </c>
      <c r="U31" s="1571">
        <f t="shared" si="13"/>
        <v>100</v>
      </c>
      <c r="V31" s="1570" t="s">
        <v>11</v>
      </c>
      <c r="W31" s="1571">
        <f t="shared" si="14"/>
        <v>100</v>
      </c>
      <c r="X31" s="1564"/>
      <c r="Y31" s="3433"/>
      <c r="Z31" s="1572">
        <f t="shared" si="15"/>
        <v>111</v>
      </c>
      <c r="AA31" s="1573">
        <f t="shared" si="3"/>
        <v>1</v>
      </c>
      <c r="AB31" s="1573">
        <f t="shared" si="4"/>
        <v>1</v>
      </c>
      <c r="AC31" s="1573">
        <f t="shared" si="5"/>
        <v>1</v>
      </c>
    </row>
    <row r="32" spans="1:29" ht="15">
      <c r="A32" s="2903" t="s">
        <v>2747</v>
      </c>
      <c r="B32" s="170" t="s">
        <v>722</v>
      </c>
      <c r="C32" s="876" t="s">
        <v>3109</v>
      </c>
      <c r="D32" s="595">
        <v>100</v>
      </c>
      <c r="E32" s="877" t="s">
        <v>3109</v>
      </c>
      <c r="F32" s="573">
        <f>SUMIF(100:100,E32,101:101)-SUMIF(100:100,C32,101:101)+100</f>
        <v>100</v>
      </c>
      <c r="G32" s="876" t="s">
        <v>3109</v>
      </c>
      <c r="H32" s="595">
        <f>SUMIF(100:100,G32,101:101)-SUMIF(100:100,C32,101:101)+100</f>
        <v>100</v>
      </c>
      <c r="I32" s="877" t="s">
        <v>3111</v>
      </c>
      <c r="J32" s="538">
        <f>SUMIF(100:100,I32,101:101)-SUMIF(100:100,C32,101:101)+100</f>
        <v>95</v>
      </c>
      <c r="K32" s="862">
        <v>5</v>
      </c>
      <c r="L32" s="2138"/>
      <c r="M32" s="2130"/>
      <c r="N32" s="2130"/>
      <c r="O32" s="2137"/>
      <c r="P32" s="3434" t="s">
        <v>547</v>
      </c>
      <c r="Q32" s="1569" t="str">
        <f t="shared" si="11"/>
        <v>建筑类型</v>
      </c>
      <c r="R32" s="1570" t="s">
        <v>11</v>
      </c>
      <c r="S32" s="1571">
        <f t="shared" si="12"/>
        <v>100</v>
      </c>
      <c r="T32" s="1570" t="s">
        <v>11</v>
      </c>
      <c r="U32" s="1571">
        <f t="shared" si="13"/>
        <v>100</v>
      </c>
      <c r="V32" s="1570" t="s">
        <v>11</v>
      </c>
      <c r="W32" s="1571">
        <f t="shared" si="14"/>
        <v>95</v>
      </c>
      <c r="X32" s="1564"/>
      <c r="Y32" s="3435" t="s">
        <v>547</v>
      </c>
      <c r="Z32" s="1572" t="str">
        <f t="shared" si="15"/>
        <v>建筑类型</v>
      </c>
      <c r="AA32" s="1573">
        <f t="shared" si="3"/>
        <v>1</v>
      </c>
      <c r="AB32" s="1573">
        <f t="shared" si="4"/>
        <v>1</v>
      </c>
      <c r="AC32" s="1573">
        <f t="shared" si="5"/>
        <v>1.0526315789473684</v>
      </c>
    </row>
    <row r="33" spans="1:29" s="1337" customFormat="1" ht="15">
      <c r="A33" s="601"/>
      <c r="B33" s="525" t="s">
        <v>723</v>
      </c>
      <c r="C33" s="878">
        <f>'数据-基础表'!B3</f>
        <v>186890.99</v>
      </c>
      <c r="D33" s="253">
        <v>100</v>
      </c>
      <c r="E33" s="532">
        <v>397000</v>
      </c>
      <c r="F33" s="861">
        <f>LOOKUP(E33,103:103,104:104)-LOOKUP(C33,103:103,104:104)+100</f>
        <v>102</v>
      </c>
      <c r="G33" s="531">
        <v>114099</v>
      </c>
      <c r="H33" s="253">
        <f>LOOKUP(G33,103:103,104:104)-LOOKUP(C33,103:103,104:104)+100</f>
        <v>100</v>
      </c>
      <c r="I33" s="532">
        <v>4000000</v>
      </c>
      <c r="J33" s="253">
        <f>LOOKUP(I33,103:103,104:104)-LOOKUP(C33,103:103,104:104)+100</f>
        <v>105</v>
      </c>
      <c r="K33" s="863"/>
      <c r="L33" s="2136"/>
      <c r="M33" s="2167"/>
      <c r="N33" s="2167"/>
      <c r="O33" s="2139"/>
      <c r="P33" s="3435"/>
      <c r="Q33" s="1602" t="str">
        <f t="shared" si="11"/>
        <v>项目建筑规模</v>
      </c>
      <c r="R33" s="1574" t="s">
        <v>11</v>
      </c>
      <c r="S33" s="1575">
        <f t="shared" si="12"/>
        <v>102</v>
      </c>
      <c r="T33" s="1574" t="s">
        <v>11</v>
      </c>
      <c r="U33" s="1575">
        <f t="shared" si="13"/>
        <v>100</v>
      </c>
      <c r="V33" s="1574" t="s">
        <v>11</v>
      </c>
      <c r="W33" s="1575">
        <f t="shared" si="14"/>
        <v>105</v>
      </c>
      <c r="X33" s="1576"/>
      <c r="Y33" s="3435"/>
      <c r="Z33" s="1577" t="str">
        <f t="shared" si="15"/>
        <v>项目建筑规模</v>
      </c>
      <c r="AA33" s="1573">
        <f t="shared" si="3"/>
        <v>0.98039215686274506</v>
      </c>
      <c r="AB33" s="1573">
        <f t="shared" si="4"/>
        <v>1</v>
      </c>
      <c r="AC33" s="1573">
        <f t="shared" si="5"/>
        <v>0.95238095238095233</v>
      </c>
    </row>
    <row r="34" spans="1:29" ht="15">
      <c r="A34" s="592"/>
      <c r="B34" s="525" t="s">
        <v>724</v>
      </c>
      <c r="C34" s="879" t="s">
        <v>3027</v>
      </c>
      <c r="D34" s="538">
        <v>100</v>
      </c>
      <c r="E34" s="879" t="s">
        <v>3027</v>
      </c>
      <c r="F34" s="573">
        <f>SUMIF(105:105,E34,106:106)-SUMIF(105:105,C34,106:106)+100</f>
        <v>100</v>
      </c>
      <c r="G34" s="879" t="s">
        <v>3027</v>
      </c>
      <c r="H34" s="538">
        <f>SUMIF(105:105,G34,106:106)-SUMIF(105:105,C34,106:106)+100</f>
        <v>100</v>
      </c>
      <c r="I34" s="879" t="s">
        <v>3027</v>
      </c>
      <c r="J34" s="538">
        <f>SUMIF(105:105,I34,106:106)-SUMIF(105:105,C34,106:106)+100</f>
        <v>100</v>
      </c>
      <c r="K34" s="862">
        <v>1</v>
      </c>
      <c r="L34" s="2138"/>
      <c r="M34" s="2130"/>
      <c r="N34" s="2130"/>
      <c r="O34" s="2137"/>
      <c r="P34" s="3435"/>
      <c r="Q34" s="1569" t="str">
        <f t="shared" si="11"/>
        <v>建筑结构</v>
      </c>
      <c r="R34" s="1570" t="s">
        <v>11</v>
      </c>
      <c r="S34" s="1571">
        <f t="shared" si="12"/>
        <v>100</v>
      </c>
      <c r="T34" s="1570" t="s">
        <v>11</v>
      </c>
      <c r="U34" s="1571">
        <f t="shared" si="13"/>
        <v>100</v>
      </c>
      <c r="V34" s="1570" t="s">
        <v>11</v>
      </c>
      <c r="W34" s="1571">
        <f t="shared" si="14"/>
        <v>100</v>
      </c>
      <c r="X34" s="1564"/>
      <c r="Y34" s="3435"/>
      <c r="Z34" s="1572" t="str">
        <f t="shared" si="15"/>
        <v>建筑结构</v>
      </c>
      <c r="AA34" s="1573">
        <f t="shared" si="3"/>
        <v>1</v>
      </c>
      <c r="AB34" s="1573">
        <f t="shared" si="4"/>
        <v>1</v>
      </c>
      <c r="AC34" s="1573">
        <f t="shared" si="5"/>
        <v>1</v>
      </c>
    </row>
    <row r="35" spans="1:29" ht="15">
      <c r="A35" s="592"/>
      <c r="B35" s="525" t="s">
        <v>725</v>
      </c>
      <c r="C35" s="597" t="s">
        <v>3239</v>
      </c>
      <c r="D35" s="538">
        <v>100</v>
      </c>
      <c r="E35" s="597" t="s">
        <v>3239</v>
      </c>
      <c r="F35" s="573">
        <f>SUMIF(107:107,E35,108:108)-SUMIF(107:107,C35,108:108)+100</f>
        <v>100</v>
      </c>
      <c r="G35" s="597" t="s">
        <v>3239</v>
      </c>
      <c r="H35" s="538">
        <f>SUMIF(107:107,G35,108:108)-SUMIF(107:107,C35,108:108)+100</f>
        <v>100</v>
      </c>
      <c r="I35" s="597" t="s">
        <v>3239</v>
      </c>
      <c r="J35" s="538">
        <f>SUMIF(107:107,I35,108:108)-SUMIF(107:107,C35,108:108)+100</f>
        <v>100</v>
      </c>
      <c r="K35" s="862">
        <v>3</v>
      </c>
      <c r="L35" s="2138"/>
      <c r="M35" s="2130"/>
      <c r="N35" s="2130"/>
      <c r="O35" s="2137"/>
      <c r="P35" s="3435"/>
      <c r="Q35" s="1569" t="str">
        <f t="shared" si="11"/>
        <v>建筑品质</v>
      </c>
      <c r="R35" s="1570" t="s">
        <v>11</v>
      </c>
      <c r="S35" s="1571">
        <f t="shared" si="12"/>
        <v>100</v>
      </c>
      <c r="T35" s="1570" t="s">
        <v>11</v>
      </c>
      <c r="U35" s="1571">
        <f t="shared" si="13"/>
        <v>100</v>
      </c>
      <c r="V35" s="1570" t="s">
        <v>11</v>
      </c>
      <c r="W35" s="1571">
        <f t="shared" si="14"/>
        <v>100</v>
      </c>
      <c r="X35" s="1564"/>
      <c r="Y35" s="3435"/>
      <c r="Z35" s="1572" t="str">
        <f t="shared" si="15"/>
        <v>建筑品质</v>
      </c>
      <c r="AA35" s="1573">
        <f t="shared" si="3"/>
        <v>1</v>
      </c>
      <c r="AB35" s="1573">
        <f t="shared" si="4"/>
        <v>1</v>
      </c>
      <c r="AC35" s="1573">
        <f t="shared" si="5"/>
        <v>1</v>
      </c>
    </row>
    <row r="36" spans="1:29" ht="15">
      <c r="A36" s="592"/>
      <c r="B36" s="525" t="s">
        <v>726</v>
      </c>
      <c r="C36" s="597" t="s">
        <v>3046</v>
      </c>
      <c r="D36" s="538">
        <v>100</v>
      </c>
      <c r="E36" s="597" t="s">
        <v>3046</v>
      </c>
      <c r="F36" s="573">
        <f>SUMIF(109:109,E36,110:110)-SUMIF(109:109,C36,110:110)+100</f>
        <v>100</v>
      </c>
      <c r="G36" s="597" t="s">
        <v>3046</v>
      </c>
      <c r="H36" s="538">
        <f>SUMIF(109:109,G36,110:110)-SUMIF(109:109,C36,110:110)+100</f>
        <v>100</v>
      </c>
      <c r="I36" s="597" t="s">
        <v>3046</v>
      </c>
      <c r="J36" s="538">
        <f>SUMIF(109:109,I36,110:110)-SUMIF(109:109,C36,110:110)+100</f>
        <v>100</v>
      </c>
      <c r="K36" s="862">
        <v>2</v>
      </c>
      <c r="L36" s="2138"/>
      <c r="M36" s="2130"/>
      <c r="N36" s="2130"/>
      <c r="O36" s="2137"/>
      <c r="P36" s="3435"/>
      <c r="Q36" s="1569" t="str">
        <f t="shared" si="11"/>
        <v>公共部分装修</v>
      </c>
      <c r="R36" s="1570" t="s">
        <v>11</v>
      </c>
      <c r="S36" s="1571">
        <f t="shared" si="12"/>
        <v>100</v>
      </c>
      <c r="T36" s="1570" t="s">
        <v>11</v>
      </c>
      <c r="U36" s="1571">
        <f t="shared" si="13"/>
        <v>100</v>
      </c>
      <c r="V36" s="1570" t="s">
        <v>11</v>
      </c>
      <c r="W36" s="1571">
        <f t="shared" si="14"/>
        <v>100</v>
      </c>
      <c r="X36" s="1564"/>
      <c r="Y36" s="3435"/>
      <c r="Z36" s="1572" t="str">
        <f t="shared" si="15"/>
        <v>公共部分装修</v>
      </c>
      <c r="AA36" s="1573">
        <f t="shared" si="3"/>
        <v>1</v>
      </c>
      <c r="AB36" s="1573">
        <f t="shared" si="4"/>
        <v>1</v>
      </c>
      <c r="AC36" s="1573">
        <f t="shared" si="5"/>
        <v>1</v>
      </c>
    </row>
    <row r="37" spans="1:29" s="1218" customFormat="1" ht="15">
      <c r="A37" s="598"/>
      <c r="B37" s="525" t="s">
        <v>727</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1"/>
      <c r="M37" s="2132"/>
      <c r="N37" s="2132"/>
      <c r="O37" s="2133"/>
      <c r="P37" s="3435"/>
      <c r="Q37" s="1149" t="str">
        <f t="shared" si="11"/>
        <v>成新度</v>
      </c>
      <c r="R37" s="1565" t="s">
        <v>11</v>
      </c>
      <c r="S37" s="1566">
        <f t="shared" si="12"/>
        <v>100</v>
      </c>
      <c r="T37" s="1565" t="s">
        <v>11</v>
      </c>
      <c r="U37" s="1566">
        <f t="shared" si="13"/>
        <v>100</v>
      </c>
      <c r="V37" s="1565" t="s">
        <v>11</v>
      </c>
      <c r="W37" s="1566">
        <f t="shared" si="14"/>
        <v>100</v>
      </c>
      <c r="X37" s="1567"/>
      <c r="Y37" s="3435"/>
      <c r="Z37" s="1148" t="str">
        <f t="shared" si="15"/>
        <v>成新度</v>
      </c>
      <c r="AA37" s="1568">
        <f t="shared" si="3"/>
        <v>1</v>
      </c>
      <c r="AB37" s="1568">
        <f t="shared" si="4"/>
        <v>1</v>
      </c>
      <c r="AC37" s="1568">
        <f t="shared" si="5"/>
        <v>1</v>
      </c>
    </row>
    <row r="38" spans="1:29" ht="15">
      <c r="A38" s="592"/>
      <c r="B38" s="525" t="s">
        <v>728</v>
      </c>
      <c r="C38" s="597" t="s">
        <v>3052</v>
      </c>
      <c r="D38" s="538">
        <v>100</v>
      </c>
      <c r="E38" s="597" t="s">
        <v>3052</v>
      </c>
      <c r="F38" s="573">
        <f>SUMIF(114:114,E38,115:115)-SUMIF(114:114,C38,115:115)+100</f>
        <v>100</v>
      </c>
      <c r="G38" s="597" t="s">
        <v>3052</v>
      </c>
      <c r="H38" s="538">
        <f>SUMIF(114:114,G38,115:115)-SUMIF(114:114,C38,115:115)+100</f>
        <v>100</v>
      </c>
      <c r="I38" s="597" t="s">
        <v>3052</v>
      </c>
      <c r="J38" s="538">
        <f>SUMIF(114:114,I38,115:115)-SUMIF(114:114,C38,115:115)+100</f>
        <v>100</v>
      </c>
      <c r="K38" s="862">
        <v>3</v>
      </c>
      <c r="L38" s="2138"/>
      <c r="M38" s="2130"/>
      <c r="N38" s="2130"/>
      <c r="O38" s="2137"/>
      <c r="P38" s="3435" t="s">
        <v>547</v>
      </c>
      <c r="Q38" s="1569" t="str">
        <f t="shared" si="11"/>
        <v>物业管理</v>
      </c>
      <c r="R38" s="1570" t="s">
        <v>11</v>
      </c>
      <c r="S38" s="1571">
        <f t="shared" si="12"/>
        <v>100</v>
      </c>
      <c r="T38" s="1570" t="s">
        <v>11</v>
      </c>
      <c r="U38" s="1571">
        <f t="shared" si="13"/>
        <v>100</v>
      </c>
      <c r="V38" s="1570" t="s">
        <v>11</v>
      </c>
      <c r="W38" s="1571">
        <f t="shared" si="14"/>
        <v>100</v>
      </c>
      <c r="X38" s="1564"/>
      <c r="Y38" s="3435" t="s">
        <v>547</v>
      </c>
      <c r="Z38" s="1572" t="str">
        <f t="shared" si="15"/>
        <v>物业管理</v>
      </c>
      <c r="AA38" s="1573">
        <f t="shared" si="3"/>
        <v>1</v>
      </c>
      <c r="AB38" s="1573">
        <f t="shared" si="4"/>
        <v>1</v>
      </c>
      <c r="AC38" s="1573">
        <f t="shared" si="5"/>
        <v>1</v>
      </c>
    </row>
    <row r="39" spans="1:29" ht="15">
      <c r="A39" s="592"/>
      <c r="B39" s="1891" t="s">
        <v>2556</v>
      </c>
      <c r="C39" s="597" t="s">
        <v>3240</v>
      </c>
      <c r="D39" s="538">
        <v>100</v>
      </c>
      <c r="E39" s="597" t="s">
        <v>3240</v>
      </c>
      <c r="F39" s="573">
        <f>SUMIF(116:116,E39,117:117)-SUMIF(116:116,C39,117:117)+100</f>
        <v>100</v>
      </c>
      <c r="G39" s="597" t="s">
        <v>3240</v>
      </c>
      <c r="H39" s="538">
        <f>SUMIF(116:116,G39,117:117)-SUMIF(116:116,C39,117:117)+100</f>
        <v>100</v>
      </c>
      <c r="I39" s="597" t="s">
        <v>3240</v>
      </c>
      <c r="J39" s="538">
        <f>SUMIF(116:116,I39,117:117)-SUMIF(116:116,C39,117:117)+100</f>
        <v>100</v>
      </c>
      <c r="K39" s="862">
        <v>1</v>
      </c>
      <c r="L39" s="2138"/>
      <c r="M39" s="2130"/>
      <c r="N39" s="2130"/>
      <c r="O39" s="2137"/>
      <c r="P39" s="3435"/>
      <c r="Q39" s="1569" t="str">
        <f t="shared" si="11"/>
        <v>市政基础设施</v>
      </c>
      <c r="R39" s="1570" t="s">
        <v>11</v>
      </c>
      <c r="S39" s="1571">
        <f t="shared" si="12"/>
        <v>100</v>
      </c>
      <c r="T39" s="1570" t="s">
        <v>11</v>
      </c>
      <c r="U39" s="1571">
        <f t="shared" si="13"/>
        <v>100</v>
      </c>
      <c r="V39" s="1570" t="s">
        <v>11</v>
      </c>
      <c r="W39" s="1571">
        <f t="shared" si="14"/>
        <v>100</v>
      </c>
      <c r="X39" s="1564"/>
      <c r="Y39" s="3435"/>
      <c r="Z39" s="1572" t="str">
        <f t="shared" si="15"/>
        <v>市政基础设施</v>
      </c>
      <c r="AA39" s="1573">
        <f t="shared" si="3"/>
        <v>1</v>
      </c>
      <c r="AB39" s="1573">
        <f t="shared" si="4"/>
        <v>1</v>
      </c>
      <c r="AC39" s="1573">
        <f t="shared" si="5"/>
        <v>1</v>
      </c>
    </row>
    <row r="40" spans="1:29" ht="15">
      <c r="A40" s="592"/>
      <c r="B40" s="525" t="s">
        <v>729</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38"/>
      <c r="M40" s="2130"/>
      <c r="N40" s="2130"/>
      <c r="O40" s="2137"/>
      <c r="P40" s="3435"/>
      <c r="Q40" s="1569" t="str">
        <f t="shared" si="11"/>
        <v>房型</v>
      </c>
      <c r="R40" s="1570" t="s">
        <v>11</v>
      </c>
      <c r="S40" s="1571">
        <f t="shared" si="12"/>
        <v>100</v>
      </c>
      <c r="T40" s="1570" t="s">
        <v>11</v>
      </c>
      <c r="U40" s="1571">
        <f t="shared" si="13"/>
        <v>100</v>
      </c>
      <c r="V40" s="1570" t="s">
        <v>11</v>
      </c>
      <c r="W40" s="1571">
        <f t="shared" si="14"/>
        <v>100</v>
      </c>
      <c r="X40" s="1564"/>
      <c r="Y40" s="3435"/>
      <c r="Z40" s="1572" t="str">
        <f t="shared" si="15"/>
        <v>房型</v>
      </c>
      <c r="AA40" s="1573">
        <f t="shared" si="3"/>
        <v>1</v>
      </c>
      <c r="AB40" s="1573">
        <f t="shared" si="4"/>
        <v>1</v>
      </c>
      <c r="AC40" s="1573">
        <f t="shared" si="5"/>
        <v>1</v>
      </c>
    </row>
    <row r="41" spans="1:29" s="1337" customFormat="1" ht="28.5">
      <c r="A41" s="601"/>
      <c r="B41" s="525" t="s">
        <v>730</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36"/>
      <c r="M41" s="2167"/>
      <c r="N41" s="2167"/>
      <c r="O41" s="2139"/>
      <c r="P41" s="3435"/>
      <c r="Q41" s="1602" t="str">
        <f t="shared" si="11"/>
        <v>单套/主力户型建筑面积</v>
      </c>
      <c r="R41" s="1574" t="s">
        <v>11</v>
      </c>
      <c r="S41" s="1575">
        <f t="shared" si="12"/>
        <v>100</v>
      </c>
      <c r="T41" s="1574" t="s">
        <v>11</v>
      </c>
      <c r="U41" s="1575">
        <f t="shared" si="13"/>
        <v>100</v>
      </c>
      <c r="V41" s="1574" t="s">
        <v>11</v>
      </c>
      <c r="W41" s="1575">
        <f t="shared" si="14"/>
        <v>100</v>
      </c>
      <c r="X41" s="1576"/>
      <c r="Y41" s="3435"/>
      <c r="Z41" s="1577" t="str">
        <f t="shared" si="15"/>
        <v>单套/主力户型建筑面积</v>
      </c>
      <c r="AA41" s="1573">
        <f t="shared" si="3"/>
        <v>1</v>
      </c>
      <c r="AB41" s="1573">
        <f t="shared" si="4"/>
        <v>1</v>
      </c>
      <c r="AC41" s="1573">
        <f t="shared" si="5"/>
        <v>1</v>
      </c>
    </row>
    <row r="42" spans="1:29" ht="15">
      <c r="A42" s="592"/>
      <c r="B42" s="525" t="s">
        <v>731</v>
      </c>
      <c r="C42" s="597" t="s">
        <v>3046</v>
      </c>
      <c r="D42" s="538">
        <v>100</v>
      </c>
      <c r="E42" s="597" t="s">
        <v>3046</v>
      </c>
      <c r="F42" s="573">
        <f>SUMIF(122:122,E42,123:123)-SUMIF(122:122,C42,123:123)+100</f>
        <v>100</v>
      </c>
      <c r="G42" s="597" t="s">
        <v>3046</v>
      </c>
      <c r="H42" s="538">
        <f>SUMIF(122:122,G42,123:123)-SUMIF(122:122,C42,123:123)+100</f>
        <v>100</v>
      </c>
      <c r="I42" s="597" t="s">
        <v>3050</v>
      </c>
      <c r="J42" s="538">
        <f>SUMIF(122:122,I42,123:123)-SUMIF(122:122,C42,123:123)+100</f>
        <v>91</v>
      </c>
      <c r="K42" s="862">
        <v>3</v>
      </c>
      <c r="L42" s="2138"/>
      <c r="M42" s="2130"/>
      <c r="N42" s="2130"/>
      <c r="O42" s="2137"/>
      <c r="P42" s="3435"/>
      <c r="Q42" s="1569" t="str">
        <f t="shared" si="11"/>
        <v>内部装修</v>
      </c>
      <c r="R42" s="1570" t="s">
        <v>11</v>
      </c>
      <c r="S42" s="1571">
        <f t="shared" si="12"/>
        <v>100</v>
      </c>
      <c r="T42" s="1570" t="s">
        <v>11</v>
      </c>
      <c r="U42" s="1571">
        <f t="shared" si="13"/>
        <v>100</v>
      </c>
      <c r="V42" s="1570" t="s">
        <v>11</v>
      </c>
      <c r="W42" s="1571">
        <f t="shared" si="14"/>
        <v>91</v>
      </c>
      <c r="X42" s="1564"/>
      <c r="Y42" s="3435"/>
      <c r="Z42" s="1572" t="str">
        <f t="shared" si="15"/>
        <v>内部装修</v>
      </c>
      <c r="AA42" s="1573">
        <f t="shared" si="3"/>
        <v>1</v>
      </c>
      <c r="AB42" s="1573">
        <f t="shared" si="4"/>
        <v>1</v>
      </c>
      <c r="AC42" s="1573">
        <f t="shared" si="5"/>
        <v>1.098901098901099</v>
      </c>
    </row>
    <row r="43" spans="1:29" ht="27">
      <c r="A43" s="592"/>
      <c r="B43" s="525" t="s">
        <v>732</v>
      </c>
      <c r="C43" s="597" t="s">
        <v>3058</v>
      </c>
      <c r="D43" s="538">
        <v>100</v>
      </c>
      <c r="E43" s="597" t="s">
        <v>3058</v>
      </c>
      <c r="F43" s="573">
        <f>SUMIF(124:124,E43,125:125)-SUMIF(124:124,C43,125:125)+100</f>
        <v>100</v>
      </c>
      <c r="G43" s="597" t="s">
        <v>3058</v>
      </c>
      <c r="H43" s="538">
        <f>SUMIF(124:124,G43,125:125)-SUMIF(124:124,C43,125:125)+100</f>
        <v>100</v>
      </c>
      <c r="I43" s="597" t="s">
        <v>3058</v>
      </c>
      <c r="J43" s="538">
        <f>SUMIF(124:124,I43,125:125)-SUMIF(124:124,C43,125:125)+100</f>
        <v>100</v>
      </c>
      <c r="K43" s="862">
        <v>1</v>
      </c>
      <c r="L43" s="2138"/>
      <c r="M43" s="2130"/>
      <c r="N43" s="2130"/>
      <c r="O43" s="2137"/>
      <c r="P43" s="3435"/>
      <c r="Q43" s="1569" t="str">
        <f t="shared" si="11"/>
        <v>内部装修维护情况</v>
      </c>
      <c r="R43" s="1570" t="s">
        <v>11</v>
      </c>
      <c r="S43" s="1571">
        <f t="shared" si="12"/>
        <v>100</v>
      </c>
      <c r="T43" s="1570" t="s">
        <v>11</v>
      </c>
      <c r="U43" s="1571">
        <f t="shared" si="13"/>
        <v>100</v>
      </c>
      <c r="V43" s="1570" t="s">
        <v>11</v>
      </c>
      <c r="W43" s="1571">
        <f t="shared" si="14"/>
        <v>100</v>
      </c>
      <c r="X43" s="1564"/>
      <c r="Y43" s="3435"/>
      <c r="Z43" s="1572" t="str">
        <f t="shared" si="15"/>
        <v>内部装修维护情况</v>
      </c>
      <c r="AA43" s="1573">
        <f t="shared" si="3"/>
        <v>1</v>
      </c>
      <c r="AB43" s="1573">
        <f t="shared" si="4"/>
        <v>1</v>
      </c>
      <c r="AC43" s="1573">
        <f t="shared" si="5"/>
        <v>1</v>
      </c>
    </row>
    <row r="44" spans="1:29" s="1218" customFormat="1" ht="15">
      <c r="A44" s="598"/>
      <c r="B44" s="3190"/>
      <c r="C44" s="3191"/>
      <c r="D44" s="253">
        <v>100</v>
      </c>
      <c r="E44" s="3191"/>
      <c r="F44" s="861">
        <f>SUMIF(126:126,E44,127:127)-SUMIF(126:126,C44,127:127)+100</f>
        <v>100</v>
      </c>
      <c r="G44" s="3191"/>
      <c r="H44" s="253">
        <f>SUMIF(126:126,G44,127:127)-SUMIF(126:126,C44,127:127)+100</f>
        <v>100</v>
      </c>
      <c r="I44" s="3191"/>
      <c r="J44" s="253">
        <f>SUMIF(126:126,I44,127:127)-SUMIF(126:126,C44,127:127)+100</f>
        <v>100</v>
      </c>
      <c r="K44" s="863"/>
      <c r="L44" s="2131"/>
      <c r="M44" s="2132"/>
      <c r="N44" s="2132"/>
      <c r="O44" s="2133"/>
      <c r="P44" s="3435"/>
      <c r="Q44" s="1149">
        <f t="shared" si="11"/>
        <v>0</v>
      </c>
      <c r="R44" s="1565" t="s">
        <v>11</v>
      </c>
      <c r="S44" s="1566">
        <f t="shared" si="12"/>
        <v>100</v>
      </c>
      <c r="T44" s="1565" t="s">
        <v>11</v>
      </c>
      <c r="U44" s="1566">
        <f t="shared" si="13"/>
        <v>100</v>
      </c>
      <c r="V44" s="1565" t="s">
        <v>11</v>
      </c>
      <c r="W44" s="1566">
        <f t="shared" si="14"/>
        <v>100</v>
      </c>
      <c r="X44" s="1567"/>
      <c r="Y44" s="3435"/>
      <c r="Z44" s="1148">
        <f t="shared" si="15"/>
        <v>0</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435"/>
      <c r="Q45" s="1569">
        <f t="shared" si="11"/>
        <v>111</v>
      </c>
      <c r="R45" s="1570" t="s">
        <v>11</v>
      </c>
      <c r="S45" s="1571">
        <f t="shared" si="12"/>
        <v>100</v>
      </c>
      <c r="T45" s="1570" t="s">
        <v>11</v>
      </c>
      <c r="U45" s="1571">
        <f t="shared" si="13"/>
        <v>100</v>
      </c>
      <c r="V45" s="1570" t="s">
        <v>11</v>
      </c>
      <c r="W45" s="1571">
        <f t="shared" si="14"/>
        <v>100</v>
      </c>
      <c r="X45" s="1564"/>
      <c r="Y45" s="3435"/>
      <c r="Z45" s="1572">
        <f t="shared" si="15"/>
        <v>111</v>
      </c>
      <c r="AA45" s="1573">
        <f t="shared" si="3"/>
        <v>1</v>
      </c>
      <c r="AB45" s="1573">
        <f t="shared" si="4"/>
        <v>1</v>
      </c>
      <c r="AC45" s="1573">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489"/>
      <c r="Q46" s="1569">
        <f t="shared" si="11"/>
        <v>111</v>
      </c>
      <c r="R46" s="1570" t="s">
        <v>10</v>
      </c>
      <c r="S46" s="1571">
        <f t="shared" si="12"/>
        <v>100</v>
      </c>
      <c r="T46" s="1570" t="s">
        <v>10</v>
      </c>
      <c r="U46" s="1571">
        <f t="shared" si="13"/>
        <v>100</v>
      </c>
      <c r="V46" s="1570" t="s">
        <v>10</v>
      </c>
      <c r="W46" s="1571">
        <f t="shared" si="14"/>
        <v>100</v>
      </c>
      <c r="X46" s="1564"/>
      <c r="Y46" s="3489"/>
      <c r="Z46" s="1572">
        <f t="shared" si="15"/>
        <v>111</v>
      </c>
      <c r="AA46" s="1573">
        <f t="shared" si="3"/>
        <v>1</v>
      </c>
      <c r="AB46" s="1573">
        <f t="shared" si="4"/>
        <v>1</v>
      </c>
      <c r="AC46" s="1573">
        <f t="shared" si="5"/>
        <v>1</v>
      </c>
    </row>
    <row r="47" spans="1:29" ht="15">
      <c r="A47" s="605" t="s">
        <v>733</v>
      </c>
      <c r="B47" s="885"/>
      <c r="C47" s="2623" t="s">
        <v>9</v>
      </c>
      <c r="D47" s="2624"/>
      <c r="E47" s="2625">
        <v>14500</v>
      </c>
      <c r="F47" s="2626"/>
      <c r="G47" s="2627">
        <v>14200</v>
      </c>
      <c r="H47" s="2628"/>
      <c r="I47" s="2625">
        <v>13500</v>
      </c>
      <c r="J47" s="2628"/>
      <c r="K47" s="1603"/>
      <c r="L47" s="2140"/>
      <c r="M47" s="2141"/>
      <c r="N47" s="2130"/>
      <c r="O47" s="2141"/>
      <c r="P47" s="3397" t="str">
        <f>A47</f>
        <v>成交单价（元/平方米）</v>
      </c>
      <c r="Q47" s="3397"/>
      <c r="R47" s="3488">
        <f>E47</f>
        <v>14500</v>
      </c>
      <c r="S47" s="3488"/>
      <c r="T47" s="3488">
        <f>G47</f>
        <v>14200</v>
      </c>
      <c r="U47" s="3488"/>
      <c r="V47" s="3488">
        <f>I47</f>
        <v>13500</v>
      </c>
      <c r="W47" s="3488"/>
      <c r="X47" s="1556"/>
      <c r="Y47" s="1578"/>
      <c r="Z47" s="1556"/>
      <c r="AA47" s="1556"/>
      <c r="AB47" s="1556"/>
      <c r="AC47" s="1556"/>
    </row>
    <row r="48" spans="1:29" ht="15.75" thickBot="1">
      <c r="A48" s="613" t="s">
        <v>2752</v>
      </c>
      <c r="B48" s="886"/>
      <c r="C48" s="2629">
        <f>R49</f>
        <v>14291</v>
      </c>
      <c r="D48" s="2630"/>
      <c r="E48" s="2631">
        <f>R48</f>
        <v>13802</v>
      </c>
      <c r="F48" s="2631"/>
      <c r="G48" s="2629">
        <f>T48</f>
        <v>14639</v>
      </c>
      <c r="H48" s="2630"/>
      <c r="I48" s="2631">
        <f>V48</f>
        <v>14156</v>
      </c>
      <c r="J48" s="2630"/>
      <c r="K48" s="1604"/>
      <c r="L48" s="2140"/>
      <c r="M48" s="2141"/>
      <c r="N48" s="2141"/>
      <c r="O48" s="2141"/>
      <c r="P48" s="3397" t="str">
        <f>A48</f>
        <v>比较价格（元/平方米）</v>
      </c>
      <c r="Q48" s="3397"/>
      <c r="R48" s="3488">
        <f>IF(F1="售价",ROUND(PRODUCT(R47,AA7:AA46),0),ROUND(PRODUCT(R47,AA7:AA46),1))</f>
        <v>13802</v>
      </c>
      <c r="S48" s="3488"/>
      <c r="T48" s="3488">
        <f>IF(F1="售价",ROUND(PRODUCT(T47,AB7:AB46),0),ROUND(PRODUCT(T47,AB7:AB46),1))</f>
        <v>14639</v>
      </c>
      <c r="U48" s="3488"/>
      <c r="V48" s="3488">
        <f>IF(F1="售价",ROUND(PRODUCT(V47,AC7:AC46),0),ROUND(PRODUCT(V47,AC7:AC46),1))</f>
        <v>14156</v>
      </c>
      <c r="W48" s="3488"/>
      <c r="X48" s="1556"/>
      <c r="Y48" s="1556"/>
      <c r="Z48" s="1556"/>
      <c r="AA48" s="1556"/>
      <c r="AB48" s="1556"/>
      <c r="AC48" s="1556"/>
    </row>
    <row r="49" spans="1:29" ht="15.75" thickBot="1">
      <c r="A49" s="619" t="s">
        <v>2921</v>
      </c>
      <c r="B49" s="620"/>
      <c r="C49" s="2632">
        <f>R49</f>
        <v>14291</v>
      </c>
      <c r="D49" s="2632"/>
      <c r="E49" s="2632"/>
      <c r="F49" s="2632"/>
      <c r="G49" s="2632"/>
      <c r="H49" s="2632"/>
      <c r="I49" s="2632"/>
      <c r="J49" s="2632"/>
      <c r="K49" s="1605"/>
      <c r="L49" s="2140"/>
      <c r="M49" s="2141"/>
      <c r="N49" s="2141"/>
      <c r="O49" s="2141"/>
      <c r="P49" s="3394" t="str">
        <f>A49</f>
        <v>估价对象XX用房的比较价格（楼面单价，元/平方米）</v>
      </c>
      <c r="Q49" s="3395"/>
      <c r="R49" s="3487">
        <f>ROUND(R48*R50+T48*T50+V48*V50,0)</f>
        <v>14291</v>
      </c>
      <c r="S49" s="3487"/>
      <c r="T49" s="3487"/>
      <c r="U49" s="3487"/>
      <c r="V49" s="3487"/>
      <c r="W49" s="3487"/>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3192" t="s">
        <v>3062</v>
      </c>
      <c r="R50" s="2144">
        <v>0.3</v>
      </c>
      <c r="S50" s="2141"/>
      <c r="T50" s="2144">
        <v>0.5</v>
      </c>
      <c r="U50" s="2141"/>
      <c r="V50" s="2144">
        <v>0.2</v>
      </c>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554</v>
      </c>
      <c r="D52" s="623"/>
      <c r="E52" s="624">
        <f>IF(E47&lt;E48,E48/E47-1,E47/E48-1)</f>
        <v>5.0572380814374762E-2</v>
      </c>
      <c r="F52" s="625" t="str">
        <f>IF(OR(E52&gt;=0.3,E52&lt;=-0.3),"超过30%","")</f>
        <v/>
      </c>
      <c r="G52" s="624">
        <f>IF(G47&lt;G48,G48/G47-1,G47/G48-1)</f>
        <v>3.0915492957746427E-2</v>
      </c>
      <c r="H52" s="625" t="str">
        <f>IF(OR(G52&gt;=0.3,G52&lt;=-0.3),"超过30%","")</f>
        <v/>
      </c>
      <c r="I52" s="624">
        <f>IF(I47&lt;I48,I48/I47-1,I47/I48-1)</f>
        <v>4.8592592592592521E-2</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555</v>
      </c>
      <c r="D53" s="626"/>
      <c r="E53" s="624">
        <f>IF(E48&lt;G48,G48/E48-1,E48/G48-1)</f>
        <v>6.0643385016664331E-2</v>
      </c>
      <c r="F53" s="625" t="str">
        <f>IF(OR(E53&gt;=0.2,E53&lt;=-0.2),"超过20%","")</f>
        <v/>
      </c>
      <c r="G53" s="624">
        <f>IF(G48&lt;I48,I48/G48-1,G48/I48-1)</f>
        <v>3.4119807855326423E-2</v>
      </c>
      <c r="H53" s="625" t="str">
        <f>IF(OR(G53&gt;=0.2,G53&lt;=-0.2),"超过20%","")</f>
        <v/>
      </c>
      <c r="I53" s="624">
        <f>IF(I48&lt;E48,E48/I48-1,I48/E48-1)</f>
        <v>2.5648456745399173E-2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556</v>
      </c>
      <c r="D54" s="626"/>
      <c r="E54" s="624">
        <f>IF(E47&lt;G47,G47/E47-1,E47/G47-1)</f>
        <v>2.1126760563380254E-2</v>
      </c>
      <c r="F54" s="625" t="str">
        <f>IF(OR(E54&gt;=0.3,E54&lt;=-0.3),"超过30%","")</f>
        <v/>
      </c>
      <c r="G54" s="624">
        <f>IF(G47&lt;I47,I47/G47-1,G47/I47-1)</f>
        <v>5.1851851851851816E-2</v>
      </c>
      <c r="H54" s="625" t="str">
        <f>IF(OR(G54&gt;=0.3,G54&lt;=-0.3),"超过30%","")</f>
        <v/>
      </c>
      <c r="I54" s="624">
        <f>IF(I47&lt;E47,E47/I47-1,I47/E47-1)</f>
        <v>7.4074074074074181E-2</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571</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3" t="s">
        <v>526</v>
      </c>
      <c r="B58" s="644"/>
      <c r="C58" s="2800"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5"/>
      <c r="B59" s="646"/>
      <c r="C59" s="647">
        <v>100</v>
      </c>
      <c r="D59" s="648"/>
      <c r="E59" s="648"/>
      <c r="F59" s="648"/>
      <c r="G59" s="648"/>
      <c r="H59" s="648"/>
      <c r="I59" s="648"/>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8" customFormat="1" ht="15.75" thickBot="1">
      <c r="A60" s="651" t="s">
        <v>572</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5">
      <c r="A61" s="657" t="s">
        <v>528</v>
      </c>
      <c r="B61" s="646"/>
      <c r="C61" s="658" t="s">
        <v>573</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574</v>
      </c>
      <c r="B63" s="663" t="s">
        <v>531</v>
      </c>
      <c r="C63" s="702" t="str">
        <f>C9</f>
        <v>商业</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v>100</v>
      </c>
      <c r="D64" s="669"/>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535</v>
      </c>
      <c r="C67" s="680" t="str">
        <f>C68&amp;"（含）"&amp;"-"&amp;D68</f>
        <v>0（含）-2</v>
      </c>
      <c r="D67" s="680" t="str">
        <f t="shared" ref="D67:L67" si="18">D68&amp;"（含）"&amp;"-"&amp;E68</f>
        <v>2（含）-4</v>
      </c>
      <c r="E67" s="680" t="str">
        <f t="shared" si="18"/>
        <v>4（含）-6</v>
      </c>
      <c r="F67" s="680" t="str">
        <f t="shared" si="18"/>
        <v>6（含）-8</v>
      </c>
      <c r="G67" s="680" t="str">
        <f t="shared" si="18"/>
        <v>8（含）-10</v>
      </c>
      <c r="H67" s="680" t="str">
        <f t="shared" si="18"/>
        <v>10（含）-</v>
      </c>
      <c r="I67" s="680" t="str">
        <f t="shared" si="18"/>
        <v>（含）-</v>
      </c>
      <c r="J67" s="680" t="str">
        <f t="shared" si="18"/>
        <v>（含）-</v>
      </c>
      <c r="K67" s="680" t="str">
        <f t="shared" si="18"/>
        <v>（含）-</v>
      </c>
      <c r="L67" s="680" t="str">
        <f t="shared" si="18"/>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0</v>
      </c>
      <c r="D68" s="539">
        <v>2</v>
      </c>
      <c r="E68" s="539">
        <v>4</v>
      </c>
      <c r="F68" s="539">
        <v>6</v>
      </c>
      <c r="G68" s="539">
        <v>8</v>
      </c>
      <c r="H68" s="539">
        <v>10</v>
      </c>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536</v>
      </c>
      <c r="B76" s="663" t="s">
        <v>575</v>
      </c>
      <c r="C76" s="701" t="s">
        <v>576</v>
      </c>
      <c r="D76" s="701" t="s">
        <v>577</v>
      </c>
      <c r="E76" s="701" t="s">
        <v>578</v>
      </c>
      <c r="F76" s="701" t="s">
        <v>579</v>
      </c>
      <c r="G76" s="701" t="s">
        <v>580</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98</v>
      </c>
      <c r="E77" s="677">
        <f>D77-$K15</f>
        <v>96</v>
      </c>
      <c r="F77" s="677">
        <f>E77-$K15</f>
        <v>94</v>
      </c>
      <c r="G77" s="677">
        <f>F77-$K15</f>
        <v>92</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583</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97</v>
      </c>
      <c r="E79" s="677">
        <f>D79-$K17</f>
        <v>94</v>
      </c>
      <c r="F79" s="677">
        <f>E79-$K17</f>
        <v>91</v>
      </c>
      <c r="G79" s="677">
        <f>F79-$K17</f>
        <v>88</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2549</v>
      </c>
      <c r="C80" s="706" t="s">
        <v>576</v>
      </c>
      <c r="D80" s="706" t="s">
        <v>577</v>
      </c>
      <c r="E80" s="706" t="s">
        <v>578</v>
      </c>
      <c r="F80" s="706" t="s">
        <v>579</v>
      </c>
      <c r="G80" s="706" t="s">
        <v>580</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97</v>
      </c>
      <c r="E81" s="677">
        <f>D81-$K19</f>
        <v>94</v>
      </c>
      <c r="F81" s="677">
        <f>E81-$K19</f>
        <v>91</v>
      </c>
      <c r="G81" s="677">
        <f>F81-$K19</f>
        <v>88</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2550</v>
      </c>
      <c r="C82" s="2594" t="s">
        <v>2551</v>
      </c>
      <c r="D82" s="2594" t="s">
        <v>2552</v>
      </c>
      <c r="E82" s="2594" t="s">
        <v>2553</v>
      </c>
      <c r="F82" s="2594" t="s">
        <v>2554</v>
      </c>
      <c r="G82" s="2594" t="s">
        <v>2555</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98</v>
      </c>
      <c r="E83" s="677">
        <f>D83-$K21</f>
        <v>96</v>
      </c>
      <c r="F83" s="677">
        <f>E83-$K21</f>
        <v>94</v>
      </c>
      <c r="G83" s="677">
        <f>F83-$K21</f>
        <v>92</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741</v>
      </c>
      <c r="C84" s="706" t="s">
        <v>576</v>
      </c>
      <c r="D84" s="706" t="s">
        <v>577</v>
      </c>
      <c r="E84" s="706" t="s">
        <v>578</v>
      </c>
      <c r="F84" s="706" t="s">
        <v>579</v>
      </c>
      <c r="G84" s="706" t="s">
        <v>580</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97</v>
      </c>
      <c r="E85" s="677">
        <f>D85-$K23</f>
        <v>94</v>
      </c>
      <c r="F85" s="677">
        <f>E85-$K23</f>
        <v>91</v>
      </c>
      <c r="G85" s="677">
        <f>F85-$K23</f>
        <v>88</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7"/>
      <c r="B86" s="1892" t="s">
        <v>2254</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7"/>
      <c r="B88" s="671" t="s">
        <v>743</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5.75" thickTop="1">
      <c r="A92" s="667"/>
      <c r="B92" s="671">
        <f>B28</f>
        <v>111</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1"/>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548</v>
      </c>
      <c r="B100" s="663" t="s">
        <v>744</v>
      </c>
      <c r="C100" s="3174" t="s">
        <v>3235</v>
      </c>
      <c r="D100" s="596" t="s">
        <v>3236</v>
      </c>
      <c r="E100" s="3174" t="s">
        <v>3237</v>
      </c>
      <c r="F100" s="3174" t="s">
        <v>3238</v>
      </c>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7"/>
      <c r="B102" s="671" t="s">
        <v>745</v>
      </c>
      <c r="C102" s="706" t="str">
        <f>C103&amp;"(含)"&amp;"-"&amp;D103</f>
        <v>0(含)-100000</v>
      </c>
      <c r="D102" s="706" t="str">
        <f t="shared" ref="D102:L102" si="23">D103&amp;"(含)"&amp;"-"&amp;E103</f>
        <v>100000(含)-200000</v>
      </c>
      <c r="E102" s="706" t="str">
        <f t="shared" si="23"/>
        <v>200000(含)-300000</v>
      </c>
      <c r="F102" s="706" t="str">
        <f t="shared" si="23"/>
        <v>300000(含)-400000</v>
      </c>
      <c r="G102" s="706" t="str">
        <f t="shared" si="23"/>
        <v>400000(含)-500000</v>
      </c>
      <c r="H102" s="706" t="str">
        <f t="shared" si="23"/>
        <v>500000(含)-600000</v>
      </c>
      <c r="I102" s="706" t="str">
        <f t="shared" si="23"/>
        <v>600000(含)-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v>0</v>
      </c>
      <c r="D103" s="728">
        <v>100000</v>
      </c>
      <c r="E103" s="728">
        <v>200000</v>
      </c>
      <c r="F103" s="728">
        <v>300000</v>
      </c>
      <c r="G103" s="728">
        <v>400000</v>
      </c>
      <c r="H103" s="728">
        <v>500000</v>
      </c>
      <c r="I103" s="728">
        <v>600000</v>
      </c>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5"/>
      <c r="B104" s="676"/>
      <c r="C104" s="690">
        <v>100</v>
      </c>
      <c r="D104" s="669">
        <v>101</v>
      </c>
      <c r="E104" s="669">
        <v>102</v>
      </c>
      <c r="F104" s="669">
        <v>103</v>
      </c>
      <c r="G104" s="669">
        <v>104</v>
      </c>
      <c r="H104" s="669">
        <v>105</v>
      </c>
      <c r="I104" s="669">
        <v>106</v>
      </c>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746</v>
      </c>
      <c r="C105" s="3175" t="s">
        <v>3043</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747</v>
      </c>
      <c r="C107" s="3176" t="s">
        <v>3044</v>
      </c>
      <c r="D107" s="3176" t="s">
        <v>3045</v>
      </c>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748</v>
      </c>
      <c r="C109" s="3175" t="s">
        <v>3047</v>
      </c>
      <c r="D109" s="3175" t="s">
        <v>3048</v>
      </c>
      <c r="E109" s="3175" t="s">
        <v>3049</v>
      </c>
      <c r="F109" s="3176" t="s">
        <v>3051</v>
      </c>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6"/>
      <c r="B112" s="679"/>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750</v>
      </c>
      <c r="C114" s="3175" t="s">
        <v>3053</v>
      </c>
      <c r="D114" s="3175" t="s">
        <v>3045</v>
      </c>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97</v>
      </c>
      <c r="E115" s="677">
        <f t="shared" si="27"/>
        <v>94</v>
      </c>
      <c r="F115" s="677">
        <f t="shared" si="27"/>
        <v>91</v>
      </c>
      <c r="G115" s="677">
        <f t="shared" si="27"/>
        <v>88</v>
      </c>
      <c r="H115" s="677">
        <f t="shared" si="27"/>
        <v>85</v>
      </c>
      <c r="I115" s="677">
        <f t="shared" si="27"/>
        <v>82</v>
      </c>
      <c r="J115" s="677">
        <f t="shared" si="27"/>
        <v>79</v>
      </c>
      <c r="K115" s="677">
        <f t="shared" si="27"/>
        <v>76</v>
      </c>
      <c r="L115" s="677">
        <f t="shared" si="27"/>
        <v>73</v>
      </c>
      <c r="M115" s="677">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2548</v>
      </c>
      <c r="C116" s="3175" t="s">
        <v>3054</v>
      </c>
      <c r="D116" s="3175" t="s">
        <v>3055</v>
      </c>
      <c r="E116" s="3175" t="s">
        <v>3241</v>
      </c>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751</v>
      </c>
      <c r="C118" s="716"/>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6"/>
      <c r="B120" s="671" t="s">
        <v>730</v>
      </c>
      <c r="C120" s="686"/>
      <c r="D120" s="686"/>
      <c r="E120" s="686"/>
      <c r="F120" s="686"/>
      <c r="G120" s="686"/>
      <c r="H120" s="686"/>
      <c r="I120" s="686"/>
      <c r="J120" s="686"/>
      <c r="K120" s="686"/>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752</v>
      </c>
      <c r="C122" s="3175" t="s">
        <v>3047</v>
      </c>
      <c r="D122" s="3175" t="s">
        <v>3048</v>
      </c>
      <c r="E122" s="3175" t="s">
        <v>3049</v>
      </c>
      <c r="F122" s="3176" t="s">
        <v>3051</v>
      </c>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6"/>
      <c r="B126" s="671">
        <f>B44</f>
        <v>0</v>
      </c>
      <c r="C126" s="3175" t="s">
        <v>3059</v>
      </c>
      <c r="D126" s="3175" t="s">
        <v>3060</v>
      </c>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5"/>
      <c r="B127" s="676"/>
      <c r="C127" s="690">
        <v>100</v>
      </c>
      <c r="D127" s="669">
        <v>75</v>
      </c>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2255</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2256</v>
      </c>
      <c r="C137" s="1915"/>
      <c r="D137" s="1915"/>
      <c r="E137" s="1915"/>
      <c r="F137" s="1915"/>
      <c r="G137" s="1916"/>
      <c r="H137" s="1917"/>
      <c r="I137" s="1918" t="s">
        <v>2257</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2258</v>
      </c>
      <c r="D138" s="1921" t="s">
        <v>2259</v>
      </c>
      <c r="E138" s="1922" t="s">
        <v>2260</v>
      </c>
      <c r="F138" s="1923" t="s">
        <v>2261</v>
      </c>
      <c r="G138" s="1921" t="s">
        <v>2262</v>
      </c>
      <c r="H138" s="1924" t="s">
        <v>2263</v>
      </c>
      <c r="I138" s="1925"/>
      <c r="J138" s="1921" t="s">
        <v>2264</v>
      </c>
      <c r="K138" s="1924" t="s">
        <v>2265</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2266</v>
      </c>
      <c r="E139" s="1895">
        <v>100</v>
      </c>
      <c r="F139" s="1896">
        <v>102.5</v>
      </c>
      <c r="G139" s="1926" t="s">
        <v>2267</v>
      </c>
      <c r="H139" s="1897">
        <v>105</v>
      </c>
      <c r="I139" s="1927" t="s">
        <v>2268</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2269</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2270</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2271</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2272</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2273</v>
      </c>
      <c r="E144" s="1901">
        <v>102</v>
      </c>
      <c r="F144" s="1907">
        <v>100</v>
      </c>
      <c r="G144" s="1930" t="s">
        <v>2273</v>
      </c>
      <c r="H144" s="1903">
        <v>105</v>
      </c>
      <c r="I144" s="1929" t="s">
        <v>2272</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2274</v>
      </c>
      <c r="C145" s="1908">
        <f>ROUND(MAX(C139:C144)/MIN(C139:C144)-1,3)</f>
        <v>7.2999999999999995E-2</v>
      </c>
      <c r="D145" s="1932"/>
      <c r="E145" s="1932"/>
      <c r="F145" s="1933" t="s">
        <v>2275</v>
      </c>
      <c r="G145" s="1934"/>
      <c r="H145" s="1935"/>
      <c r="I145" s="1936" t="s">
        <v>2272</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2283</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2284</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5" zoomScaleNormal="85" workbookViewId="0">
      <selection activeCell="C36" sqref="C36:C4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3024</v>
      </c>
      <c r="D1" s="3115" t="s">
        <v>3068</v>
      </c>
      <c r="E1" s="2383" t="s">
        <v>2368</v>
      </c>
      <c r="F1" s="2384" t="e">
        <f ca="1">J53</f>
        <v>#N/A</v>
      </c>
      <c r="G1" s="772" t="e">
        <f>MATCH(C1,'数据-取费表'!A6:A16,0)+5</f>
        <v>#N/A</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1723</v>
      </c>
      <c r="B2" s="773" t="e">
        <f ca="1">C40+J29+L46</f>
        <v>#N/A</v>
      </c>
      <c r="C2" s="2053"/>
      <c r="D2" s="2051"/>
      <c r="E2" s="2052"/>
      <c r="F2" s="2052"/>
      <c r="G2" s="1587"/>
      <c r="H2" s="2053"/>
      <c r="I2" s="2053"/>
      <c r="J2" s="2053"/>
      <c r="K2" s="2054"/>
      <c r="L2" s="2053"/>
      <c r="M2" s="2053"/>
    </row>
    <row r="3" spans="1:33" ht="18" customHeight="1" thickBot="1">
      <c r="A3" s="831" t="s">
        <v>1724</v>
      </c>
      <c r="B3" s="832">
        <f ca="1">IF(ISERROR(B2*10000/F43),0,ROUND(B2*10000/F43,0))</f>
        <v>0</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1729</v>
      </c>
      <c r="I4" s="776" t="s">
        <v>1730</v>
      </c>
      <c r="J4" s="776" t="s">
        <v>1731</v>
      </c>
      <c r="K4" s="776" t="s">
        <v>1732</v>
      </c>
      <c r="L4" s="777" t="s">
        <v>1733</v>
      </c>
      <c r="M4" s="778"/>
    </row>
    <row r="5" spans="1:33" ht="18" customHeight="1">
      <c r="A5" s="779">
        <v>1</v>
      </c>
      <c r="B5" s="780" t="s">
        <v>2450</v>
      </c>
      <c r="C5" s="55" t="e">
        <f ca="1">C6+C10+C12</f>
        <v>#N/A</v>
      </c>
      <c r="D5" s="2492" t="s">
        <v>2453</v>
      </c>
      <c r="E5" s="2486"/>
      <c r="F5" s="2487"/>
      <c r="G5" s="1589"/>
      <c r="H5" s="779">
        <v>1</v>
      </c>
      <c r="I5" s="780" t="s">
        <v>2450</v>
      </c>
      <c r="J5" s="55" t="e">
        <f ca="1">J6+J10+J12</f>
        <v>#N/A</v>
      </c>
      <c r="K5" s="2492" t="s">
        <v>2453</v>
      </c>
      <c r="L5" s="2486"/>
      <c r="M5" s="2487"/>
    </row>
    <row r="6" spans="1:33" ht="18" customHeight="1">
      <c r="A6" s="1826" t="s">
        <v>1821</v>
      </c>
      <c r="B6" s="3471" t="s">
        <v>2455</v>
      </c>
      <c r="C6" s="781" t="e">
        <f ca="1">ROUND(F6*F8*F7*(1-F9)/10000,0)</f>
        <v>#N/A</v>
      </c>
      <c r="D6" s="2493" t="s">
        <v>2454</v>
      </c>
      <c r="E6" s="782" t="s">
        <v>1735</v>
      </c>
      <c r="F6" s="783" t="e">
        <f ca="1">INDIRECT("'数据-取费表'!u"&amp;$G$1)</f>
        <v>#N/A</v>
      </c>
      <c r="G6" s="1589"/>
      <c r="H6" s="2500" t="s">
        <v>2460</v>
      </c>
      <c r="I6" s="3471" t="s">
        <v>2455</v>
      </c>
      <c r="J6" s="781" t="e">
        <f ca="1">ROUND(M6*M8*M7*(1-M9)/10000,0)</f>
        <v>#N/A</v>
      </c>
      <c r="K6" s="339" t="s">
        <v>1734</v>
      </c>
      <c r="L6" s="782" t="s">
        <v>1735</v>
      </c>
      <c r="M6" s="783" t="e">
        <f ca="1">INDIRECT("'数据-取费表'!z"&amp;$G$1)</f>
        <v>#N/A</v>
      </c>
    </row>
    <row r="7" spans="1:33" ht="18" customHeight="1">
      <c r="A7" s="2496"/>
      <c r="B7" s="3472"/>
      <c r="C7" s="786"/>
      <c r="D7" s="787"/>
      <c r="E7" s="782" t="s">
        <v>1736</v>
      </c>
      <c r="F7" s="783" t="e">
        <f ca="1">IF(INDIRECT("'数据-取费表'!ah"&amp;$G$1)="",INDIRECT("'数据-取费表'!k"&amp;$G$1),INDIRECT("'数据-取费表'!ah"&amp;$G$1))</f>
        <v>#N/A</v>
      </c>
      <c r="G7" s="1589"/>
      <c r="H7" s="2485"/>
      <c r="I7" s="3472"/>
      <c r="J7" s="786"/>
      <c r="K7" s="787"/>
      <c r="L7" s="782" t="s">
        <v>1736</v>
      </c>
      <c r="M7" s="783" t="e">
        <f ca="1">F7</f>
        <v>#N/A</v>
      </c>
    </row>
    <row r="8" spans="1:33" ht="18" customHeight="1">
      <c r="A8" s="2489"/>
      <c r="B8" s="3473"/>
      <c r="C8" s="786"/>
      <c r="D8" s="787"/>
      <c r="E8" s="782" t="s">
        <v>1737</v>
      </c>
      <c r="F8" s="783" t="e">
        <f ca="1">INDIRECT("'数据-取费表'!ai"&amp;$G$1)</f>
        <v>#N/A</v>
      </c>
      <c r="G8" s="1589"/>
      <c r="H8" s="2485"/>
      <c r="I8" s="3473"/>
      <c r="J8" s="786"/>
      <c r="K8" s="787"/>
      <c r="L8" s="782" t="s">
        <v>1737</v>
      </c>
      <c r="M8" s="783" t="e">
        <f ca="1">INDIRECT("'数据-取费表'!ai"&amp;$G$1)</f>
        <v>#N/A</v>
      </c>
    </row>
    <row r="9" spans="1:33" ht="18" customHeight="1">
      <c r="A9" s="784"/>
      <c r="B9" s="3474"/>
      <c r="C9" s="786"/>
      <c r="D9" s="787"/>
      <c r="E9" s="782" t="s">
        <v>1738</v>
      </c>
      <c r="F9" s="792" t="e">
        <f ca="1">INDIRECT("'数据-取费表'!w"&amp;$G$1)</f>
        <v>#N/A</v>
      </c>
      <c r="G9" s="1589"/>
      <c r="H9" s="2501"/>
      <c r="I9" s="3473"/>
      <c r="J9" s="786"/>
      <c r="K9" s="787"/>
      <c r="L9" s="793" t="s">
        <v>1738</v>
      </c>
      <c r="M9" s="794" t="e">
        <f ca="1">INDIRECT("'数据-取费表'!ab"&amp;$G$1)</f>
        <v>#N/A</v>
      </c>
    </row>
    <row r="10" spans="1:33" ht="18" customHeight="1">
      <c r="A10" s="1826" t="s">
        <v>2458</v>
      </c>
      <c r="B10" s="2490" t="s">
        <v>2451</v>
      </c>
      <c r="C10" s="797" t="e">
        <f ca="1">ROUND(IF(F10="押一",C6/12*F11,IF(F10="押二",C6/12*2*F11,IF(F10="押三",C6/12*3*F11,C11*F11))),0)</f>
        <v>#N/A</v>
      </c>
      <c r="D10" s="2497" t="s">
        <v>2961</v>
      </c>
      <c r="E10" s="2494" t="s">
        <v>2456</v>
      </c>
      <c r="F10" s="2617" t="s">
        <v>3025</v>
      </c>
      <c r="G10" s="1589"/>
      <c r="H10" s="2557" t="s">
        <v>2461</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2457</v>
      </c>
      <c r="F11" s="794">
        <f ca="1">'数据-取费表'!B39</f>
        <v>1.4999999999999999E-2</v>
      </c>
      <c r="G11" s="1589"/>
      <c r="H11" s="2558"/>
      <c r="I11" s="2491" t="s">
        <v>2565</v>
      </c>
      <c r="J11" s="2495"/>
      <c r="K11" s="2559"/>
      <c r="L11" s="2494" t="s">
        <v>2457</v>
      </c>
      <c r="M11" s="2488">
        <f ca="1">'数据-取费表'!B39</f>
        <v>1.4999999999999999E-2</v>
      </c>
    </row>
    <row r="12" spans="1:33" ht="18" customHeight="1" thickBot="1">
      <c r="A12" s="2533" t="s">
        <v>2459</v>
      </c>
      <c r="B12" s="2534" t="s">
        <v>2452</v>
      </c>
      <c r="C12" s="2535"/>
      <c r="D12" s="2536"/>
      <c r="E12" s="2537"/>
      <c r="F12" s="2538"/>
      <c r="G12" s="1589"/>
      <c r="H12" s="2547" t="s">
        <v>2462</v>
      </c>
      <c r="I12" s="2560" t="s">
        <v>2452</v>
      </c>
      <c r="J12" s="2561"/>
      <c r="K12" s="2536"/>
      <c r="L12" s="2537"/>
      <c r="M12" s="2550"/>
    </row>
    <row r="13" spans="1:33" ht="18" customHeight="1" thickTop="1">
      <c r="A13" s="1825">
        <v>2</v>
      </c>
      <c r="B13" s="1823" t="s">
        <v>1739</v>
      </c>
      <c r="C13" s="790" t="e">
        <f ca="1">ROUND(C29*F13,0)</f>
        <v>#N/A</v>
      </c>
      <c r="D13" s="1830" t="s">
        <v>2293</v>
      </c>
      <c r="E13" s="1830" t="s">
        <v>1741</v>
      </c>
      <c r="F13" s="2532" t="e">
        <f ca="1">INDIRECT("'数据-取费表'!y"&amp;$G$1)</f>
        <v>#N/A</v>
      </c>
      <c r="G13" s="1589"/>
      <c r="H13" s="1825">
        <v>2</v>
      </c>
      <c r="I13" s="1823" t="s">
        <v>1739</v>
      </c>
      <c r="J13" s="1815" t="e">
        <f ca="1">ROUND(J14*J15,0)</f>
        <v>#N/A</v>
      </c>
      <c r="K13" s="1817" t="s">
        <v>1740</v>
      </c>
      <c r="L13" s="2548"/>
      <c r="M13" s="2549"/>
    </row>
    <row r="14" spans="1:33" ht="18" customHeight="1">
      <c r="A14" s="1645" t="s">
        <v>1881</v>
      </c>
      <c r="B14" s="782" t="s">
        <v>642</v>
      </c>
      <c r="C14" s="802" t="e">
        <f ca="1">INDIRECT("'数据-取费表'!m"&amp;$G$1)+INDIRECT("'数据-取费表'!t"&amp;$G$1)</f>
        <v>#N/A</v>
      </c>
      <c r="D14" s="1975" t="s">
        <v>1742</v>
      </c>
      <c r="E14" s="1976"/>
      <c r="F14" s="803"/>
      <c r="G14" s="1589"/>
      <c r="H14" s="1646" t="s">
        <v>1827</v>
      </c>
      <c r="I14" s="2227" t="s">
        <v>2818</v>
      </c>
      <c r="J14" s="53" t="e">
        <f ca="1">C29</f>
        <v>#N/A</v>
      </c>
      <c r="K14" s="26"/>
      <c r="L14" s="799"/>
      <c r="M14" s="800"/>
    </row>
    <row r="15" spans="1:33" s="2060" customFormat="1" ht="18" customHeight="1" thickBot="1">
      <c r="A15" s="1645" t="s">
        <v>1882</v>
      </c>
      <c r="B15" s="782" t="s">
        <v>644</v>
      </c>
      <c r="C15" s="53" t="e">
        <f ca="1">ROUND(C14*F15,0)</f>
        <v>#N/A</v>
      </c>
      <c r="D15" s="804" t="s">
        <v>1743</v>
      </c>
      <c r="E15" s="804" t="s">
        <v>1744</v>
      </c>
      <c r="F15" s="805">
        <f>'数据-取费表'!B33</f>
        <v>0.04</v>
      </c>
      <c r="G15" s="1590"/>
      <c r="H15" s="2547" t="s">
        <v>1886</v>
      </c>
      <c r="I15" s="2542" t="s">
        <v>1741</v>
      </c>
      <c r="J15" s="2551" t="e">
        <f ca="1">INDIRECT("'数据-取费表'!ad"&amp;$G$1)</f>
        <v>#N/A</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1883</v>
      </c>
      <c r="B16" s="782" t="s">
        <v>647</v>
      </c>
      <c r="C16" s="53" t="e">
        <f ca="1">ROUND(INDIRECT("'数据-取费表'!m"&amp;$G$1)*F16,0)</f>
        <v>#N/A</v>
      </c>
      <c r="D16" s="782" t="s">
        <v>1743</v>
      </c>
      <c r="E16" s="782" t="s">
        <v>1744</v>
      </c>
      <c r="F16" s="807" t="e">
        <f ca="1">IF(INDIRECT("'数据-取费表'!c"&amp;$G$1)="住宅",'数据-取费表'!B34,0)</f>
        <v>#N/A</v>
      </c>
      <c r="G16" s="1589"/>
      <c r="H16" s="1825" t="s">
        <v>1745</v>
      </c>
      <c r="I16" s="1823" t="s">
        <v>1746</v>
      </c>
      <c r="J16" s="790" t="e">
        <f ca="1">ROUND(J17+J22+J23+J24,0)</f>
        <v>#N/A</v>
      </c>
      <c r="K16" s="1817" t="s">
        <v>1747</v>
      </c>
      <c r="L16" s="2482"/>
      <c r="M16" s="2487"/>
    </row>
    <row r="17" spans="1:33" s="2060" customFormat="1" ht="18" customHeight="1">
      <c r="A17" s="1645" t="s">
        <v>1884</v>
      </c>
      <c r="B17" s="782" t="s">
        <v>650</v>
      </c>
      <c r="C17" s="53" t="e">
        <f ca="1">ROUND(F17*(F43+INDIRECT("'数据-取费表'!S"&amp;$G$1))/10000,0)</f>
        <v>#N/A</v>
      </c>
      <c r="D17" s="782" t="s">
        <v>1748</v>
      </c>
      <c r="E17" s="782" t="s">
        <v>1749</v>
      </c>
      <c r="F17" s="56">
        <f>'数据-取费表'!B35</f>
        <v>200</v>
      </c>
      <c r="G17" s="1590"/>
      <c r="H17" s="1646" t="s">
        <v>1827</v>
      </c>
      <c r="I17" s="782" t="s">
        <v>653</v>
      </c>
      <c r="J17" s="53" t="e">
        <f ca="1">ROUND(IF(项目基本情况!B11="自然人",J5*M17,J18+J19+J20),0)</f>
        <v>#N/A</v>
      </c>
      <c r="K17" s="2481" t="s">
        <v>1750</v>
      </c>
      <c r="L17" s="2480"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t="e">
        <f ca="1">ROUND(C14*F18,0)</f>
        <v>#N/A</v>
      </c>
      <c r="D18" s="782" t="s">
        <v>1743</v>
      </c>
      <c r="E18" s="782" t="s">
        <v>1744</v>
      </c>
      <c r="F18" s="807">
        <f>'数据-取费表'!B36</f>
        <v>1.4999999999999999E-2</v>
      </c>
      <c r="G18" s="1590"/>
      <c r="H18" s="1645" t="s">
        <v>1881</v>
      </c>
      <c r="I18" s="782" t="s">
        <v>1752</v>
      </c>
      <c r="J18" s="53" t="e">
        <f ca="1">ROUND(J5*M18/1.05,1)</f>
        <v>#N/A</v>
      </c>
      <c r="K18" s="2480"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1827</v>
      </c>
      <c r="B19" s="782" t="s">
        <v>659</v>
      </c>
      <c r="C19" s="53" t="e">
        <f ca="1">SUM(C14:C18)</f>
        <v>#N/A</v>
      </c>
      <c r="D19" s="259" t="s">
        <v>1754</v>
      </c>
      <c r="E19" s="1978"/>
      <c r="F19" s="56"/>
      <c r="G19" s="1589"/>
      <c r="H19" s="1645" t="s">
        <v>1882</v>
      </c>
      <c r="I19" s="782" t="s">
        <v>1755</v>
      </c>
      <c r="J19" s="53" t="e">
        <f ca="1">IF(K19="按租金收入计税",ROUND(J5*M19,1),ROUND(C29*F33*0.7,1))</f>
        <v>#N/A</v>
      </c>
      <c r="K19" s="809" t="s">
        <v>662</v>
      </c>
      <c r="L19" s="782" t="s">
        <v>1744</v>
      </c>
      <c r="M19" s="807">
        <f>IF(K19="按租金收入计税",'数据-取费表'!B51,'数据-取费表'!B50)</f>
        <v>1.2E-2</v>
      </c>
    </row>
    <row r="20" spans="1:33" s="2060" customFormat="1" ht="18" customHeight="1">
      <c r="A20" s="1646" t="s">
        <v>1886</v>
      </c>
      <c r="B20" s="782" t="s">
        <v>663</v>
      </c>
      <c r="C20" s="53" t="e">
        <f ca="1">ROUND(C19*F20,0)</f>
        <v>#N/A</v>
      </c>
      <c r="D20" s="810" t="s">
        <v>1756</v>
      </c>
      <c r="E20" s="782" t="s">
        <v>1744</v>
      </c>
      <c r="F20" s="807">
        <f>'数据-取费表'!B37</f>
        <v>0.02</v>
      </c>
      <c r="G20" s="1590"/>
      <c r="H20" s="1648" t="s">
        <v>1877</v>
      </c>
      <c r="I20" s="339" t="s">
        <v>1757</v>
      </c>
      <c r="J20" s="54" t="e">
        <f ca="1">ROUND(M20*M21/10000,0)</f>
        <v>#N/A</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t="e">
        <f ca="1">INDIRECT("'数据-取费表'!r"&amp;$G$1)</f>
        <v>#N/A</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1978"/>
      <c r="F22" s="56"/>
      <c r="G22" s="1589"/>
      <c r="H22" s="1646" t="s">
        <v>1886</v>
      </c>
      <c r="I22" s="782" t="s">
        <v>1765</v>
      </c>
      <c r="J22" s="53" t="e">
        <f ca="1">ROUND(J14*M22,0)</f>
        <v>#N/A</v>
      </c>
      <c r="K22" s="2480" t="s">
        <v>1766</v>
      </c>
      <c r="L22" s="782" t="s">
        <v>1744</v>
      </c>
      <c r="M22" s="815" t="e">
        <f ca="1">INDIRECT("'数据-取费表'!Ak"&amp;$G$1)</f>
        <v>#N/A</v>
      </c>
    </row>
    <row r="23" spans="1:33" s="2060" customFormat="1" ht="18" customHeight="1">
      <c r="A23" s="1645" t="s">
        <v>1828</v>
      </c>
      <c r="B23" s="782" t="s">
        <v>2527</v>
      </c>
      <c r="C23" s="53" t="e">
        <f ca="1">ROUND(IF('数据-取费表'!B22&lt;=1,(C19+C20)*F24*F23/2,(C19+C20)*(POWER((1+F24),F23/2)-1)),0)</f>
        <v>#N/A</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t="e">
        <f ca="1">ROUND(J13*M23,0)</f>
        <v>#N/A</v>
      </c>
      <c r="K23" s="2480" t="s">
        <v>1768</v>
      </c>
      <c r="L23" s="782" t="s">
        <v>1744</v>
      </c>
      <c r="M23" s="816" t="e">
        <f ca="1">INDIRECT("'数据-取费表'!Al"&amp;$G$1)</f>
        <v>#N/A</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t="e">
        <f ca="1">ROUND(J5*M24,0)</f>
        <v>#N/A</v>
      </c>
      <c r="K24" s="2541" t="s">
        <v>1771</v>
      </c>
      <c r="L24" s="2542" t="s">
        <v>1744</v>
      </c>
      <c r="M24" s="2538" t="e">
        <f ca="1">INDIRECT("'数据-取费表'!Am"&amp;$G$1)</f>
        <v>#N/A</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1978"/>
      <c r="F25" s="56"/>
      <c r="G25" s="1589"/>
      <c r="H25" s="1825" t="s">
        <v>1773</v>
      </c>
      <c r="I25" s="3006" t="s">
        <v>2814</v>
      </c>
      <c r="J25" s="790" t="e">
        <f ca="1">J5-J16</f>
        <v>#N/A</v>
      </c>
      <c r="K25" s="2544" t="s">
        <v>1774</v>
      </c>
      <c r="L25" s="2545"/>
      <c r="M25" s="2546"/>
    </row>
    <row r="26" spans="1:33" ht="18" customHeight="1">
      <c r="A26" s="1645" t="s">
        <v>1828</v>
      </c>
      <c r="B26" s="782" t="s">
        <v>2432</v>
      </c>
      <c r="C26" s="53" t="e">
        <f ca="1">ROUND((C19+C20)*F26,0)</f>
        <v>#N/A</v>
      </c>
      <c r="D26" s="810" t="s">
        <v>1775</v>
      </c>
      <c r="E26" s="793" t="s">
        <v>1776</v>
      </c>
      <c r="F26" s="792" t="e">
        <f ca="1">INDIRECT("'数据-取费表'!q"&amp;$G$1)</f>
        <v>#N/A</v>
      </c>
      <c r="G26" s="1589"/>
      <c r="H26" s="2498" t="s">
        <v>1777</v>
      </c>
      <c r="I26" s="2228" t="s">
        <v>2819</v>
      </c>
      <c r="J26" s="781" t="e">
        <f ca="1">IF(J5&lt;&gt;0,ROUND(J25*(1-((1+M28)/(1+M26))^M27)/(M26-M28),0),0)</f>
        <v>#N/A</v>
      </c>
      <c r="K26" s="812" t="s">
        <v>1778</v>
      </c>
      <c r="L26" s="782" t="s">
        <v>2413</v>
      </c>
      <c r="M26" s="792" t="e">
        <f ca="1">INDIRECT("'数据-取费表'!I"&amp;$G$1)</f>
        <v>#N/A</v>
      </c>
    </row>
    <row r="27" spans="1:33" ht="18" customHeight="1">
      <c r="A27" s="1645" t="s">
        <v>1829</v>
      </c>
      <c r="B27" s="782" t="s">
        <v>683</v>
      </c>
      <c r="C27" s="53" t="e">
        <f ca="1">ROUND(F21*F26,4)</f>
        <v>#N/A</v>
      </c>
      <c r="D27" s="810" t="s">
        <v>1779</v>
      </c>
      <c r="E27" s="804"/>
      <c r="F27" s="805"/>
      <c r="G27" s="1589"/>
      <c r="H27" s="2499"/>
      <c r="I27" s="785"/>
      <c r="J27" s="786"/>
      <c r="K27" s="819" t="s">
        <v>1780</v>
      </c>
      <c r="L27" s="782" t="s">
        <v>1781</v>
      </c>
      <c r="M27" s="820" t="e">
        <f ca="1">INDIRECT("'数据-取费表'!ag"&amp;$G$1)</f>
        <v>#N/A</v>
      </c>
    </row>
    <row r="28" spans="1:33" s="2060" customFormat="1" ht="18" customHeight="1">
      <c r="A28" s="1647" t="s">
        <v>1838</v>
      </c>
      <c r="B28" s="782" t="s">
        <v>684</v>
      </c>
      <c r="C28" s="53">
        <f>ROUND(F28/(1+'数据-取费表'!C42),4)</f>
        <v>5.33E-2</v>
      </c>
      <c r="D28" s="810" t="s">
        <v>2295</v>
      </c>
      <c r="E28" s="782" t="s">
        <v>1782</v>
      </c>
      <c r="F28" s="807">
        <f>'数据-取费表'!B41</f>
        <v>5.6000000000000001E-2</v>
      </c>
      <c r="G28" s="1590"/>
      <c r="H28" s="1825"/>
      <c r="I28" s="789"/>
      <c r="J28" s="790"/>
      <c r="K28" s="814"/>
      <c r="L28" s="782" t="s">
        <v>1783</v>
      </c>
      <c r="M28" s="792" t="e">
        <f ca="1">INDIRECT("'数据-取费表'!aa"&amp;$G$1)</f>
        <v>#N/A</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t="e">
        <f ca="1">ROUND((C19+C20+C23+C26)/(1-F21-C24-C27-C28),0)</f>
        <v>#N/A</v>
      </c>
      <c r="D29" s="2541"/>
      <c r="E29" s="2542"/>
      <c r="F29" s="2543"/>
      <c r="G29" s="1590"/>
      <c r="H29" s="821" t="s">
        <v>1784</v>
      </c>
      <c r="I29" s="822" t="s">
        <v>1785</v>
      </c>
      <c r="J29" s="823" t="e">
        <f ca="1">ROUND(J26/(1+F40)^F41,0)</f>
        <v>#N/A</v>
      </c>
      <c r="K29" s="824" t="s">
        <v>1786</v>
      </c>
      <c r="L29" s="825"/>
      <c r="M29" s="826" t="e">
        <f ca="1">INDIRECT("'数据-取费表'!k"&amp;$G$1)</f>
        <v>#N/A</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1890</v>
      </c>
      <c r="B30" s="1823" t="s">
        <v>1787</v>
      </c>
      <c r="C30" s="790" t="e">
        <f ca="1">ROUND(C31+C36+C37+C38,0)</f>
        <v>#N/A</v>
      </c>
      <c r="D30" s="1817" t="s">
        <v>1788</v>
      </c>
      <c r="E30" s="2482"/>
      <c r="F30" s="2487"/>
      <c r="G30" s="2058"/>
      <c r="H30" s="2061"/>
      <c r="I30" s="2062"/>
      <c r="J30" s="2063"/>
      <c r="K30" s="2064"/>
      <c r="L30" s="2065"/>
      <c r="M30" s="2066"/>
    </row>
    <row r="31" spans="1:33" ht="18" customHeight="1">
      <c r="A31" s="1646" t="s">
        <v>1827</v>
      </c>
      <c r="B31" s="782" t="s">
        <v>653</v>
      </c>
      <c r="C31" s="53" t="e">
        <f ca="1">ROUND(IF(项目基本情况!B11="自然人",C5*F31,C32+C33+C34),1)</f>
        <v>#N/A</v>
      </c>
      <c r="D31" s="1975" t="s">
        <v>1789</v>
      </c>
      <c r="E31" s="1973"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1791</v>
      </c>
      <c r="C32" s="53" t="e">
        <f ca="1">ROUND(C5*F32/1.05,1)</f>
        <v>#N/A</v>
      </c>
      <c r="D32" s="1973" t="s">
        <v>1792</v>
      </c>
      <c r="E32" s="782" t="s">
        <v>1793</v>
      </c>
      <c r="F32" s="807">
        <f>'数据-取费表'!B41</f>
        <v>5.6000000000000001E-2</v>
      </c>
      <c r="G32" s="2058"/>
      <c r="H32" s="2067"/>
      <c r="I32" s="2068"/>
      <c r="J32" s="2069"/>
      <c r="K32" s="2070"/>
      <c r="L32" s="2071"/>
      <c r="M32" s="2072"/>
    </row>
    <row r="33" spans="1:18" ht="18" customHeight="1">
      <c r="A33" s="1645" t="s">
        <v>1829</v>
      </c>
      <c r="B33" s="782" t="s">
        <v>1794</v>
      </c>
      <c r="C33" s="53" t="e">
        <f ca="1">IF(D33="按租金收入计税",ROUND(C5*F33,1),IF(D33="按房产原值计税",ROUND(C29*F33*0.7,1),INDIRECT("'数据-取费表'!Aj"&amp;$G$1)))</f>
        <v>#N/A</v>
      </c>
      <c r="D33" s="809" t="s">
        <v>3026</v>
      </c>
      <c r="E33" s="782" t="s">
        <v>1793</v>
      </c>
      <c r="F33" s="807">
        <f>IF(D33="按租金收入计税",'数据-取费表'!B51,'数据-取费表'!B50)</f>
        <v>0.12</v>
      </c>
      <c r="G33" s="2058"/>
      <c r="H33" s="2073"/>
      <c r="I33" s="2073"/>
      <c r="J33" s="2073"/>
      <c r="K33" s="2074"/>
      <c r="L33" s="2073"/>
      <c r="M33" s="2073"/>
    </row>
    <row r="34" spans="1:18" ht="18" customHeight="1">
      <c r="A34" s="1648" t="s">
        <v>1830</v>
      </c>
      <c r="B34" s="339" t="s">
        <v>1795</v>
      </c>
      <c r="C34" s="54" t="e">
        <f ca="1">ROUND(F34*F35/10000,1)</f>
        <v>#N/A</v>
      </c>
      <c r="D34" s="812" t="s">
        <v>1796</v>
      </c>
      <c r="E34" s="782" t="s">
        <v>1797</v>
      </c>
      <c r="F34" s="638">
        <f>'数据-取费表'!B52</f>
        <v>20</v>
      </c>
      <c r="G34" s="2058"/>
      <c r="H34" s="2061"/>
      <c r="I34" s="833" t="s">
        <v>1810</v>
      </c>
      <c r="J34" s="834"/>
      <c r="K34" s="2076"/>
      <c r="L34" s="2075"/>
      <c r="M34" s="2075"/>
    </row>
    <row r="35" spans="1:18" ht="18" customHeight="1">
      <c r="A35" s="813"/>
      <c r="B35" s="791"/>
      <c r="C35" s="69"/>
      <c r="D35" s="814"/>
      <c r="E35" s="782" t="s">
        <v>1798</v>
      </c>
      <c r="F35" s="783" t="e">
        <f ca="1">INDIRECT("'数据-取费表'!r"&amp;$G$1)</f>
        <v>#N/A</v>
      </c>
      <c r="G35" s="2058"/>
      <c r="H35" s="2061"/>
      <c r="I35" s="835" t="s">
        <v>1811</v>
      </c>
      <c r="J35" s="836" t="e">
        <f ca="1">ROUND(C13*J36,0)</f>
        <v>#N/A</v>
      </c>
      <c r="K35" s="2074"/>
      <c r="L35" s="2073"/>
      <c r="M35" s="2073"/>
    </row>
    <row r="36" spans="1:18" ht="18" customHeight="1">
      <c r="A36" s="1646" t="s">
        <v>1886</v>
      </c>
      <c r="B36" s="782" t="s">
        <v>1799</v>
      </c>
      <c r="C36" s="53" t="e">
        <f ca="1">ROUND(C29*F36,1)</f>
        <v>#N/A</v>
      </c>
      <c r="D36" s="1973" t="s">
        <v>1800</v>
      </c>
      <c r="E36" s="782" t="s">
        <v>1793</v>
      </c>
      <c r="F36" s="815" t="e">
        <f ca="1">INDIRECT("'数据-取费表'!Ak"&amp;$G$1)</f>
        <v>#N/A</v>
      </c>
      <c r="G36" s="2058"/>
      <c r="H36" s="2073"/>
      <c r="I36" s="837" t="s">
        <v>1812</v>
      </c>
      <c r="J36" s="838" t="e">
        <f ca="1">INDIRECT("'数据-取费表'!j"&amp;$G$1)</f>
        <v>#N/A</v>
      </c>
      <c r="K36" s="2078"/>
      <c r="L36" s="2073"/>
      <c r="M36" s="2073"/>
    </row>
    <row r="37" spans="1:18" ht="18" customHeight="1">
      <c r="A37" s="1646" t="s">
        <v>1887</v>
      </c>
      <c r="B37" s="782" t="s">
        <v>676</v>
      </c>
      <c r="C37" s="53" t="e">
        <f ca="1">ROUND(C13*F37,1)</f>
        <v>#N/A</v>
      </c>
      <c r="D37" s="1973" t="s">
        <v>1801</v>
      </c>
      <c r="E37" s="782" t="s">
        <v>1793</v>
      </c>
      <c r="F37" s="816" t="e">
        <f ca="1">INDIRECT("'数据-取费表'!Al"&amp;$G$1)</f>
        <v>#N/A</v>
      </c>
      <c r="G37" s="2058"/>
      <c r="H37" s="2073"/>
      <c r="I37" s="839" t="s">
        <v>1813</v>
      </c>
      <c r="J37" s="840"/>
      <c r="K37" s="2078"/>
      <c r="L37" s="2073"/>
      <c r="M37" s="2073"/>
    </row>
    <row r="38" spans="1:18" ht="18" customHeight="1" thickBot="1">
      <c r="A38" s="2547" t="s">
        <v>1888</v>
      </c>
      <c r="B38" s="2542" t="s">
        <v>663</v>
      </c>
      <c r="C38" s="2540" t="e">
        <f ca="1">ROUND(C5*F38,1)</f>
        <v>#N/A</v>
      </c>
      <c r="D38" s="2541" t="s">
        <v>1802</v>
      </c>
      <c r="E38" s="2542" t="s">
        <v>1793</v>
      </c>
      <c r="F38" s="2538" t="e">
        <f ca="1">INDIRECT("'数据-取费表'!Am"&amp;$G$1)</f>
        <v>#N/A</v>
      </c>
      <c r="G38" s="2058"/>
      <c r="H38" s="2073"/>
      <c r="I38" s="841" t="s">
        <v>1814</v>
      </c>
      <c r="J38" s="842"/>
      <c r="K38" s="2079"/>
      <c r="L38" s="2073"/>
      <c r="M38" s="2073"/>
    </row>
    <row r="39" spans="1:18" ht="24.6" customHeight="1" thickTop="1">
      <c r="A39" s="1825" t="s">
        <v>1891</v>
      </c>
      <c r="B39" s="3006" t="s">
        <v>2814</v>
      </c>
      <c r="C39" s="790" t="e">
        <f ca="1">C5-C30</f>
        <v>#N/A</v>
      </c>
      <c r="D39" s="2544" t="s">
        <v>1803</v>
      </c>
      <c r="E39" s="2545"/>
      <c r="F39" s="2546"/>
      <c r="G39" s="2058"/>
      <c r="H39" s="2073"/>
      <c r="I39" s="835" t="s">
        <v>1815</v>
      </c>
      <c r="J39" s="843" t="e">
        <f ca="1">ROUND(J35/C39,3)</f>
        <v>#N/A</v>
      </c>
      <c r="K39" s="2079"/>
      <c r="L39" s="2073"/>
      <c r="M39" s="2073"/>
    </row>
    <row r="40" spans="1:18" ht="18" customHeight="1">
      <c r="A40" s="779" t="s">
        <v>1892</v>
      </c>
      <c r="B40" s="2228" t="s">
        <v>2297</v>
      </c>
      <c r="C40" s="781" t="e">
        <f ca="1">ROUND(C39*(1-((1+F42)/(1+F40))^F41)/(F40-F42),0)</f>
        <v>#N/A</v>
      </c>
      <c r="D40" s="812" t="s">
        <v>1804</v>
      </c>
      <c r="E40" s="782" t="s">
        <v>2413</v>
      </c>
      <c r="F40" s="792" t="e">
        <f ca="1">INDIRECT("'数据-取费表'!I"&amp;$G$1)</f>
        <v>#N/A</v>
      </c>
      <c r="G40" s="2058"/>
      <c r="H40" s="2058"/>
      <c r="I40" s="835" t="s">
        <v>1816</v>
      </c>
      <c r="J40" s="843" t="e">
        <f ca="1">1-J39</f>
        <v>#N/A</v>
      </c>
      <c r="K40" s="2079"/>
      <c r="L40" s="2058"/>
      <c r="M40" s="2058"/>
    </row>
    <row r="41" spans="1:18" ht="18" customHeight="1">
      <c r="A41" s="784"/>
      <c r="B41" s="785"/>
      <c r="C41" s="786"/>
      <c r="D41" s="819" t="s">
        <v>1805</v>
      </c>
      <c r="E41" s="782" t="s">
        <v>2951</v>
      </c>
      <c r="F41" s="820" t="e">
        <f ca="1">IF(INDIRECT("'数据-取费表'!af"&amp;$G$1)=0,INDIRECT("'数据-取费表'!ae"&amp;$G$1),INDIRECT("'数据-取费表'!af"&amp;$G$1))</f>
        <v>#N/A</v>
      </c>
      <c r="G41" s="2058"/>
      <c r="H41" s="1984"/>
      <c r="I41" s="841" t="s">
        <v>1817</v>
      </c>
      <c r="J41" s="844"/>
      <c r="K41" s="2078"/>
      <c r="L41" s="1984"/>
      <c r="M41" s="1984"/>
    </row>
    <row r="42" spans="1:18" ht="18" customHeight="1">
      <c r="A42" s="788"/>
      <c r="B42" s="789"/>
      <c r="C42" s="790"/>
      <c r="D42" s="814"/>
      <c r="E42" s="782" t="s">
        <v>1806</v>
      </c>
      <c r="F42" s="792" t="e">
        <f ca="1">INDIRECT("'数据-取费表'!v"&amp;$G$1)</f>
        <v>#N/A</v>
      </c>
      <c r="G42" s="2058"/>
      <c r="H42" s="1984"/>
      <c r="I42" s="845" t="s">
        <v>1818</v>
      </c>
      <c r="J42" s="843" t="e">
        <f ca="1">ROUND(C13/C40,3)</f>
        <v>#N/A</v>
      </c>
      <c r="K42" s="2078"/>
      <c r="L42" s="1984"/>
      <c r="M42" s="1984"/>
    </row>
    <row r="43" spans="1:18" ht="18" customHeight="1" thickBot="1">
      <c r="A43" s="821" t="s">
        <v>1784</v>
      </c>
      <c r="B43" s="822" t="s">
        <v>1807</v>
      </c>
      <c r="C43" s="823" t="e">
        <f ca="1">ROUND(C40*10000/F43,0)</f>
        <v>#N/A</v>
      </c>
      <c r="D43" s="824" t="s">
        <v>1808</v>
      </c>
      <c r="E43" s="825" t="s">
        <v>1809</v>
      </c>
      <c r="F43" s="826" t="e">
        <f ca="1">INDIRECT("'数据-取费表'!k"&amp;$G$1)</f>
        <v>#N/A</v>
      </c>
      <c r="G43" s="2058"/>
      <c r="H43" s="1984"/>
      <c r="I43" s="845" t="s">
        <v>1819</v>
      </c>
      <c r="J43" s="846" t="e">
        <f ca="1">1-J42</f>
        <v>#N/A</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t="e">
        <f ca="1">C67-C40</f>
        <v>#N/A</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t="e">
        <f ca="1">C48+C52+C54</f>
        <v>#N/A</v>
      </c>
      <c r="D47" s="2081"/>
      <c r="E47" s="2081"/>
      <c r="F47" s="2081"/>
      <c r="I47" s="3140" t="s">
        <v>2338</v>
      </c>
      <c r="J47" s="2377" t="s">
        <v>3027</v>
      </c>
      <c r="K47" s="3147" t="s">
        <v>2343</v>
      </c>
      <c r="L47" s="3151" t="e">
        <f ca="1">INDIRECT("'数据-取费表'!d"&amp;$G$1)</f>
        <v>#N/A</v>
      </c>
      <c r="M47" s="1601" t="str">
        <f>IF(ISNUMBER(FIND("住宅",C1)),"住宅","非住宅")</f>
        <v>非住宅</v>
      </c>
      <c r="O47" s="2391" t="s">
        <v>2369</v>
      </c>
      <c r="P47" s="2392" t="s">
        <v>2370</v>
      </c>
      <c r="Q47" s="2393" t="s">
        <v>2371</v>
      </c>
      <c r="R47" s="2392" t="s">
        <v>2372</v>
      </c>
    </row>
    <row r="48" spans="1:18" s="2055" customFormat="1" ht="18" customHeight="1" thickBot="1">
      <c r="A48" s="2638" t="s">
        <v>2529</v>
      </c>
      <c r="B48" s="2639" t="s">
        <v>2530</v>
      </c>
      <c r="C48" s="2370" t="e">
        <f ca="1">ROUND(F48*F50*F49*(1-F51)/10000,0)</f>
        <v>#N/A</v>
      </c>
      <c r="D48" s="2371" t="s">
        <v>633</v>
      </c>
      <c r="E48" s="2372" t="s">
        <v>2292</v>
      </c>
      <c r="F48" s="2373"/>
      <c r="G48" s="2086"/>
      <c r="I48" s="3116" t="s">
        <v>2339</v>
      </c>
      <c r="J48" s="2378" t="s">
        <v>2344</v>
      </c>
      <c r="K48" s="3148" t="s">
        <v>2345</v>
      </c>
      <c r="L48" s="1904" t="e">
        <f ca="1">INDIRECT("'数据-取费表'!f"&amp;$G$1)</f>
        <v>#N/A</v>
      </c>
      <c r="O48" s="2394" t="s">
        <v>2373</v>
      </c>
      <c r="P48" s="2395" t="s">
        <v>2399</v>
      </c>
      <c r="Q48" s="2396" t="e">
        <f ca="1">C40+J29</f>
        <v>#N/A</v>
      </c>
      <c r="R48" s="2395" t="s">
        <v>2374</v>
      </c>
    </row>
    <row r="49" spans="1:18" s="2055" customFormat="1" ht="18" customHeight="1" thickBot="1">
      <c r="A49" s="784"/>
      <c r="B49" s="785"/>
      <c r="C49" s="786"/>
      <c r="D49" s="787"/>
      <c r="E49" s="782" t="s">
        <v>1736</v>
      </c>
      <c r="F49" s="783" t="e">
        <f ca="1">F7</f>
        <v>#N/A</v>
      </c>
      <c r="G49" s="2086"/>
      <c r="H49" s="2089"/>
      <c r="I49" s="3116" t="s">
        <v>2340</v>
      </c>
      <c r="J49" s="2379">
        <v>2021</v>
      </c>
      <c r="K49" s="3149" t="s">
        <v>2346</v>
      </c>
      <c r="L49" s="2380"/>
      <c r="O49" s="2394" t="s">
        <v>2375</v>
      </c>
      <c r="P49" s="2395" t="s">
        <v>2400</v>
      </c>
      <c r="Q49" s="2396" t="e">
        <f ca="1">J60</f>
        <v>#N/A</v>
      </c>
      <c r="R49" s="2395" t="s">
        <v>2376</v>
      </c>
    </row>
    <row r="50" spans="1:18" s="2055" customFormat="1" ht="18" customHeight="1" thickBot="1">
      <c r="A50" s="784"/>
      <c r="B50" s="785"/>
      <c r="C50" s="786"/>
      <c r="D50" s="787"/>
      <c r="E50" s="782" t="s">
        <v>1737</v>
      </c>
      <c r="F50" s="783" t="e">
        <f ca="1">F8</f>
        <v>#N/A</v>
      </c>
      <c r="G50" s="2091"/>
      <c r="H50" s="2089"/>
      <c r="I50" s="3116" t="s">
        <v>2341</v>
      </c>
      <c r="J50" s="3144">
        <f>SUMPRODUCT((I63:I65=J47)*(J62:L62=J48)*(J63:L65))</f>
        <v>60</v>
      </c>
      <c r="K50" s="3149" t="s">
        <v>2347</v>
      </c>
      <c r="L50" s="2380"/>
      <c r="O50" s="2397" t="s">
        <v>2377</v>
      </c>
      <c r="P50" s="2395" t="s">
        <v>2401</v>
      </c>
      <c r="Q50" s="2396" t="e">
        <f ca="1">C29</f>
        <v>#N/A</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t="e">
        <f ca="1">ROUND(-PV(INDIRECT("'数据-取费表'!h"&amp;$G$1),L48,(C39-C13*J36),0),0)</f>
        <v>#N/A</v>
      </c>
      <c r="O51" s="2397" t="s">
        <v>2378</v>
      </c>
      <c r="P51" s="2395" t="s">
        <v>2379</v>
      </c>
      <c r="Q51" s="2398" t="e">
        <f ca="1">J58</f>
        <v>#N/A</v>
      </c>
      <c r="R51" s="2399"/>
    </row>
    <row r="52" spans="1:18" s="2055" customFormat="1" ht="18" customHeight="1" thickBot="1">
      <c r="A52" s="779" t="s">
        <v>2528</v>
      </c>
      <c r="B52" s="2490" t="s">
        <v>2451</v>
      </c>
      <c r="C52" s="797">
        <f ca="1">ROUND(IF(F52="押一",C48/12*F11,IF(F52="押二",C48/12*2*F11,IF(F52="押三",C48/12*3*F11,C53*F11))),0)</f>
        <v>0</v>
      </c>
      <c r="D52" s="2497" t="s">
        <v>2962</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t="e">
        <f ca="1">IF(M47="住宅",IF(D1="——",MAX(J51,L48),MAX(J51,L48-'数据-取费表'!B20)),IF(D1="——",MIN(J51,L48),MIN(J51,L48-'数据-取费表'!B20)))</f>
        <v>#N/A</v>
      </c>
      <c r="K53" s="3494" t="s">
        <v>2953</v>
      </c>
      <c r="L53" s="3495"/>
      <c r="O53" s="2397" t="s">
        <v>2382</v>
      </c>
      <c r="P53" s="2395" t="s">
        <v>2383</v>
      </c>
      <c r="Q53" s="2396" t="e">
        <f ca="1">J53</f>
        <v>#N/A</v>
      </c>
      <c r="R53" s="2395" t="s">
        <v>2384</v>
      </c>
    </row>
    <row r="54" spans="1:18" s="2055" customFormat="1" ht="18" customHeight="1" thickBot="1">
      <c r="A54" s="2533" t="s">
        <v>2459</v>
      </c>
      <c r="B54" s="2534" t="s">
        <v>2452</v>
      </c>
      <c r="C54" s="2535"/>
      <c r="D54" s="2497"/>
      <c r="E54" s="2494"/>
      <c r="F54" s="798"/>
      <c r="I54" s="20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2"/>
      <c r="O54" s="2394" t="s">
        <v>2385</v>
      </c>
      <c r="P54" s="2395" t="s">
        <v>2402</v>
      </c>
      <c r="Q54" s="2396" t="e">
        <f ca="1">Q48+Q49</f>
        <v>#N/A</v>
      </c>
      <c r="R54" s="2399" t="s">
        <v>2386</v>
      </c>
    </row>
    <row r="55" spans="1:18" s="2055" customFormat="1" ht="18" customHeight="1" thickTop="1" thickBot="1">
      <c r="A55" s="795">
        <v>2</v>
      </c>
      <c r="B55" s="796" t="s">
        <v>641</v>
      </c>
      <c r="C55" s="797" t="e">
        <f ca="1">C13</f>
        <v>#N/A</v>
      </c>
      <c r="D55" s="793"/>
      <c r="E55" s="793"/>
      <c r="F55" s="798"/>
      <c r="I55" s="3155" t="s">
        <v>2349</v>
      </c>
      <c r="J55" s="3091" t="e">
        <f ca="1">ROUND(IF(J47="钢混",J57/J50,1-(1-2%)*(J50-J57)/J50),3)</f>
        <v>#N/A</v>
      </c>
      <c r="K55" s="3156" t="s">
        <v>2350</v>
      </c>
      <c r="L55" s="2382"/>
      <c r="O55" s="2400" t="s">
        <v>2405</v>
      </c>
      <c r="P55" s="1589"/>
      <c r="Q55" s="1601"/>
      <c r="R55" s="1589"/>
    </row>
    <row r="56" spans="1:18" s="2055" customFormat="1" ht="42.75" customHeight="1" thickBot="1">
      <c r="A56" s="1647"/>
      <c r="B56" s="2227" t="s">
        <v>2298</v>
      </c>
      <c r="C56" s="53" t="e">
        <f ca="1">C29</f>
        <v>#N/A</v>
      </c>
      <c r="D56" s="2635"/>
      <c r="E56" s="782"/>
      <c r="F56" s="807"/>
      <c r="I56" s="3157" t="s">
        <v>2351</v>
      </c>
      <c r="J56" s="3167" t="s">
        <v>1676</v>
      </c>
      <c r="K56" s="3116" t="s">
        <v>2356</v>
      </c>
      <c r="L56" s="1904" t="e">
        <f ca="1">IF(L48&lt;J51,"——",L48-J51)</f>
        <v>#N/A</v>
      </c>
      <c r="O56" s="2391" t="s">
        <v>2369</v>
      </c>
      <c r="P56" s="2392" t="s">
        <v>2370</v>
      </c>
      <c r="Q56" s="2393" t="s">
        <v>2371</v>
      </c>
      <c r="R56" s="2392" t="s">
        <v>2372</v>
      </c>
    </row>
    <row r="57" spans="1:18" s="2055" customFormat="1" ht="28.5" customHeight="1" thickBot="1">
      <c r="A57" s="795" t="s">
        <v>1745</v>
      </c>
      <c r="B57" s="796" t="s">
        <v>648</v>
      </c>
      <c r="C57" s="797" t="e">
        <f ca="1">ROUND(C58+C63+C64+C65,0)</f>
        <v>#N/A</v>
      </c>
      <c r="D57" s="26" t="s">
        <v>1747</v>
      </c>
      <c r="E57" s="2636"/>
      <c r="F57" s="56"/>
      <c r="I57" s="3158" t="s">
        <v>2352</v>
      </c>
      <c r="J57" s="3159" t="e">
        <f ca="1">IF(OR(M47="住宅",J51&lt;L48,J56="是"),"——",J51-L48)</f>
        <v>#N/A</v>
      </c>
      <c r="K57" s="3116" t="s">
        <v>2357</v>
      </c>
      <c r="L57" s="1904" t="e">
        <f ca="1">IF(L48&lt;J51,"——",IF(L55="比较法",L49,IF(L55="基准地价",L50,L51)))</f>
        <v>#N/A</v>
      </c>
      <c r="O57" s="2394" t="s">
        <v>2373</v>
      </c>
      <c r="P57" s="2395" t="s">
        <v>2403</v>
      </c>
      <c r="Q57" s="2396" t="e">
        <f ca="1">C40+J29</f>
        <v>#N/A</v>
      </c>
      <c r="R57" s="2395" t="s">
        <v>2374</v>
      </c>
    </row>
    <row r="58" spans="1:18" s="2055" customFormat="1" ht="28.5" customHeight="1" thickBot="1">
      <c r="A58" s="1646" t="s">
        <v>1821</v>
      </c>
      <c r="B58" s="782" t="s">
        <v>653</v>
      </c>
      <c r="C58" s="53" t="e">
        <f ca="1">ROUND(IF(项目基本情况!B11="自然人",C47*F58,C59+C60+C61),1)</f>
        <v>#N/A</v>
      </c>
      <c r="D58" s="2634" t="s">
        <v>654</v>
      </c>
      <c r="E58" s="2635" t="s">
        <v>687</v>
      </c>
      <c r="F58" s="808" t="str">
        <f ca="1">IF(项目基本情况!B11="企业","",IF(INDIRECT("'数据-取费表'!c"&amp;$G$1)="住宅",5%,IF(F48*F49*F50/12/(1+'数据-取费表'!C42)&gt;20000,12%,7%)))</f>
        <v/>
      </c>
      <c r="I58" s="3158" t="s">
        <v>2353</v>
      </c>
      <c r="J58" s="3092" t="e">
        <f ca="1">IF(J55&lt;0.4,0.4,J55)</f>
        <v>#N/A</v>
      </c>
      <c r="K58" s="3116" t="s">
        <v>2358</v>
      </c>
      <c r="L58" s="1904" t="e">
        <f ca="1">ROUND(POWER(1+L52,L47-L48)*(POWER(1+L52,L48)-1)/(POWER(1+L52,L47)-1),4)</f>
        <v>#N/A</v>
      </c>
      <c r="O58" s="2394" t="s">
        <v>2375</v>
      </c>
      <c r="P58" s="2395" t="s">
        <v>2406</v>
      </c>
      <c r="Q58" s="2396" t="e">
        <f ca="1">L60</f>
        <v>#N/A</v>
      </c>
      <c r="R58" s="2399" t="s">
        <v>2408</v>
      </c>
    </row>
    <row r="59" spans="1:18" s="2055" customFormat="1" ht="28.5" customHeight="1" thickBot="1">
      <c r="A59" s="1645" t="s">
        <v>1828</v>
      </c>
      <c r="B59" s="782" t="s">
        <v>657</v>
      </c>
      <c r="C59" s="53" t="e">
        <f ca="1">ROUND(C47*F59/1.05,1)</f>
        <v>#N/A</v>
      </c>
      <c r="D59" s="2635" t="s">
        <v>1753</v>
      </c>
      <c r="E59" s="782" t="s">
        <v>1744</v>
      </c>
      <c r="F59" s="807">
        <f t="shared" ref="F59:F65" si="0">F32</f>
        <v>5.6000000000000001E-2</v>
      </c>
      <c r="I59" s="3158" t="s">
        <v>2354</v>
      </c>
      <c r="J59" s="3159" t="e">
        <f ca="1">IF(OR(M47="住宅",J51&lt;L48,J56="是"),"——",ROUND(C29*J58,0))</f>
        <v>#N/A</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#N/A</v>
      </c>
      <c r="O59" s="2397" t="s">
        <v>2377</v>
      </c>
      <c r="P59" s="2395" t="s">
        <v>2407</v>
      </c>
      <c r="Q59" s="2396">
        <f>IF(L55="比较法",L49,IF(L55="基准地价",L50,0))</f>
        <v>0</v>
      </c>
      <c r="R59" s="2395" t="s">
        <v>2374</v>
      </c>
    </row>
    <row r="60" spans="1:18" s="2055" customFormat="1" ht="18" customHeight="1" thickBot="1">
      <c r="A60" s="1645" t="s">
        <v>1829</v>
      </c>
      <c r="B60" s="782" t="s">
        <v>1755</v>
      </c>
      <c r="C60" s="53" t="e">
        <f ca="1">IF(D60="按租金收入计税",ROUND(C47*F60,1),IF(D60="按房产原值计税",ROUND(C56*F60*0.7,1),INDIRECT("'数据-取费表'!Aj"&amp;$G$1)))</f>
        <v>#N/A</v>
      </c>
      <c r="D60" s="2635" t="str">
        <f>D33</f>
        <v>按租金收入计税</v>
      </c>
      <c r="E60" s="782" t="s">
        <v>1744</v>
      </c>
      <c r="F60" s="807">
        <f t="shared" si="0"/>
        <v>0.12</v>
      </c>
      <c r="I60" s="3160" t="s">
        <v>2355</v>
      </c>
      <c r="J60" s="3161" t="e">
        <f ca="1">IF(OR(M47="住宅",J51&lt;L48,J56="是"),"0",ROUND(J59/(1+J52)^J53,0))</f>
        <v>#N/A</v>
      </c>
      <c r="K60" s="3162" t="s">
        <v>2360</v>
      </c>
      <c r="L60" s="3161" t="e">
        <f ca="1">IF(OR(M47="住宅",L48&lt;J51),0,ROUND(L57*(L58/L59-1),0))</f>
        <v>#N/A</v>
      </c>
      <c r="O60" s="2397" t="s">
        <v>2378</v>
      </c>
      <c r="P60" s="2395" t="s">
        <v>2387</v>
      </c>
      <c r="Q60" s="2398">
        <f>L52</f>
        <v>0</v>
      </c>
      <c r="R60" s="2399"/>
    </row>
    <row r="61" spans="1:18" s="2055" customFormat="1" ht="18" customHeight="1" thickBot="1">
      <c r="A61" s="1648" t="s">
        <v>1830</v>
      </c>
      <c r="B61" s="339" t="s">
        <v>665</v>
      </c>
      <c r="C61" s="54" t="e">
        <f ca="1">ROUND(F61*F62/10000,1)</f>
        <v>#N/A</v>
      </c>
      <c r="D61" s="812" t="s">
        <v>666</v>
      </c>
      <c r="E61" s="782" t="s">
        <v>667</v>
      </c>
      <c r="F61" s="638">
        <f t="shared" si="0"/>
        <v>20</v>
      </c>
      <c r="K61" s="2082"/>
      <c r="O61" s="2397" t="s">
        <v>2380</v>
      </c>
      <c r="P61" s="2395" t="s">
        <v>2388</v>
      </c>
      <c r="Q61" s="2396" t="e">
        <f ca="1">L58</f>
        <v>#N/A</v>
      </c>
      <c r="R61" s="2399" t="s">
        <v>2389</v>
      </c>
    </row>
    <row r="62" spans="1:18" s="2055" customFormat="1" ht="15.75" thickBot="1">
      <c r="A62" s="813"/>
      <c r="B62" s="791"/>
      <c r="C62" s="69"/>
      <c r="D62" s="814"/>
      <c r="E62" s="782" t="s">
        <v>671</v>
      </c>
      <c r="F62" s="783" t="e">
        <f t="shared" ca="1" si="0"/>
        <v>#N/A</v>
      </c>
      <c r="I62" s="3163" t="s">
        <v>2361</v>
      </c>
      <c r="J62" s="3164" t="s">
        <v>2362</v>
      </c>
      <c r="K62" s="3164" t="s">
        <v>2363</v>
      </c>
      <c r="L62" s="3164" t="s">
        <v>2344</v>
      </c>
      <c r="M62" s="3165" t="s">
        <v>2930</v>
      </c>
      <c r="O62" s="2397" t="s">
        <v>2382</v>
      </c>
      <c r="P62" s="2395" t="str">
        <f>K59</f>
        <v>建设期及建筑物耐用年限下的土地年期修正系数Kn</v>
      </c>
      <c r="Q62" s="2396" t="e">
        <f ca="1">L59</f>
        <v>#N/A</v>
      </c>
      <c r="R62" s="2399" t="s">
        <v>2391</v>
      </c>
    </row>
    <row r="63" spans="1:18" s="2055" customFormat="1" ht="15.75" thickBot="1">
      <c r="A63" s="1646" t="s">
        <v>1886</v>
      </c>
      <c r="B63" s="782" t="s">
        <v>673</v>
      </c>
      <c r="C63" s="53" t="e">
        <f ca="1">ROUND(C56*F63,1)</f>
        <v>#N/A</v>
      </c>
      <c r="D63" s="2635" t="s">
        <v>1800</v>
      </c>
      <c r="E63" s="782" t="s">
        <v>1744</v>
      </c>
      <c r="F63" s="815" t="e">
        <f t="shared" ca="1" si="0"/>
        <v>#N/A</v>
      </c>
      <c r="I63" s="3163" t="s">
        <v>2364</v>
      </c>
      <c r="J63" s="3164">
        <v>70</v>
      </c>
      <c r="K63" s="3164">
        <v>50</v>
      </c>
      <c r="L63" s="3164">
        <v>80</v>
      </c>
      <c r="M63" s="3166">
        <v>0.02</v>
      </c>
      <c r="O63" s="2394" t="s">
        <v>2385</v>
      </c>
      <c r="P63" s="2395" t="s">
        <v>2402</v>
      </c>
      <c r="Q63" s="2396" t="e">
        <f ca="1">Q57+Q58</f>
        <v>#N/A</v>
      </c>
      <c r="R63" s="2399" t="s">
        <v>2386</v>
      </c>
    </row>
    <row r="64" spans="1:18" s="2055" customFormat="1" ht="16.5" thickBot="1">
      <c r="A64" s="1646" t="s">
        <v>1887</v>
      </c>
      <c r="B64" s="782" t="s">
        <v>676</v>
      </c>
      <c r="C64" s="53" t="e">
        <f ca="1">ROUND(C55*F64,1)</f>
        <v>#N/A</v>
      </c>
      <c r="D64" s="2635" t="s">
        <v>677</v>
      </c>
      <c r="E64" s="782" t="s">
        <v>1744</v>
      </c>
      <c r="F64" s="816" t="e">
        <f t="shared" ca="1" si="0"/>
        <v>#N/A</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t="e">
        <f ca="1">ROUND(C47*F65,1)</f>
        <v>#N/A</v>
      </c>
      <c r="D65" s="2635" t="s">
        <v>680</v>
      </c>
      <c r="E65" s="782" t="s">
        <v>1744</v>
      </c>
      <c r="F65" s="792" t="e">
        <f t="shared" ca="1" si="0"/>
        <v>#N/A</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t="e">
        <f ca="1">C47-C57</f>
        <v>#N/A</v>
      </c>
      <c r="D66" s="2634" t="s">
        <v>697</v>
      </c>
      <c r="E66" s="2633"/>
      <c r="F66" s="818"/>
      <c r="K66" s="2082"/>
      <c r="O66" s="2394" t="s">
        <v>2373</v>
      </c>
      <c r="P66" s="2395" t="s">
        <v>2403</v>
      </c>
      <c r="Q66" s="2396" t="e">
        <f ca="1">C40+J29</f>
        <v>#N/A</v>
      </c>
      <c r="R66" s="2395" t="s">
        <v>2374</v>
      </c>
    </row>
    <row r="67" spans="1:18" s="2055" customFormat="1" ht="20.25" thickBot="1">
      <c r="A67" s="779" t="s">
        <v>1777</v>
      </c>
      <c r="B67" s="2228" t="s">
        <v>2297</v>
      </c>
      <c r="C67" s="781" t="e">
        <f ca="1">ROUND(C66*(1-((1+F69)/(1+F67))^F68)/(F67-F69),0)</f>
        <v>#N/A</v>
      </c>
      <c r="D67" s="812" t="s">
        <v>701</v>
      </c>
      <c r="E67" s="782" t="s">
        <v>702</v>
      </c>
      <c r="F67" s="792" t="e">
        <f ca="1">F40</f>
        <v>#N/A</v>
      </c>
      <c r="K67" s="2082"/>
      <c r="O67" s="2394" t="s">
        <v>2375</v>
      </c>
      <c r="P67" s="2395" t="s">
        <v>2406</v>
      </c>
      <c r="Q67" s="2396" t="e">
        <f ca="1">L60</f>
        <v>#N/A</v>
      </c>
      <c r="R67" s="2399" t="s">
        <v>2408</v>
      </c>
    </row>
    <row r="68" spans="1:18" ht="21.75" thickBot="1">
      <c r="A68" s="784"/>
      <c r="B68" s="785"/>
      <c r="C68" s="786"/>
      <c r="D68" s="819" t="s">
        <v>1805</v>
      </c>
      <c r="E68" s="782" t="s">
        <v>1781</v>
      </c>
      <c r="F68" s="820" t="e">
        <f ca="1">F41</f>
        <v>#N/A</v>
      </c>
      <c r="O68" s="2397" t="s">
        <v>2377</v>
      </c>
      <c r="P68" s="2395" t="s">
        <v>2407</v>
      </c>
      <c r="Q68" s="2401" t="e">
        <f ca="1">L51</f>
        <v>#N/A</v>
      </c>
      <c r="R68" s="2402" t="s">
        <v>2410</v>
      </c>
    </row>
    <row r="69" spans="1:18" ht="20.25" thickBot="1">
      <c r="A69" s="788"/>
      <c r="B69" s="789"/>
      <c r="C69" s="790"/>
      <c r="D69" s="814"/>
      <c r="E69" s="782" t="s">
        <v>707</v>
      </c>
      <c r="F69" s="2367"/>
      <c r="O69" s="2397" t="s">
        <v>2378</v>
      </c>
      <c r="P69" s="2403" t="s">
        <v>2392</v>
      </c>
      <c r="Q69" s="2396" t="e">
        <f ca="1">ROUND(Q70-Q71*Q72,0)</f>
        <v>#N/A</v>
      </c>
      <c r="R69" s="2399"/>
    </row>
    <row r="70" spans="1:18" ht="15.75" thickBot="1">
      <c r="A70" s="821" t="s">
        <v>1784</v>
      </c>
      <c r="B70" s="822" t="s">
        <v>1807</v>
      </c>
      <c r="C70" s="823" t="e">
        <f ca="1">ROUND(C67*10000/F70,0)</f>
        <v>#N/A</v>
      </c>
      <c r="D70" s="824" t="s">
        <v>1808</v>
      </c>
      <c r="E70" s="825" t="s">
        <v>1809</v>
      </c>
      <c r="F70" s="826" t="e">
        <f ca="1">F43</f>
        <v>#N/A</v>
      </c>
      <c r="O70" s="2397" t="s">
        <v>2393</v>
      </c>
      <c r="P70" s="2403" t="s">
        <v>2394</v>
      </c>
      <c r="Q70" s="2396" t="e">
        <f ca="1">C39</f>
        <v>#N/A</v>
      </c>
      <c r="R70" s="2395" t="s">
        <v>2374</v>
      </c>
    </row>
    <row r="71" spans="1:18" ht="15.75" thickBot="1">
      <c r="O71" s="2397" t="s">
        <v>2395</v>
      </c>
      <c r="P71" s="2403" t="s">
        <v>2396</v>
      </c>
      <c r="Q71" s="2396" t="e">
        <f ca="1">C13</f>
        <v>#N/A</v>
      </c>
      <c r="R71" s="2395" t="s">
        <v>2374</v>
      </c>
    </row>
    <row r="72" spans="1:18" ht="15.75" thickBot="1">
      <c r="O72" s="2397" t="s">
        <v>2397</v>
      </c>
      <c r="P72" s="2403" t="s">
        <v>2398</v>
      </c>
      <c r="Q72" s="2398" t="e">
        <f ca="1">J36</f>
        <v>#N/A</v>
      </c>
      <c r="R72" s="2399"/>
    </row>
    <row r="73" spans="1:18" ht="15.75" thickBot="1">
      <c r="O73" s="2397" t="s">
        <v>2380</v>
      </c>
      <c r="P73" s="2395" t="s">
        <v>2387</v>
      </c>
      <c r="Q73" s="2398">
        <f>L52</f>
        <v>0</v>
      </c>
      <c r="R73" s="2399"/>
    </row>
    <row r="74" spans="1:18" ht="20.25" thickBot="1">
      <c r="O74" s="2397" t="s">
        <v>2382</v>
      </c>
      <c r="P74" s="2395" t="s">
        <v>2388</v>
      </c>
      <c r="Q74" s="2396" t="e">
        <f ca="1">L58</f>
        <v>#N/A</v>
      </c>
      <c r="R74" s="2399" t="s">
        <v>2389</v>
      </c>
    </row>
    <row r="75" spans="1:18" ht="15.75" thickBot="1">
      <c r="O75" s="2397" t="s">
        <v>2411</v>
      </c>
      <c r="P75" s="2395" t="str">
        <f>K59</f>
        <v>建设期及建筑物耐用年限下的土地年期修正系数Kn</v>
      </c>
      <c r="Q75" s="2396" t="e">
        <f ca="1">L59</f>
        <v>#N/A</v>
      </c>
      <c r="R75" s="2399" t="s">
        <v>2391</v>
      </c>
    </row>
    <row r="76" spans="1:18" ht="15.75" thickBot="1">
      <c r="O76" s="2394" t="s">
        <v>2385</v>
      </c>
      <c r="P76" s="2395" t="s">
        <v>2402</v>
      </c>
      <c r="Q76" s="2396" t="e">
        <f ca="1">Q66+Q67</f>
        <v>#N/A</v>
      </c>
      <c r="R76" s="2399"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96" t="s">
        <v>2463</v>
      </c>
      <c r="B1" s="3497"/>
      <c r="C1" s="3498"/>
      <c r="D1" s="3499">
        <f>SUM(I10,I15,I20,I21,I23)</f>
        <v>0</v>
      </c>
      <c r="E1" s="3499"/>
      <c r="F1" s="3499"/>
      <c r="G1" s="3499"/>
      <c r="H1" s="3499"/>
      <c r="I1" s="3500"/>
    </row>
    <row r="2" spans="1:9">
      <c r="A2" s="3501" t="s">
        <v>2464</v>
      </c>
      <c r="B2" s="3502" t="s">
        <v>2465</v>
      </c>
      <c r="C2" s="3502"/>
      <c r="D2" s="2503" t="s">
        <v>2466</v>
      </c>
      <c r="E2" s="2503" t="s">
        <v>2467</v>
      </c>
      <c r="F2" s="2503" t="s">
        <v>2468</v>
      </c>
      <c r="G2" s="2503" t="s">
        <v>2469</v>
      </c>
      <c r="H2" s="2503" t="s">
        <v>2470</v>
      </c>
      <c r="I2" s="2504" t="s">
        <v>2471</v>
      </c>
    </row>
    <row r="3" spans="1:9">
      <c r="A3" s="3501"/>
      <c r="B3" s="3502" t="s">
        <v>2472</v>
      </c>
      <c r="C3" s="3502"/>
      <c r="D3" s="2505"/>
      <c r="E3" s="2503"/>
      <c r="F3" s="2506"/>
      <c r="G3" s="2506"/>
      <c r="H3" s="2507"/>
      <c r="I3" s="2508">
        <f>ROUND(D3*E3*F3*G3*H3/10000,0)</f>
        <v>0</v>
      </c>
    </row>
    <row r="4" spans="1:9">
      <c r="A4" s="3501"/>
      <c r="B4" s="3502" t="s">
        <v>2473</v>
      </c>
      <c r="C4" s="3502"/>
      <c r="D4" s="2505"/>
      <c r="E4" s="2503"/>
      <c r="F4" s="2506"/>
      <c r="G4" s="2506"/>
      <c r="H4" s="2507"/>
      <c r="I4" s="2508">
        <f t="shared" ref="I4:I9" si="0">ROUND(D4*E4*F4*G4*H4/10000,0)</f>
        <v>0</v>
      </c>
    </row>
    <row r="5" spans="1:9">
      <c r="A5" s="3501"/>
      <c r="B5" s="3502" t="s">
        <v>2474</v>
      </c>
      <c r="C5" s="3502"/>
      <c r="D5" s="2505"/>
      <c r="E5" s="2503"/>
      <c r="F5" s="2506"/>
      <c r="G5" s="2506"/>
      <c r="H5" s="2507"/>
      <c r="I5" s="2508">
        <f t="shared" si="0"/>
        <v>0</v>
      </c>
    </row>
    <row r="6" spans="1:9">
      <c r="A6" s="3501"/>
      <c r="B6" s="3502" t="s">
        <v>2475</v>
      </c>
      <c r="C6" s="3502"/>
      <c r="D6" s="2505"/>
      <c r="E6" s="2503"/>
      <c r="F6" s="2506"/>
      <c r="G6" s="2506"/>
      <c r="H6" s="2507"/>
      <c r="I6" s="2508">
        <f t="shared" si="0"/>
        <v>0</v>
      </c>
    </row>
    <row r="7" spans="1:9">
      <c r="A7" s="3501"/>
      <c r="B7" s="3502" t="s">
        <v>2476</v>
      </c>
      <c r="C7" s="3502"/>
      <c r="D7" s="2505"/>
      <c r="E7" s="2503"/>
      <c r="F7" s="2506"/>
      <c r="G7" s="2506"/>
      <c r="H7" s="2507"/>
      <c r="I7" s="2508">
        <f t="shared" si="0"/>
        <v>0</v>
      </c>
    </row>
    <row r="8" spans="1:9">
      <c r="A8" s="3501"/>
      <c r="B8" s="3502" t="s">
        <v>2477</v>
      </c>
      <c r="C8" s="3502"/>
      <c r="D8" s="2505"/>
      <c r="E8" s="2503"/>
      <c r="F8" s="2506"/>
      <c r="G8" s="2506"/>
      <c r="H8" s="2507"/>
      <c r="I8" s="2508">
        <f t="shared" si="0"/>
        <v>0</v>
      </c>
    </row>
    <row r="9" spans="1:9">
      <c r="A9" s="3501"/>
      <c r="B9" s="3502" t="s">
        <v>2478</v>
      </c>
      <c r="C9" s="3502"/>
      <c r="D9" s="2505"/>
      <c r="E9" s="2503"/>
      <c r="F9" s="2506"/>
      <c r="G9" s="2506"/>
      <c r="H9" s="2507"/>
      <c r="I9" s="2508">
        <f t="shared" si="0"/>
        <v>0</v>
      </c>
    </row>
    <row r="10" spans="1:9">
      <c r="A10" s="3501"/>
      <c r="B10" s="3503" t="s">
        <v>2479</v>
      </c>
      <c r="C10" s="3503"/>
      <c r="D10" s="2509">
        <v>527</v>
      </c>
      <c r="E10" s="2509" t="e">
        <f>ROUND(D1*10000/D10/H9,0)</f>
        <v>#DIV/0!</v>
      </c>
      <c r="F10" s="2510"/>
      <c r="G10" s="2510"/>
      <c r="H10" s="2511"/>
      <c r="I10" s="2512">
        <f>SUM(I3:I9)</f>
        <v>0</v>
      </c>
    </row>
    <row r="11" spans="1:9" ht="14.25">
      <c r="A11" s="3501" t="s">
        <v>2480</v>
      </c>
      <c r="B11" s="3502" t="s">
        <v>2481</v>
      </c>
      <c r="C11" s="3502"/>
      <c r="D11" s="2505" t="s">
        <v>2482</v>
      </c>
      <c r="E11" s="2505" t="s">
        <v>2483</v>
      </c>
      <c r="F11" s="2506" t="s">
        <v>2484</v>
      </c>
      <c r="G11" s="2506" t="s">
        <v>2485</v>
      </c>
      <c r="H11" s="2513" t="s">
        <v>2486</v>
      </c>
      <c r="I11" s="2504" t="s">
        <v>2487</v>
      </c>
    </row>
    <row r="12" spans="1:9">
      <c r="A12" s="3501"/>
      <c r="B12" s="3502" t="s">
        <v>2488</v>
      </c>
      <c r="C12" s="3502"/>
      <c r="D12" s="2505"/>
      <c r="E12" s="2505"/>
      <c r="F12" s="2506"/>
      <c r="G12" s="2507"/>
      <c r="H12" s="2514"/>
      <c r="I12" s="2504">
        <f>ROUND(D12*E12*F12*G12/10000,0)</f>
        <v>0</v>
      </c>
    </row>
    <row r="13" spans="1:9">
      <c r="A13" s="3501"/>
      <c r="B13" s="3502" t="s">
        <v>2489</v>
      </c>
      <c r="C13" s="3502"/>
      <c r="D13" s="2505"/>
      <c r="E13" s="2505"/>
      <c r="F13" s="2506"/>
      <c r="G13" s="2507"/>
      <c r="H13" s="2514"/>
      <c r="I13" s="2504">
        <f>ROUND(D13*E13*F13*G13/10000,0)</f>
        <v>0</v>
      </c>
    </row>
    <row r="14" spans="1:9">
      <c r="A14" s="3501"/>
      <c r="B14" s="3502" t="s">
        <v>2490</v>
      </c>
      <c r="C14" s="3502"/>
      <c r="D14" s="2505"/>
      <c r="E14" s="2505"/>
      <c r="F14" s="2506"/>
      <c r="G14" s="2507"/>
      <c r="H14" s="2514"/>
      <c r="I14" s="2504">
        <f>ROUND(D14*E14*F14*G14/10000,0)</f>
        <v>0</v>
      </c>
    </row>
    <row r="15" spans="1:9">
      <c r="A15" s="3501"/>
      <c r="B15" s="3503" t="s">
        <v>2479</v>
      </c>
      <c r="C15" s="3503"/>
      <c r="D15" s="2509"/>
      <c r="E15" s="2509">
        <f>SUM(E12:E14)</f>
        <v>0</v>
      </c>
      <c r="F15" s="2510"/>
      <c r="G15" s="2507"/>
      <c r="H15" s="2514"/>
      <c r="I15" s="2515">
        <f>SUM(I12:I14)</f>
        <v>0</v>
      </c>
    </row>
    <row r="16" spans="1:9" ht="24">
      <c r="A16" s="3501" t="s">
        <v>2491</v>
      </c>
      <c r="B16" s="3502" t="s">
        <v>2492</v>
      </c>
      <c r="C16" s="3502"/>
      <c r="D16" s="2505" t="s">
        <v>2493</v>
      </c>
      <c r="E16" s="2516" t="s">
        <v>2494</v>
      </c>
      <c r="F16" s="2506" t="s">
        <v>2495</v>
      </c>
      <c r="G16" s="2507" t="s">
        <v>2485</v>
      </c>
      <c r="H16" s="2513" t="s">
        <v>2486</v>
      </c>
      <c r="I16" s="2504" t="s">
        <v>2487</v>
      </c>
    </row>
    <row r="17" spans="1:9" ht="14.25">
      <c r="A17" s="3501"/>
      <c r="B17" s="3502" t="s">
        <v>2496</v>
      </c>
      <c r="C17" s="3502"/>
      <c r="D17" s="2505"/>
      <c r="E17" s="2505"/>
      <c r="F17" s="2506"/>
      <c r="G17" s="2507"/>
      <c r="H17" s="2517"/>
      <c r="I17" s="2518">
        <f>ROUND(D17*E17*F17*G17/10000,0)</f>
        <v>0</v>
      </c>
    </row>
    <row r="18" spans="1:9" ht="14.25">
      <c r="A18" s="3501"/>
      <c r="B18" s="3502" t="s">
        <v>2497</v>
      </c>
      <c r="C18" s="3502"/>
      <c r="D18" s="2505"/>
      <c r="E18" s="2505"/>
      <c r="F18" s="2506"/>
      <c r="G18" s="2507"/>
      <c r="H18" s="2517"/>
      <c r="I18" s="2518">
        <f>ROUND(D18*E18*F18*G18/10000,0)</f>
        <v>0</v>
      </c>
    </row>
    <row r="19" spans="1:9" ht="14.25">
      <c r="A19" s="3501"/>
      <c r="B19" s="3502" t="s">
        <v>2498</v>
      </c>
      <c r="C19" s="3502"/>
      <c r="D19" s="2505"/>
      <c r="E19" s="2505"/>
      <c r="F19" s="2506"/>
      <c r="G19" s="2507"/>
      <c r="H19" s="2517"/>
      <c r="I19" s="2518">
        <f>ROUND(D19*E19*F19*G19/10000,0)</f>
        <v>0</v>
      </c>
    </row>
    <row r="20" spans="1:9">
      <c r="A20" s="3501"/>
      <c r="B20" s="3503" t="s">
        <v>2479</v>
      </c>
      <c r="C20" s="3503"/>
      <c r="D20" s="2509">
        <f>SUM(D17:D19)</f>
        <v>0</v>
      </c>
      <c r="E20" s="2509"/>
      <c r="F20" s="2510"/>
      <c r="G20" s="2507"/>
      <c r="H20" s="2514"/>
      <c r="I20" s="2515">
        <f>SUM(I17:I19)</f>
        <v>0</v>
      </c>
    </row>
    <row r="21" spans="1:9">
      <c r="A21" s="3501" t="s">
        <v>2499</v>
      </c>
      <c r="B21" s="3505"/>
      <c r="C21" s="3505"/>
      <c r="D21" s="3505"/>
      <c r="E21" s="3505"/>
      <c r="F21" s="3505"/>
      <c r="G21" s="3505"/>
      <c r="H21" s="2519">
        <v>0.1</v>
      </c>
      <c r="I21" s="2512">
        <f>ROUND(I10*H21,0)</f>
        <v>0</v>
      </c>
    </row>
    <row r="22" spans="1:9" ht="14.25">
      <c r="A22" s="3506" t="s">
        <v>2500</v>
      </c>
      <c r="B22" s="3507"/>
      <c r="C22" s="3508"/>
      <c r="D22" s="2520" t="s">
        <v>2501</v>
      </c>
      <c r="E22" s="2520" t="s">
        <v>2502</v>
      </c>
      <c r="F22" s="2521" t="s">
        <v>2503</v>
      </c>
      <c r="G22" s="2521" t="s">
        <v>2504</v>
      </c>
      <c r="H22" s="2513" t="s">
        <v>2505</v>
      </c>
      <c r="I22" s="2504" t="s">
        <v>2506</v>
      </c>
    </row>
    <row r="23" spans="1:9" ht="14.25" thickBot="1">
      <c r="A23" s="3509"/>
      <c r="B23" s="3510"/>
      <c r="C23" s="3511"/>
      <c r="D23" s="2522"/>
      <c r="E23" s="2522"/>
      <c r="F23" s="2522"/>
      <c r="G23" s="2523"/>
      <c r="H23" s="2524"/>
      <c r="I23" s="2525">
        <f>ROUND(E23*D23*F23*(1-G23)/10000,0)</f>
        <v>0</v>
      </c>
    </row>
    <row r="26" spans="1:9">
      <c r="A26" s="2526" t="s">
        <v>2507</v>
      </c>
      <c r="B26" s="2526"/>
      <c r="C26" s="2526"/>
      <c r="D26" s="2526"/>
      <c r="E26" s="3512">
        <f>C27-C30-C31-C32</f>
        <v>0</v>
      </c>
      <c r="F26" s="3512"/>
      <c r="G26" s="3512"/>
      <c r="H26" s="3036" t="s">
        <v>2835</v>
      </c>
    </row>
    <row r="27" spans="1:9">
      <c r="A27" s="2527">
        <v>1</v>
      </c>
      <c r="B27" s="2528" t="s">
        <v>2508</v>
      </c>
      <c r="C27" s="2528"/>
      <c r="D27" s="2528"/>
      <c r="E27" s="3513"/>
      <c r="F27" s="3513"/>
      <c r="G27" s="3513"/>
    </row>
    <row r="28" spans="1:9">
      <c r="A28" s="2529" t="s">
        <v>2509</v>
      </c>
      <c r="B28" s="2528" t="s">
        <v>2510</v>
      </c>
      <c r="C28" s="2528"/>
      <c r="D28" s="2528"/>
      <c r="E28" s="3513"/>
      <c r="F28" s="3513"/>
      <c r="G28" s="3513"/>
    </row>
    <row r="29" spans="1:9">
      <c r="A29" s="2529" t="s">
        <v>2511</v>
      </c>
      <c r="B29" s="2528" t="s">
        <v>2452</v>
      </c>
      <c r="C29" s="2528"/>
      <c r="D29" s="2528"/>
      <c r="E29" s="2528" t="s">
        <v>2512</v>
      </c>
      <c r="F29" s="2528"/>
      <c r="G29" s="2528"/>
    </row>
    <row r="30" spans="1:9">
      <c r="A30" s="2527">
        <v>2</v>
      </c>
      <c r="B30" s="2528" t="s">
        <v>2513</v>
      </c>
      <c r="C30" s="2528">
        <f>C27*D30</f>
        <v>0</v>
      </c>
      <c r="D30" s="2530">
        <v>0.2</v>
      </c>
      <c r="E30" s="2528" t="s">
        <v>2514</v>
      </c>
      <c r="F30" s="2528"/>
      <c r="G30" s="2528"/>
    </row>
    <row r="31" spans="1:9">
      <c r="A31" s="2527">
        <v>3</v>
      </c>
      <c r="B31" s="2528" t="s">
        <v>2515</v>
      </c>
      <c r="C31" s="2528">
        <f>C25*D31</f>
        <v>0</v>
      </c>
      <c r="D31" s="2530">
        <v>0.15</v>
      </c>
      <c r="E31" s="2528" t="s">
        <v>2516</v>
      </c>
      <c r="F31" s="2528"/>
      <c r="G31" s="2528"/>
    </row>
    <row r="32" spans="1:9">
      <c r="A32" s="2527">
        <v>4</v>
      </c>
      <c r="B32" s="2528" t="s">
        <v>2517</v>
      </c>
      <c r="C32" s="2528">
        <f>C27*D32</f>
        <v>0</v>
      </c>
      <c r="D32" s="2530">
        <v>0.05</v>
      </c>
      <c r="E32" s="3504"/>
      <c r="F32" s="3504"/>
      <c r="G32" s="3504"/>
    </row>
    <row r="33" spans="1:7" hidden="1">
      <c r="A33" s="3514" t="s">
        <v>2518</v>
      </c>
      <c r="B33" s="3515"/>
      <c r="C33" s="3515"/>
      <c r="D33" s="3516"/>
      <c r="E33" s="3512"/>
      <c r="F33" s="3512"/>
      <c r="G33" s="3512"/>
    </row>
    <row r="34" spans="1:7" hidden="1">
      <c r="A34" s="2531">
        <v>1</v>
      </c>
      <c r="B34" s="2528" t="s">
        <v>2519</v>
      </c>
      <c r="C34" s="2528"/>
      <c r="D34" s="2528"/>
      <c r="E34" s="3513"/>
      <c r="F34" s="3513"/>
      <c r="G34" s="3513"/>
    </row>
    <row r="35" spans="1:7" hidden="1">
      <c r="A35" s="2531">
        <v>2</v>
      </c>
      <c r="B35" s="2528" t="s">
        <v>2520</v>
      </c>
      <c r="C35" s="2528"/>
      <c r="D35" s="2528"/>
      <c r="E35" s="3513"/>
      <c r="F35" s="3513"/>
      <c r="G35" s="3513"/>
    </row>
    <row r="36" spans="1:7" hidden="1">
      <c r="A36" s="2531">
        <v>3</v>
      </c>
      <c r="B36" s="2528" t="s">
        <v>2521</v>
      </c>
      <c r="C36" s="2528"/>
      <c r="D36" s="2528"/>
      <c r="E36" s="3513"/>
      <c r="F36" s="3513"/>
      <c r="G36" s="3513"/>
    </row>
    <row r="37" spans="1:7" hidden="1">
      <c r="A37" s="2531">
        <v>4</v>
      </c>
      <c r="B37" s="2528" t="s">
        <v>2522</v>
      </c>
      <c r="C37" s="2528"/>
      <c r="D37" s="2528"/>
      <c r="E37" s="3513"/>
      <c r="F37" s="3513"/>
      <c r="G37" s="3513"/>
    </row>
    <row r="38" spans="1:7" hidden="1">
      <c r="A38" s="3514" t="s">
        <v>2523</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600</v>
      </c>
      <c r="B1" s="740"/>
      <c r="C1" s="2178"/>
      <c r="D1" s="2178"/>
      <c r="E1" s="2178"/>
      <c r="F1" s="2178"/>
      <c r="G1" s="2104"/>
    </row>
    <row r="2" spans="1:25" s="2055" customFormat="1" ht="18" customHeight="1">
      <c r="A2" s="421" t="s">
        <v>464</v>
      </c>
      <c r="B2" s="423">
        <f ca="1">C23</f>
        <v>0</v>
      </c>
      <c r="C2" s="2104"/>
      <c r="D2" s="2104"/>
      <c r="E2" s="2104"/>
      <c r="F2" s="2104"/>
      <c r="G2" s="2104"/>
    </row>
    <row r="3" spans="1:25" s="2055" customFormat="1" ht="18" customHeight="1">
      <c r="A3" s="1377" t="s">
        <v>1682</v>
      </c>
      <c r="B3" s="423">
        <f ca="1">ROUND(B2*10000/'数据-汇总表'!E3,0)</f>
        <v>0</v>
      </c>
      <c r="C3" s="2104"/>
      <c r="D3" s="2104"/>
      <c r="E3" s="2104"/>
      <c r="F3" s="2104"/>
      <c r="G3" s="2104"/>
    </row>
    <row r="4" spans="1:25" s="2055" customFormat="1" ht="18" customHeight="1">
      <c r="A4" s="424" t="s">
        <v>465</v>
      </c>
      <c r="B4" s="425">
        <f ca="1">ROUND(B2*10000/'数据-汇总表'!D3,0)</f>
        <v>0</v>
      </c>
      <c r="C4" s="2057"/>
      <c r="D4" s="2104"/>
      <c r="E4" s="2104"/>
      <c r="F4" s="2104"/>
      <c r="G4" s="2104"/>
    </row>
    <row r="5" spans="1:25" s="2055" customFormat="1" ht="18" customHeight="1" thickBot="1">
      <c r="A5" s="427"/>
      <c r="B5" s="428">
        <f ca="1">ROUND(B2/('数据-汇总表'!D3/666.67),0)</f>
        <v>0</v>
      </c>
      <c r="C5" s="429" t="s">
        <v>466</v>
      </c>
      <c r="D5" s="2104"/>
      <c r="E5" s="2104"/>
      <c r="F5" s="2104"/>
      <c r="G5" s="2104"/>
    </row>
    <row r="6" spans="1:25" s="2179" customFormat="1" ht="13.5" customHeight="1">
      <c r="A6" s="741"/>
      <c r="B6" s="742" t="s">
        <v>601</v>
      </c>
      <c r="C6" s="743" t="s">
        <v>602</v>
      </c>
      <c r="D6" s="743" t="s">
        <v>603</v>
      </c>
      <c r="E6" s="744" t="s">
        <v>604</v>
      </c>
      <c r="F6" s="744" t="s">
        <v>605</v>
      </c>
      <c r="G6" s="745"/>
    </row>
    <row r="7" spans="1:25" s="2179" customFormat="1" ht="13.5" customHeight="1">
      <c r="A7" s="2465">
        <v>1</v>
      </c>
      <c r="B7" s="746" t="s">
        <v>606</v>
      </c>
      <c r="C7" s="747">
        <f>C8+C9</f>
        <v>0</v>
      </c>
      <c r="D7" s="747"/>
      <c r="E7" s="748"/>
      <c r="F7" s="748"/>
      <c r="G7" s="2475"/>
    </row>
    <row r="8" spans="1:25" s="2179" customFormat="1" ht="13.5" customHeight="1">
      <c r="A8" s="2465" t="s">
        <v>2433</v>
      </c>
      <c r="B8" s="2468" t="s">
        <v>2435</v>
      </c>
      <c r="C8" s="2469"/>
      <c r="D8" s="747"/>
      <c r="E8" s="748"/>
      <c r="F8" s="748"/>
      <c r="G8" s="749"/>
    </row>
    <row r="9" spans="1:25" s="2179" customFormat="1" ht="13.5" customHeight="1">
      <c r="A9" s="2465" t="s">
        <v>2434</v>
      </c>
      <c r="B9" s="2468" t="s">
        <v>2436</v>
      </c>
      <c r="C9" s="2469"/>
      <c r="D9" s="747"/>
      <c r="E9" s="748"/>
      <c r="F9" s="748"/>
      <c r="G9" s="749"/>
    </row>
    <row r="10" spans="1:25" s="2179" customFormat="1" ht="36">
      <c r="A10" s="2465">
        <v>2</v>
      </c>
      <c r="B10" s="746" t="s">
        <v>610</v>
      </c>
      <c r="C10" s="747">
        <f>C11+C14+C15</f>
        <v>0</v>
      </c>
      <c r="D10" s="758">
        <f>'数据-汇总表'!E3</f>
        <v>186890.99</v>
      </c>
      <c r="E10" s="747">
        <f>'数据-取费表'!B31</f>
        <v>200</v>
      </c>
      <c r="F10" s="759"/>
      <c r="G10" s="757" t="s">
        <v>611</v>
      </c>
    </row>
    <row r="11" spans="1:25" s="2179" customFormat="1" ht="13.5" customHeight="1">
      <c r="A11" s="2465" t="s">
        <v>2433</v>
      </c>
      <c r="B11" s="750" t="s">
        <v>607</v>
      </c>
      <c r="C11" s="751">
        <f>'数据-取费表'!B29</f>
        <v>0</v>
      </c>
      <c r="D11" s="752"/>
      <c r="E11" s="751"/>
      <c r="F11" s="753"/>
      <c r="G11" s="2474" t="s">
        <v>2444</v>
      </c>
    </row>
    <row r="12" spans="1:25" s="2179" customFormat="1" ht="13.5" customHeight="1">
      <c r="A12" s="2472" t="s">
        <v>2441</v>
      </c>
      <c r="B12" s="754" t="s">
        <v>608</v>
      </c>
      <c r="C12" s="755">
        <f>ROUND(D12*E12/10000,0)</f>
        <v>0</v>
      </c>
      <c r="D12" s="756">
        <f>'数据-汇总表'!E5</f>
        <v>0</v>
      </c>
      <c r="E12" s="755">
        <f>'数据-取费表'!B27</f>
        <v>0</v>
      </c>
      <c r="F12" s="753"/>
      <c r="G12" s="757"/>
    </row>
    <row r="13" spans="1:25" s="2179" customFormat="1" ht="13.5" customHeight="1">
      <c r="A13" s="2472" t="s">
        <v>2440</v>
      </c>
      <c r="B13" s="754" t="s">
        <v>609</v>
      </c>
      <c r="C13" s="755">
        <f>ROUND(D13*E13/10000,0)</f>
        <v>2018</v>
      </c>
      <c r="D13" s="756">
        <f>'数据-汇总表'!E6</f>
        <v>186890.99</v>
      </c>
      <c r="E13" s="755">
        <f>'数据-取费表'!B28</f>
        <v>108</v>
      </c>
      <c r="F13" s="753"/>
      <c r="G13" s="757"/>
    </row>
    <row r="14" spans="1:25" s="2179" customFormat="1" ht="13.5" customHeight="1">
      <c r="A14" s="2465" t="s">
        <v>2434</v>
      </c>
      <c r="B14" s="2471" t="s">
        <v>2437</v>
      </c>
      <c r="C14" s="2469"/>
      <c r="D14" s="756"/>
      <c r="E14" s="755"/>
      <c r="F14" s="2470"/>
      <c r="G14" s="2473" t="s">
        <v>2442</v>
      </c>
    </row>
    <row r="15" spans="1:25" s="2179" customFormat="1" ht="13.5" customHeight="1">
      <c r="A15" s="2465" t="s">
        <v>2439</v>
      </c>
      <c r="B15" s="2471" t="s">
        <v>2438</v>
      </c>
      <c r="C15" s="2469"/>
      <c r="D15" s="756"/>
      <c r="E15" s="755"/>
      <c r="F15" s="2470"/>
      <c r="G15" s="2473" t="s">
        <v>2443</v>
      </c>
    </row>
    <row r="16" spans="1:25" s="2180" customFormat="1" ht="48">
      <c r="A16" s="2465">
        <v>3</v>
      </c>
      <c r="B16" s="746" t="s">
        <v>612</v>
      </c>
      <c r="C16" s="2469"/>
      <c r="D16" s="758"/>
      <c r="E16" s="747"/>
      <c r="F16" s="759"/>
      <c r="G16" s="757" t="s">
        <v>2445</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6" t="s">
        <v>613</v>
      </c>
      <c r="C17" s="256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6" t="s">
        <v>614</v>
      </c>
      <c r="C18" s="747">
        <f>ROUND((C7+C10+C16)*F18,0)</f>
        <v>0</v>
      </c>
      <c r="D18" s="760"/>
      <c r="E18" s="761"/>
      <c r="F18" s="759">
        <f>'数据-取费表'!Q16</f>
        <v>0.22</v>
      </c>
      <c r="G18" s="763" t="s">
        <v>615</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6" t="s">
        <v>616</v>
      </c>
      <c r="C19" s="747">
        <f ca="1">C7+C10+C16+C17+C18</f>
        <v>0</v>
      </c>
      <c r="D19" s="758"/>
      <c r="E19" s="747"/>
      <c r="F19" s="759"/>
      <c r="G19" s="763" t="s">
        <v>617</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6" t="s">
        <v>618</v>
      </c>
      <c r="C20" s="747">
        <f ca="1">ROUND(C19*F20,0)</f>
        <v>0</v>
      </c>
      <c r="D20" s="758"/>
      <c r="E20" s="747"/>
      <c r="F20" s="1347"/>
      <c r="G20" s="763" t="s">
        <v>619</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6" t="s">
        <v>620</v>
      </c>
      <c r="C21" s="747">
        <f ca="1">C19+C20</f>
        <v>0</v>
      </c>
      <c r="D21" s="758"/>
      <c r="E21" s="747"/>
      <c r="F21" s="759"/>
      <c r="G21" s="763" t="s">
        <v>621</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6" t="s">
        <v>622</v>
      </c>
      <c r="C22" s="747">
        <f ca="1">ROUND(C21*F22,0)</f>
        <v>0</v>
      </c>
      <c r="D22" s="758"/>
      <c r="E22" s="747"/>
      <c r="F22" s="764">
        <f>'数据-取费表'!AP16</f>
        <v>0.84399999999999997</v>
      </c>
      <c r="G22" s="763" t="s">
        <v>623</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5" t="s">
        <v>624</v>
      </c>
      <c r="C23" s="766">
        <f ca="1">C22</f>
        <v>0</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754</v>
      </c>
      <c r="C1" s="502" t="s">
        <v>717</v>
      </c>
      <c r="D1" s="2366"/>
      <c r="E1" s="504"/>
      <c r="F1" s="2803"/>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464</v>
      </c>
      <c r="B2" s="848"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516</v>
      </c>
      <c r="B3" s="508" t="e">
        <f>C49</f>
        <v>#DIV/0!</v>
      </c>
      <c r="C3" s="850" t="s">
        <v>719</v>
      </c>
      <c r="D3" s="849">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6"/>
    </row>
    <row r="4" spans="1:29" ht="15">
      <c r="A4" s="510" t="s">
        <v>518</v>
      </c>
      <c r="B4" s="511"/>
      <c r="C4" s="3403" t="s">
        <v>519</v>
      </c>
      <c r="D4" s="3404"/>
      <c r="E4" s="3438" t="s">
        <v>520</v>
      </c>
      <c r="F4" s="3439"/>
      <c r="G4" s="3403" t="s">
        <v>521</v>
      </c>
      <c r="H4" s="3404"/>
      <c r="I4" s="3403" t="s">
        <v>522</v>
      </c>
      <c r="J4" s="3404"/>
      <c r="K4" s="512" t="s">
        <v>523</v>
      </c>
      <c r="L4" s="2129"/>
      <c r="M4" s="2130"/>
      <c r="N4" s="2130"/>
      <c r="O4" s="2130"/>
      <c r="P4" s="3405" t="s">
        <v>524</v>
      </c>
      <c r="Q4" s="3406"/>
      <c r="R4" s="3411" t="s">
        <v>520</v>
      </c>
      <c r="S4" s="3412"/>
      <c r="T4" s="3411" t="s">
        <v>521</v>
      </c>
      <c r="U4" s="3412"/>
      <c r="V4" s="3398" t="s">
        <v>522</v>
      </c>
      <c r="W4" s="3398"/>
      <c r="X4" s="1564"/>
      <c r="Y4" s="3411" t="s">
        <v>524</v>
      </c>
      <c r="Z4" s="3412"/>
      <c r="AA4" s="3400" t="s">
        <v>520</v>
      </c>
      <c r="AB4" s="3398" t="s">
        <v>521</v>
      </c>
      <c r="AC4" s="3400" t="s">
        <v>522</v>
      </c>
    </row>
    <row r="5" spans="1:29" ht="15">
      <c r="A5" s="513"/>
      <c r="B5" s="514"/>
      <c r="C5" s="3419" t="s">
        <v>2915</v>
      </c>
      <c r="D5" s="3420"/>
      <c r="E5" s="3440" t="s">
        <v>2916</v>
      </c>
      <c r="F5" s="3441"/>
      <c r="G5" s="3419" t="s">
        <v>2917</v>
      </c>
      <c r="H5" s="3420"/>
      <c r="I5" s="3419" t="s">
        <v>2918</v>
      </c>
      <c r="J5" s="3420"/>
      <c r="K5" s="512"/>
      <c r="L5" s="2129"/>
      <c r="M5" s="2130"/>
      <c r="N5" s="2130"/>
      <c r="O5" s="2130"/>
      <c r="P5" s="3407"/>
      <c r="Q5" s="3408"/>
      <c r="R5" s="3413"/>
      <c r="S5" s="3414"/>
      <c r="T5" s="3413"/>
      <c r="U5" s="3414"/>
      <c r="V5" s="3398"/>
      <c r="W5" s="3398"/>
      <c r="X5" s="1564"/>
      <c r="Y5" s="3413"/>
      <c r="Z5" s="3414"/>
      <c r="AA5" s="3401"/>
      <c r="AB5" s="3398"/>
      <c r="AC5" s="3401"/>
    </row>
    <row r="6" spans="1:29" ht="15.75" thickBot="1">
      <c r="A6" s="515"/>
      <c r="B6" s="516"/>
      <c r="C6" s="3417" t="s">
        <v>2919</v>
      </c>
      <c r="D6" s="3418"/>
      <c r="E6" s="3436" t="s">
        <v>2919</v>
      </c>
      <c r="F6" s="3437"/>
      <c r="G6" s="3417" t="s">
        <v>2919</v>
      </c>
      <c r="H6" s="3418"/>
      <c r="I6" s="3417" t="s">
        <v>2919</v>
      </c>
      <c r="J6" s="3418"/>
      <c r="K6" s="512" t="s">
        <v>525</v>
      </c>
      <c r="L6" s="2129"/>
      <c r="M6" s="2130"/>
      <c r="N6" s="2130"/>
      <c r="O6" s="2130"/>
      <c r="P6" s="3409"/>
      <c r="Q6" s="3410"/>
      <c r="R6" s="3413"/>
      <c r="S6" s="3414"/>
      <c r="T6" s="3415"/>
      <c r="U6" s="3416"/>
      <c r="V6" s="3398"/>
      <c r="W6" s="3398"/>
      <c r="X6" s="1564"/>
      <c r="Y6" s="3415"/>
      <c r="Z6" s="3416"/>
      <c r="AA6" s="3402"/>
      <c r="AB6" s="3398"/>
      <c r="AC6" s="3402"/>
    </row>
    <row r="7" spans="1:29" s="1218" customFormat="1" ht="15.75" thickBot="1">
      <c r="A7" s="2908"/>
      <c r="B7" s="2915" t="s">
        <v>526</v>
      </c>
      <c r="C7" s="517">
        <f>'数据-取费表'!B2</f>
        <v>43447</v>
      </c>
      <c r="D7" s="518">
        <v>100</v>
      </c>
      <c r="E7" s="519"/>
      <c r="F7" s="520">
        <f>SUMIF(58:58,YEAR(E7)&amp;"-"&amp;MONTH(E7),59:59)</f>
        <v>0</v>
      </c>
      <c r="G7" s="519"/>
      <c r="H7" s="518">
        <f>SUMIF(58:58,YEAR(G7)&amp;"-"&amp;MONTH(G7),59:59)</f>
        <v>0</v>
      </c>
      <c r="I7" s="519"/>
      <c r="J7" s="518">
        <f>SUMIF(58:58,YEAR(I7)&amp;"-"&amp;MONTH(I7),59:59)</f>
        <v>0</v>
      </c>
      <c r="K7" s="522"/>
      <c r="L7" s="2131"/>
      <c r="M7" s="2132"/>
      <c r="N7" s="2132"/>
      <c r="O7" s="2132"/>
      <c r="P7" s="3429" t="s">
        <v>527</v>
      </c>
      <c r="Q7" s="3431"/>
      <c r="R7" s="1565" t="s">
        <v>8</v>
      </c>
      <c r="S7" s="1566">
        <f t="shared" ref="S7:S15" si="0">F7</f>
        <v>0</v>
      </c>
      <c r="T7" s="1565" t="s">
        <v>8</v>
      </c>
      <c r="U7" s="1566">
        <f t="shared" ref="U7:U15" si="1">H7</f>
        <v>0</v>
      </c>
      <c r="V7" s="1565" t="s">
        <v>8</v>
      </c>
      <c r="W7" s="1566">
        <f t="shared" ref="W7:W15" si="2">J7</f>
        <v>0</v>
      </c>
      <c r="X7" s="1567"/>
      <c r="Y7" s="3429" t="s">
        <v>527</v>
      </c>
      <c r="Z7" s="3430"/>
      <c r="AA7" s="1568" t="e">
        <f>D7/F7</f>
        <v>#DIV/0!</v>
      </c>
      <c r="AB7" s="1568" t="e">
        <f>D7/H7</f>
        <v>#DIV/0!</v>
      </c>
      <c r="AC7" s="1568" t="e">
        <f>D7/J7</f>
        <v>#DIV/0!</v>
      </c>
    </row>
    <row r="8" spans="1:29" s="1218" customFormat="1" ht="15.75" thickBot="1">
      <c r="A8" s="2909"/>
      <c r="B8" s="2916" t="s">
        <v>528</v>
      </c>
      <c r="C8" s="523" t="s">
        <v>573</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429" t="s">
        <v>530</v>
      </c>
      <c r="Q8" s="3430"/>
      <c r="R8" s="1565" t="s">
        <v>8</v>
      </c>
      <c r="S8" s="1566">
        <f t="shared" si="0"/>
        <v>0</v>
      </c>
      <c r="T8" s="1565" t="s">
        <v>8</v>
      </c>
      <c r="U8" s="1566">
        <f t="shared" si="1"/>
        <v>0</v>
      </c>
      <c r="V8" s="1565" t="s">
        <v>8</v>
      </c>
      <c r="W8" s="1566">
        <f t="shared" si="2"/>
        <v>0</v>
      </c>
      <c r="X8" s="1567"/>
      <c r="Y8" s="3429" t="s">
        <v>530</v>
      </c>
      <c r="Z8" s="3430"/>
      <c r="AA8" s="1568" t="e">
        <f t="shared" ref="AA8:AA46" si="3">D8/F8</f>
        <v>#DIV/0!</v>
      </c>
      <c r="AB8" s="1568" t="e">
        <f t="shared" ref="AB8:AB46" si="4">D8/H8</f>
        <v>#DIV/0!</v>
      </c>
      <c r="AC8" s="1568" t="e">
        <f t="shared" ref="AC8:AC46" si="5">D8/J8</f>
        <v>#DIV/0!</v>
      </c>
    </row>
    <row r="9" spans="1:29" s="1218" customFormat="1" ht="15">
      <c r="A9" s="2910"/>
      <c r="B9" s="2917" t="s">
        <v>2748</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397" t="s">
        <v>532</v>
      </c>
      <c r="Q9" s="1149" t="str">
        <f t="shared" ref="Q9:Q15" si="6">B9</f>
        <v>用途</v>
      </c>
      <c r="R9" s="1565" t="s">
        <v>8</v>
      </c>
      <c r="S9" s="1566">
        <f t="shared" si="0"/>
        <v>100</v>
      </c>
      <c r="T9" s="1565" t="s">
        <v>8</v>
      </c>
      <c r="U9" s="1566">
        <f t="shared" si="1"/>
        <v>100</v>
      </c>
      <c r="V9" s="1565" t="s">
        <v>8</v>
      </c>
      <c r="W9" s="1566">
        <f t="shared" si="2"/>
        <v>100</v>
      </c>
      <c r="X9" s="1567"/>
      <c r="Y9" s="3343" t="s">
        <v>533</v>
      </c>
      <c r="Z9" s="1148" t="str">
        <f t="shared" ref="Z9:Z15" si="7">Q9</f>
        <v>用途</v>
      </c>
      <c r="AA9" s="1568">
        <f t="shared" si="3"/>
        <v>1</v>
      </c>
      <c r="AB9" s="1568">
        <f t="shared" si="4"/>
        <v>1</v>
      </c>
      <c r="AC9" s="1568">
        <f t="shared" si="5"/>
        <v>1</v>
      </c>
    </row>
    <row r="10" spans="1:29" s="1336" customFormat="1" ht="27">
      <c r="A10" s="2911"/>
      <c r="B10" s="2916" t="s">
        <v>2749</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397"/>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37"/>
      <c r="F12" s="253">
        <f>SUMIF(70:70,E12,71:71)-SUMIF(70:70,C12,71:71)+100</f>
        <v>100</v>
      </c>
      <c r="G12" s="910"/>
      <c r="H12" s="253">
        <f>SUMIF(70:70,G12,71:71)-SUMIF(70:70,C12,71:71)+100</f>
        <v>100</v>
      </c>
      <c r="I12" s="537"/>
      <c r="J12" s="253">
        <f>SUMIF(70:70,I12,71:71)-SUMIF(70:70,C12,71:71)+100</f>
        <v>100</v>
      </c>
      <c r="K12" s="579"/>
      <c r="L12" s="2131"/>
      <c r="M12" s="2132"/>
      <c r="N12" s="2132"/>
      <c r="O12" s="2133"/>
      <c r="P12" s="3397"/>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7"/>
      <c r="D13" s="538">
        <v>100</v>
      </c>
      <c r="E13" s="537"/>
      <c r="F13" s="253">
        <f>SUMIF(72:72,E13,73:73)-SUMIF(72:72,C13,73:73)+100</f>
        <v>100</v>
      </c>
      <c r="G13" s="910"/>
      <c r="H13" s="538">
        <f>SUMIF(72:72,G13,73:73)-SUMIF(72:72,C13,73:73)+100</f>
        <v>100</v>
      </c>
      <c r="I13" s="537"/>
      <c r="J13" s="538">
        <f>SUMIF(72:72,I13,73:73)-SUMIF(72:72,C13,73:73)+100</f>
        <v>100</v>
      </c>
      <c r="K13" s="579"/>
      <c r="L13" s="2138"/>
      <c r="M13" s="2130"/>
      <c r="N13" s="2130"/>
      <c r="O13" s="2137"/>
      <c r="P13" s="3397"/>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3"/>
      <c r="D14" s="544">
        <v>100</v>
      </c>
      <c r="E14" s="543"/>
      <c r="F14" s="544">
        <f>SUMIF(74:74,E14,75:75)-SUMIF(74:74,C14,75:75)+100</f>
        <v>100</v>
      </c>
      <c r="G14" s="910"/>
      <c r="H14" s="544">
        <f>SUMIF(74:74,G14,75:75)-SUMIF(74:74,C14,75:75)+100</f>
        <v>100</v>
      </c>
      <c r="I14" s="537"/>
      <c r="J14" s="544">
        <f>SUMIF(74:74,I14,75:75)-SUMIF(74:74,C14,75:75)+100</f>
        <v>100</v>
      </c>
      <c r="K14" s="579"/>
      <c r="L14" s="2138"/>
      <c r="M14" s="2130"/>
      <c r="N14" s="2130"/>
      <c r="O14" s="2137"/>
      <c r="P14" s="3397"/>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71.25">
      <c r="A15" s="2906" t="s">
        <v>2746</v>
      </c>
      <c r="B15" s="164" t="s">
        <v>538</v>
      </c>
      <c r="C15" s="865" t="str">
        <f>估价对象房地状况!C4</f>
        <v>周边商业氛围成熟度一般，多为社区配套底商，人流量一般，商业繁华度一般。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6"/>
      <c r="L15" s="2138"/>
      <c r="M15" s="2130"/>
      <c r="N15" s="2130"/>
      <c r="O15" s="2137"/>
      <c r="P15" s="3432" t="s">
        <v>537</v>
      </c>
      <c r="Q15" s="1569" t="str">
        <f t="shared" si="6"/>
        <v>商业繁华度</v>
      </c>
      <c r="R15" s="1570" t="s">
        <v>8</v>
      </c>
      <c r="S15" s="1571">
        <f t="shared" si="0"/>
        <v>100</v>
      </c>
      <c r="T15" s="1570" t="s">
        <v>8</v>
      </c>
      <c r="U15" s="1571">
        <f t="shared" si="1"/>
        <v>100</v>
      </c>
      <c r="V15" s="1570" t="s">
        <v>8</v>
      </c>
      <c r="W15" s="1571">
        <f t="shared" si="2"/>
        <v>100</v>
      </c>
      <c r="X15" s="1564"/>
      <c r="Y15" s="3432" t="s">
        <v>537</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433"/>
      <c r="Q16" s="1569"/>
      <c r="R16" s="1570"/>
      <c r="S16" s="1571"/>
      <c r="T16" s="1570"/>
      <c r="U16" s="1571"/>
      <c r="V16" s="1570"/>
      <c r="W16" s="1571"/>
      <c r="X16" s="1564"/>
      <c r="Y16" s="3433"/>
      <c r="Z16" s="1572"/>
      <c r="AA16" s="1573">
        <v>1</v>
      </c>
      <c r="AB16" s="1573">
        <v>1</v>
      </c>
      <c r="AC16" s="1573">
        <v>1</v>
      </c>
    </row>
    <row r="17" spans="1:29" ht="114">
      <c r="A17" s="530"/>
      <c r="B17" s="869" t="s">
        <v>295</v>
      </c>
      <c r="C17" s="870" t="str">
        <f>估价对象房地状况!C6</f>
        <v>周边有4路、45路、98路等多条公交线路，邻近东二环北路，路网密集度一般、停车较便捷，综合评价交通便捷度较好。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8"/>
      <c r="M17" s="2130"/>
      <c r="N17" s="2130"/>
      <c r="O17" s="2137"/>
      <c r="P17" s="3433"/>
      <c r="Q17" s="1569" t="str">
        <f>B17</f>
        <v>交通便捷度</v>
      </c>
      <c r="R17" s="1570" t="s">
        <v>8</v>
      </c>
      <c r="S17" s="1571">
        <f>F17</f>
        <v>100</v>
      </c>
      <c r="T17" s="1570" t="s">
        <v>8</v>
      </c>
      <c r="U17" s="1571">
        <f>H17</f>
        <v>100</v>
      </c>
      <c r="V17" s="1570" t="s">
        <v>8</v>
      </c>
      <c r="W17" s="1571">
        <f>J17</f>
        <v>100</v>
      </c>
      <c r="X17" s="1564"/>
      <c r="Y17" s="3433"/>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433"/>
      <c r="Q18" s="1569"/>
      <c r="R18" s="1570"/>
      <c r="S18" s="1571"/>
      <c r="T18" s="1570"/>
      <c r="U18" s="1571"/>
      <c r="V18" s="1570"/>
      <c r="W18" s="1571"/>
      <c r="X18" s="1564"/>
      <c r="Y18" s="3433"/>
      <c r="Z18" s="1572"/>
      <c r="AA18" s="1573">
        <v>1</v>
      </c>
      <c r="AB18" s="1573">
        <v>1</v>
      </c>
      <c r="AC18" s="1573">
        <v>1</v>
      </c>
    </row>
    <row r="19" spans="1:29" ht="42.75">
      <c r="A19" s="530"/>
      <c r="B19" s="2596" t="s">
        <v>2538</v>
      </c>
      <c r="C19" s="870" t="str">
        <f>估价对象房地状况!C7</f>
        <v>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96"/>
      <c r="L19" s="2138"/>
      <c r="M19" s="2130"/>
      <c r="N19" s="2130"/>
      <c r="O19" s="2137"/>
      <c r="P19" s="3433"/>
      <c r="Q19" s="1569" t="str">
        <f>B19</f>
        <v>公共配套设施</v>
      </c>
      <c r="R19" s="1570" t="s">
        <v>8</v>
      </c>
      <c r="S19" s="1571">
        <f>F19</f>
        <v>100</v>
      </c>
      <c r="T19" s="1570" t="s">
        <v>8</v>
      </c>
      <c r="U19" s="1571">
        <f>H19</f>
        <v>100</v>
      </c>
      <c r="V19" s="1570" t="s">
        <v>8</v>
      </c>
      <c r="W19" s="1571">
        <f>J19</f>
        <v>100</v>
      </c>
      <c r="X19" s="1564"/>
      <c r="Y19" s="3433"/>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8"/>
      <c r="M20" s="2130"/>
      <c r="N20" s="2130"/>
      <c r="O20" s="2137"/>
      <c r="P20" s="3433"/>
      <c r="Q20" s="1569"/>
      <c r="R20" s="1570"/>
      <c r="S20" s="1571"/>
      <c r="T20" s="1570"/>
      <c r="U20" s="1571"/>
      <c r="V20" s="1570"/>
      <c r="W20" s="1571"/>
      <c r="X20" s="1564"/>
      <c r="Y20" s="3433"/>
      <c r="Z20" s="1572"/>
      <c r="AA20" s="1573">
        <v>1</v>
      </c>
      <c r="AB20" s="1573">
        <v>1</v>
      </c>
      <c r="AC20" s="1573">
        <v>1</v>
      </c>
    </row>
    <row r="21" spans="1:29" ht="42.75">
      <c r="A21" s="530"/>
      <c r="B21" s="2589" t="s">
        <v>2550</v>
      </c>
      <c r="C21" s="870" t="str">
        <f>估价对象房地状况!C8</f>
        <v>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6"/>
      <c r="L21" s="2138"/>
      <c r="M21" s="2130"/>
      <c r="N21" s="2130"/>
      <c r="O21" s="2137"/>
      <c r="P21" s="3433"/>
      <c r="Q21" s="2575" t="str">
        <f>B21</f>
        <v>基础设施水平</v>
      </c>
      <c r="R21" s="1570" t="s">
        <v>8</v>
      </c>
      <c r="S21" s="1571">
        <f>F21</f>
        <v>100</v>
      </c>
      <c r="T21" s="1570" t="s">
        <v>8</v>
      </c>
      <c r="U21" s="1571">
        <f>H21</f>
        <v>100</v>
      </c>
      <c r="V21" s="1570" t="s">
        <v>8</v>
      </c>
      <c r="W21" s="1571">
        <f>J21</f>
        <v>100</v>
      </c>
      <c r="X21" s="2577"/>
      <c r="Y21" s="3433"/>
      <c r="Z21" s="2576"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8"/>
      <c r="L22" s="2138"/>
      <c r="M22" s="2130"/>
      <c r="N22" s="2130"/>
      <c r="O22" s="2137"/>
      <c r="P22" s="3433"/>
      <c r="Q22" s="2575"/>
      <c r="R22" s="1570"/>
      <c r="S22" s="1571"/>
      <c r="T22" s="1570"/>
      <c r="U22" s="1571"/>
      <c r="V22" s="1570"/>
      <c r="W22" s="1571"/>
      <c r="X22" s="2577"/>
      <c r="Y22" s="3433"/>
      <c r="Z22" s="2576"/>
      <c r="AA22" s="1573">
        <v>1</v>
      </c>
      <c r="AB22" s="1573">
        <v>1</v>
      </c>
      <c r="AC22" s="1573">
        <v>1</v>
      </c>
    </row>
    <row r="23" spans="1:29" ht="99.75">
      <c r="A23" s="530"/>
      <c r="B23" s="869" t="s">
        <v>296</v>
      </c>
      <c r="C23" s="898" t="str">
        <f>估价对象房地状况!C9</f>
        <v>所在区域有三角河公园，自然环境一般；无博物馆等人文设施，人文环境差；综合评价环境状况较差。</v>
      </c>
      <c r="D23" s="557">
        <v>100</v>
      </c>
      <c r="E23" s="560"/>
      <c r="F23" s="561">
        <f>SUMIF(84:84,E24,85:85)-SUMIF(84:84,C24,85:85)+100</f>
        <v>100</v>
      </c>
      <c r="G23" s="562"/>
      <c r="H23" s="557">
        <f>SUMIF(84:84,G24,85:85)-SUMIF(84:84,C24,85:85)+100</f>
        <v>100</v>
      </c>
      <c r="I23" s="560"/>
      <c r="J23" s="557">
        <f>SUMIF(84:84,I24,85:85)-SUMIF(84:84,C24,85:85)+100</f>
        <v>100</v>
      </c>
      <c r="K23" s="896"/>
      <c r="L23" s="2138"/>
      <c r="M23" s="2130"/>
      <c r="N23" s="2130"/>
      <c r="O23" s="2137"/>
      <c r="P23" s="3433"/>
      <c r="Q23" s="1569" t="str">
        <f>B23</f>
        <v>自然及人文环境</v>
      </c>
      <c r="R23" s="1570" t="s">
        <v>8</v>
      </c>
      <c r="S23" s="1571">
        <f>F23</f>
        <v>100</v>
      </c>
      <c r="T23" s="1570" t="s">
        <v>8</v>
      </c>
      <c r="U23" s="1571">
        <f>H23</f>
        <v>100</v>
      </c>
      <c r="V23" s="1570" t="s">
        <v>8</v>
      </c>
      <c r="W23" s="1571">
        <f>J23</f>
        <v>100</v>
      </c>
      <c r="X23" s="1564"/>
      <c r="Y23" s="3433"/>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8"/>
      <c r="M24" s="2130"/>
      <c r="N24" s="2130"/>
      <c r="O24" s="2137"/>
      <c r="P24" s="3433"/>
      <c r="Q24" s="1569"/>
      <c r="R24" s="1570"/>
      <c r="S24" s="1571"/>
      <c r="T24" s="1570"/>
      <c r="U24" s="1571"/>
      <c r="V24" s="1570"/>
      <c r="W24" s="1571"/>
      <c r="X24" s="1564"/>
      <c r="Y24" s="3433"/>
      <c r="Z24" s="1572"/>
      <c r="AA24" s="1573">
        <v>1</v>
      </c>
      <c r="AB24" s="1573">
        <v>1</v>
      </c>
      <c r="AC24" s="1573">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433"/>
      <c r="Q25" s="1569" t="str">
        <f t="shared" ref="Q25:Q46" si="11">B25</f>
        <v>临街状况</v>
      </c>
      <c r="R25" s="1570" t="s">
        <v>8</v>
      </c>
      <c r="S25" s="1571">
        <f>F25</f>
        <v>100</v>
      </c>
      <c r="T25" s="1570" t="s">
        <v>8</v>
      </c>
      <c r="U25" s="1571">
        <f>H25</f>
        <v>100</v>
      </c>
      <c r="V25" s="1570" t="s">
        <v>8</v>
      </c>
      <c r="W25" s="1571">
        <f>J25</f>
        <v>100</v>
      </c>
      <c r="X25" s="1564"/>
      <c r="Y25" s="3433"/>
      <c r="Z25" s="1572" t="str">
        <f>Q25</f>
        <v>临街状况</v>
      </c>
      <c r="AA25" s="1573">
        <f t="shared" si="3"/>
        <v>1</v>
      </c>
      <c r="AB25" s="1573">
        <f t="shared" si="4"/>
        <v>1</v>
      </c>
      <c r="AC25" s="1573">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433"/>
      <c r="Q26" s="1569" t="str">
        <f t="shared" si="11"/>
        <v>平面位置/可视性</v>
      </c>
      <c r="R26" s="1570" t="s">
        <v>8</v>
      </c>
      <c r="S26" s="1571">
        <f>F26</f>
        <v>100</v>
      </c>
      <c r="T26" s="1570" t="s">
        <v>8</v>
      </c>
      <c r="U26" s="1571">
        <f>H26</f>
        <v>100</v>
      </c>
      <c r="V26" s="1570" t="s">
        <v>8</v>
      </c>
      <c r="W26" s="1571">
        <f>J26</f>
        <v>100</v>
      </c>
      <c r="X26" s="1564"/>
      <c r="Y26" s="3433"/>
      <c r="Z26" s="1572" t="str">
        <f>Q26</f>
        <v>平面位置/可视性</v>
      </c>
      <c r="AA26" s="1573">
        <f t="shared" si="3"/>
        <v>1</v>
      </c>
      <c r="AB26" s="1573">
        <f t="shared" si="4"/>
        <v>1</v>
      </c>
      <c r="AC26" s="1573">
        <f t="shared" si="5"/>
        <v>1</v>
      </c>
    </row>
    <row r="27" spans="1:29" s="1218"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31"/>
      <c r="M27" s="2132"/>
      <c r="N27" s="2132"/>
      <c r="O27" s="2133"/>
      <c r="P27" s="3433"/>
      <c r="Q27" s="1149" t="str">
        <f t="shared" si="11"/>
        <v>人流量</v>
      </c>
      <c r="R27" s="1565" t="s">
        <v>8</v>
      </c>
      <c r="S27" s="1566">
        <f>F27</f>
        <v>100</v>
      </c>
      <c r="T27" s="1565" t="s">
        <v>8</v>
      </c>
      <c r="U27" s="1566">
        <f>H27</f>
        <v>100</v>
      </c>
      <c r="V27" s="1565" t="s">
        <v>8</v>
      </c>
      <c r="W27" s="1566">
        <f>J27</f>
        <v>100</v>
      </c>
      <c r="X27" s="1567"/>
      <c r="Y27" s="3433"/>
      <c r="Z27" s="1148" t="str">
        <f>Q27</f>
        <v>人流量</v>
      </c>
      <c r="AA27" s="1573">
        <f>D27/F27</f>
        <v>1</v>
      </c>
      <c r="AB27" s="1573">
        <f>D27/H27</f>
        <v>1</v>
      </c>
      <c r="AC27" s="1573">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433"/>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3"/>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433"/>
      <c r="Q29" s="1569">
        <f t="shared" si="11"/>
        <v>111</v>
      </c>
      <c r="R29" s="1570" t="s">
        <v>8</v>
      </c>
      <c r="S29" s="1571">
        <f t="shared" si="12"/>
        <v>100</v>
      </c>
      <c r="T29" s="1570" t="s">
        <v>8</v>
      </c>
      <c r="U29" s="1571">
        <f t="shared" si="13"/>
        <v>100</v>
      </c>
      <c r="V29" s="1570" t="s">
        <v>8</v>
      </c>
      <c r="W29" s="1571">
        <f t="shared" si="14"/>
        <v>100</v>
      </c>
      <c r="X29" s="1564"/>
      <c r="Y29" s="3433"/>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433"/>
      <c r="Q30" s="1569">
        <f t="shared" si="11"/>
        <v>111</v>
      </c>
      <c r="R30" s="1570" t="s">
        <v>8</v>
      </c>
      <c r="S30" s="1571">
        <f t="shared" si="12"/>
        <v>100</v>
      </c>
      <c r="T30" s="1570" t="s">
        <v>8</v>
      </c>
      <c r="U30" s="1571">
        <f t="shared" si="13"/>
        <v>100</v>
      </c>
      <c r="V30" s="1570" t="s">
        <v>8</v>
      </c>
      <c r="W30" s="1571">
        <f t="shared" si="14"/>
        <v>100</v>
      </c>
      <c r="X30" s="1564"/>
      <c r="Y30" s="3433"/>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433"/>
      <c r="Q31" s="1569">
        <f t="shared" si="11"/>
        <v>111</v>
      </c>
      <c r="R31" s="1570" t="s">
        <v>8</v>
      </c>
      <c r="S31" s="1571">
        <f t="shared" si="12"/>
        <v>100</v>
      </c>
      <c r="T31" s="1570" t="s">
        <v>8</v>
      </c>
      <c r="U31" s="1571">
        <f t="shared" si="13"/>
        <v>100</v>
      </c>
      <c r="V31" s="1570" t="s">
        <v>8</v>
      </c>
      <c r="W31" s="1571">
        <f t="shared" si="14"/>
        <v>100</v>
      </c>
      <c r="X31" s="1564"/>
      <c r="Y31" s="3433"/>
      <c r="Z31" s="1572">
        <f t="shared" si="15"/>
        <v>111</v>
      </c>
      <c r="AA31" s="1573">
        <f t="shared" si="3"/>
        <v>1</v>
      </c>
      <c r="AB31" s="1573">
        <f t="shared" si="4"/>
        <v>1</v>
      </c>
      <c r="AC31" s="1573">
        <f t="shared" si="5"/>
        <v>1</v>
      </c>
    </row>
    <row r="32" spans="1:29" ht="15">
      <c r="A32" s="2903" t="s">
        <v>2747</v>
      </c>
      <c r="B32" s="170"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434" t="s">
        <v>547</v>
      </c>
      <c r="Q32" s="1569" t="str">
        <f t="shared" si="11"/>
        <v>商业类型</v>
      </c>
      <c r="R32" s="1570" t="s">
        <v>8</v>
      </c>
      <c r="S32" s="1571">
        <f t="shared" si="12"/>
        <v>100</v>
      </c>
      <c r="T32" s="1570" t="s">
        <v>8</v>
      </c>
      <c r="U32" s="1571">
        <f t="shared" si="13"/>
        <v>100</v>
      </c>
      <c r="V32" s="1570" t="s">
        <v>8</v>
      </c>
      <c r="W32" s="1571">
        <f t="shared" si="14"/>
        <v>100</v>
      </c>
      <c r="X32" s="1564"/>
      <c r="Y32" s="3435" t="s">
        <v>547</v>
      </c>
      <c r="Z32" s="1572" t="str">
        <f t="shared" si="15"/>
        <v>商业类型</v>
      </c>
      <c r="AA32" s="1573">
        <f t="shared" si="3"/>
        <v>1</v>
      </c>
      <c r="AB32" s="1573">
        <f t="shared" si="4"/>
        <v>1</v>
      </c>
      <c r="AC32" s="1573">
        <f t="shared" si="5"/>
        <v>1</v>
      </c>
    </row>
    <row r="33" spans="1:29" s="1337"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435"/>
      <c r="Q33" s="1602" t="str">
        <f t="shared" si="11"/>
        <v>项目建筑规模</v>
      </c>
      <c r="R33" s="1574" t="s">
        <v>8</v>
      </c>
      <c r="S33" s="1575" t="e">
        <f t="shared" si="12"/>
        <v>#N/A</v>
      </c>
      <c r="T33" s="1574" t="s">
        <v>8</v>
      </c>
      <c r="U33" s="1575" t="e">
        <f t="shared" si="13"/>
        <v>#N/A</v>
      </c>
      <c r="V33" s="1574" t="s">
        <v>8</v>
      </c>
      <c r="W33" s="1575" t="e">
        <f t="shared" si="14"/>
        <v>#N/A</v>
      </c>
      <c r="X33" s="1576"/>
      <c r="Y33" s="3435"/>
      <c r="Z33" s="1577" t="str">
        <f t="shared" si="15"/>
        <v>项目建筑规模</v>
      </c>
      <c r="AA33" s="1573" t="e">
        <f t="shared" si="3"/>
        <v>#N/A</v>
      </c>
      <c r="AB33" s="1573" t="e">
        <f t="shared" si="4"/>
        <v>#N/A</v>
      </c>
      <c r="AC33" s="1573"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8"/>
      <c r="M34" s="2130"/>
      <c r="N34" s="2130"/>
      <c r="O34" s="2137"/>
      <c r="P34" s="3435"/>
      <c r="Q34" s="1569" t="str">
        <f t="shared" si="11"/>
        <v>建筑结构</v>
      </c>
      <c r="R34" s="1570" t="s">
        <v>8</v>
      </c>
      <c r="S34" s="1571">
        <f t="shared" si="12"/>
        <v>100</v>
      </c>
      <c r="T34" s="1570" t="s">
        <v>8</v>
      </c>
      <c r="U34" s="1571">
        <f t="shared" si="13"/>
        <v>100</v>
      </c>
      <c r="V34" s="1570" t="s">
        <v>8</v>
      </c>
      <c r="W34" s="1571">
        <f t="shared" si="14"/>
        <v>100</v>
      </c>
      <c r="X34" s="1564"/>
      <c r="Y34" s="3435"/>
      <c r="Z34" s="1572" t="str">
        <f t="shared" si="15"/>
        <v>建筑结构</v>
      </c>
      <c r="AA34" s="1573">
        <f t="shared" si="3"/>
        <v>1</v>
      </c>
      <c r="AB34" s="1573">
        <f t="shared" si="4"/>
        <v>1</v>
      </c>
      <c r="AC34" s="1573">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435"/>
      <c r="Q35" s="1569" t="str">
        <f t="shared" si="11"/>
        <v>公共部分装修</v>
      </c>
      <c r="R35" s="1570" t="s">
        <v>8</v>
      </c>
      <c r="S35" s="1571">
        <f t="shared" si="12"/>
        <v>100</v>
      </c>
      <c r="T35" s="1570" t="s">
        <v>8</v>
      </c>
      <c r="U35" s="1571">
        <f t="shared" si="13"/>
        <v>100</v>
      </c>
      <c r="V35" s="1570" t="s">
        <v>8</v>
      </c>
      <c r="W35" s="1571">
        <f t="shared" si="14"/>
        <v>100</v>
      </c>
      <c r="X35" s="1564"/>
      <c r="Y35" s="3435"/>
      <c r="Z35" s="1572" t="str">
        <f t="shared" si="15"/>
        <v>公共部分装修</v>
      </c>
      <c r="AA35" s="1573">
        <f t="shared" si="3"/>
        <v>1</v>
      </c>
      <c r="AB35" s="1573">
        <f t="shared" si="4"/>
        <v>1</v>
      </c>
      <c r="AC35" s="1573">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8"/>
      <c r="M36" s="2130"/>
      <c r="N36" s="2130"/>
      <c r="O36" s="2137"/>
      <c r="P36" s="3435"/>
      <c r="Q36" s="1569" t="str">
        <f t="shared" si="11"/>
        <v>成新度</v>
      </c>
      <c r="R36" s="1570" t="s">
        <v>8</v>
      </c>
      <c r="S36" s="1571" t="e">
        <f t="shared" si="12"/>
        <v>#N/A</v>
      </c>
      <c r="T36" s="1570" t="s">
        <v>8</v>
      </c>
      <c r="U36" s="1571" t="e">
        <f t="shared" si="13"/>
        <v>#N/A</v>
      </c>
      <c r="V36" s="1570" t="s">
        <v>8</v>
      </c>
      <c r="W36" s="1571" t="e">
        <f t="shared" si="14"/>
        <v>#N/A</v>
      </c>
      <c r="X36" s="1564"/>
      <c r="Y36" s="3435"/>
      <c r="Z36" s="1572" t="str">
        <f t="shared" si="15"/>
        <v>成新度</v>
      </c>
      <c r="AA36" s="1573" t="e">
        <f t="shared" si="3"/>
        <v>#N/A</v>
      </c>
      <c r="AB36" s="1573" t="e">
        <f t="shared" si="4"/>
        <v>#N/A</v>
      </c>
      <c r="AC36" s="1573" t="e">
        <f t="shared" si="5"/>
        <v>#N/A</v>
      </c>
    </row>
    <row r="37" spans="1:29" s="1218" customFormat="1" ht="15">
      <c r="A37" s="598"/>
      <c r="B37" s="1891" t="s">
        <v>2557</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435"/>
      <c r="Q37" s="1149" t="str">
        <f t="shared" si="11"/>
        <v>市政基础设施</v>
      </c>
      <c r="R37" s="1565" t="s">
        <v>8</v>
      </c>
      <c r="S37" s="1566">
        <f t="shared" si="12"/>
        <v>100</v>
      </c>
      <c r="T37" s="1565" t="s">
        <v>8</v>
      </c>
      <c r="U37" s="1566">
        <f t="shared" si="13"/>
        <v>100</v>
      </c>
      <c r="V37" s="1565" t="s">
        <v>8</v>
      </c>
      <c r="W37" s="1566">
        <f t="shared" si="14"/>
        <v>100</v>
      </c>
      <c r="X37" s="1567"/>
      <c r="Y37" s="3435"/>
      <c r="Z37" s="1148" t="str">
        <f t="shared" si="15"/>
        <v>市政基础设施</v>
      </c>
      <c r="AA37" s="1568">
        <f t="shared" si="3"/>
        <v>1</v>
      </c>
      <c r="AB37" s="1568">
        <f t="shared" si="4"/>
        <v>1</v>
      </c>
      <c r="AC37" s="1568">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435" t="s">
        <v>763</v>
      </c>
      <c r="Q38" s="1569" t="str">
        <f t="shared" si="11"/>
        <v>业态</v>
      </c>
      <c r="R38" s="1570" t="s">
        <v>8</v>
      </c>
      <c r="S38" s="1571">
        <f t="shared" si="12"/>
        <v>100</v>
      </c>
      <c r="T38" s="1570" t="s">
        <v>8</v>
      </c>
      <c r="U38" s="1571">
        <f t="shared" si="13"/>
        <v>100</v>
      </c>
      <c r="V38" s="1570" t="s">
        <v>8</v>
      </c>
      <c r="W38" s="1571">
        <f t="shared" si="14"/>
        <v>100</v>
      </c>
      <c r="X38" s="1564"/>
      <c r="Y38" s="3435" t="s">
        <v>763</v>
      </c>
      <c r="Z38" s="1572" t="str">
        <f t="shared" si="15"/>
        <v>业态</v>
      </c>
      <c r="AA38" s="1573">
        <f t="shared" si="3"/>
        <v>1</v>
      </c>
      <c r="AB38" s="1573">
        <f t="shared" si="4"/>
        <v>1</v>
      </c>
      <c r="AC38" s="1573">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35"/>
      <c r="Q39" s="1569" t="str">
        <f t="shared" si="11"/>
        <v>层高</v>
      </c>
      <c r="R39" s="1570" t="s">
        <v>8</v>
      </c>
      <c r="S39" s="1571">
        <f t="shared" si="12"/>
        <v>100</v>
      </c>
      <c r="T39" s="1570" t="s">
        <v>8</v>
      </c>
      <c r="U39" s="1571">
        <f t="shared" si="13"/>
        <v>100</v>
      </c>
      <c r="V39" s="1570" t="s">
        <v>8</v>
      </c>
      <c r="W39" s="1571">
        <f t="shared" si="14"/>
        <v>100</v>
      </c>
      <c r="X39" s="1564"/>
      <c r="Y39" s="3435"/>
      <c r="Z39" s="1572" t="str">
        <f t="shared" si="15"/>
        <v>层高</v>
      </c>
      <c r="AA39" s="1573">
        <f t="shared" si="3"/>
        <v>1</v>
      </c>
      <c r="AB39" s="1573">
        <f t="shared" si="4"/>
        <v>1</v>
      </c>
      <c r="AC39" s="1573">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8"/>
      <c r="M40" s="2130"/>
      <c r="N40" s="2130"/>
      <c r="O40" s="2137"/>
      <c r="P40" s="3435"/>
      <c r="Q40" s="1569" t="str">
        <f t="shared" si="11"/>
        <v>单套建筑面积</v>
      </c>
      <c r="R40" s="1570" t="s">
        <v>8</v>
      </c>
      <c r="S40" s="1571">
        <f t="shared" si="12"/>
        <v>100</v>
      </c>
      <c r="T40" s="1570" t="s">
        <v>8</v>
      </c>
      <c r="U40" s="1571">
        <f t="shared" si="13"/>
        <v>100</v>
      </c>
      <c r="V40" s="1570" t="s">
        <v>8</v>
      </c>
      <c r="W40" s="1571">
        <f t="shared" si="14"/>
        <v>100</v>
      </c>
      <c r="X40" s="1564"/>
      <c r="Y40" s="3435"/>
      <c r="Z40" s="1572" t="str">
        <f t="shared" si="15"/>
        <v>单套建筑面积</v>
      </c>
      <c r="AA40" s="1573">
        <f t="shared" si="3"/>
        <v>1</v>
      </c>
      <c r="AB40" s="1573">
        <f t="shared" si="4"/>
        <v>1</v>
      </c>
      <c r="AC40" s="1573">
        <f t="shared" si="5"/>
        <v>1</v>
      </c>
    </row>
    <row r="41" spans="1:29" s="1337"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435"/>
      <c r="Q41" s="1602" t="str">
        <f t="shared" si="11"/>
        <v>进深比</v>
      </c>
      <c r="R41" s="1574" t="s">
        <v>8</v>
      </c>
      <c r="S41" s="1575">
        <f t="shared" si="12"/>
        <v>100</v>
      </c>
      <c r="T41" s="1574" t="s">
        <v>8</v>
      </c>
      <c r="U41" s="1575">
        <f t="shared" si="13"/>
        <v>100</v>
      </c>
      <c r="V41" s="1574" t="s">
        <v>8</v>
      </c>
      <c r="W41" s="1575">
        <f t="shared" si="14"/>
        <v>100</v>
      </c>
      <c r="X41" s="1576"/>
      <c r="Y41" s="3435"/>
      <c r="Z41" s="1577" t="str">
        <f t="shared" si="15"/>
        <v>进深比</v>
      </c>
      <c r="AA41" s="1573">
        <f t="shared" si="3"/>
        <v>1</v>
      </c>
      <c r="AB41" s="1573">
        <f t="shared" si="4"/>
        <v>1</v>
      </c>
      <c r="AC41" s="1573">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435"/>
      <c r="Q42" s="1569" t="str">
        <f t="shared" si="11"/>
        <v>内部装修</v>
      </c>
      <c r="R42" s="1570" t="s">
        <v>8</v>
      </c>
      <c r="S42" s="1571">
        <f t="shared" si="12"/>
        <v>100</v>
      </c>
      <c r="T42" s="1570" t="s">
        <v>8</v>
      </c>
      <c r="U42" s="1571">
        <f t="shared" si="13"/>
        <v>100</v>
      </c>
      <c r="V42" s="1570" t="s">
        <v>8</v>
      </c>
      <c r="W42" s="1571">
        <f t="shared" si="14"/>
        <v>100</v>
      </c>
      <c r="X42" s="1564"/>
      <c r="Y42" s="3435"/>
      <c r="Z42" s="1572" t="str">
        <f t="shared" si="15"/>
        <v>内部装修</v>
      </c>
      <c r="AA42" s="1573">
        <f t="shared" si="3"/>
        <v>1</v>
      </c>
      <c r="AB42" s="1573">
        <f t="shared" si="4"/>
        <v>1</v>
      </c>
      <c r="AC42" s="1573">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435"/>
      <c r="Q43" s="1569" t="str">
        <f t="shared" si="11"/>
        <v>内部装修维护情况</v>
      </c>
      <c r="R43" s="1570" t="s">
        <v>8</v>
      </c>
      <c r="S43" s="1571">
        <f t="shared" si="12"/>
        <v>100</v>
      </c>
      <c r="T43" s="1570" t="s">
        <v>8</v>
      </c>
      <c r="U43" s="1571">
        <f t="shared" si="13"/>
        <v>100</v>
      </c>
      <c r="V43" s="1570" t="s">
        <v>8</v>
      </c>
      <c r="W43" s="1571">
        <f t="shared" si="14"/>
        <v>100</v>
      </c>
      <c r="X43" s="1564"/>
      <c r="Y43" s="3435"/>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435"/>
      <c r="Q44" s="1149">
        <f t="shared" si="11"/>
        <v>111</v>
      </c>
      <c r="R44" s="1565" t="s">
        <v>8</v>
      </c>
      <c r="S44" s="1566">
        <f t="shared" si="12"/>
        <v>100</v>
      </c>
      <c r="T44" s="1565" t="s">
        <v>8</v>
      </c>
      <c r="U44" s="1566">
        <f t="shared" si="13"/>
        <v>100</v>
      </c>
      <c r="V44" s="1565" t="s">
        <v>8</v>
      </c>
      <c r="W44" s="1566">
        <f t="shared" si="14"/>
        <v>100</v>
      </c>
      <c r="X44" s="1567"/>
      <c r="Y44" s="3435"/>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435"/>
      <c r="Q45" s="1569">
        <f t="shared" si="11"/>
        <v>111</v>
      </c>
      <c r="R45" s="1570" t="s">
        <v>8</v>
      </c>
      <c r="S45" s="1571">
        <f t="shared" si="12"/>
        <v>100</v>
      </c>
      <c r="T45" s="1570" t="s">
        <v>8</v>
      </c>
      <c r="U45" s="1571">
        <f t="shared" si="13"/>
        <v>100</v>
      </c>
      <c r="V45" s="1570" t="s">
        <v>8</v>
      </c>
      <c r="W45" s="1571">
        <f t="shared" si="14"/>
        <v>100</v>
      </c>
      <c r="X45" s="1564"/>
      <c r="Y45" s="3435"/>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489"/>
      <c r="Q46" s="1569">
        <f t="shared" si="11"/>
        <v>111</v>
      </c>
      <c r="R46" s="1570" t="s">
        <v>8</v>
      </c>
      <c r="S46" s="1571">
        <f t="shared" si="12"/>
        <v>100</v>
      </c>
      <c r="T46" s="1570" t="s">
        <v>8</v>
      </c>
      <c r="U46" s="1571">
        <f t="shared" si="13"/>
        <v>100</v>
      </c>
      <c r="V46" s="1570" t="s">
        <v>8</v>
      </c>
      <c r="W46" s="1571">
        <f t="shared" si="14"/>
        <v>100</v>
      </c>
      <c r="X46" s="1564"/>
      <c r="Y46" s="3489"/>
      <c r="Z46" s="1572">
        <f t="shared" si="15"/>
        <v>111</v>
      </c>
      <c r="AA46" s="1573">
        <f t="shared" si="3"/>
        <v>1</v>
      </c>
      <c r="AB46" s="1573">
        <f t="shared" si="4"/>
        <v>1</v>
      </c>
      <c r="AC46" s="1573">
        <f t="shared" si="5"/>
        <v>1</v>
      </c>
    </row>
    <row r="47" spans="1:29" ht="15">
      <c r="A47" s="605" t="s">
        <v>733</v>
      </c>
      <c r="B47" s="885"/>
      <c r="C47" s="2623" t="s">
        <v>1</v>
      </c>
      <c r="D47" s="2624"/>
      <c r="E47" s="2625"/>
      <c r="F47" s="2626"/>
      <c r="G47" s="2627"/>
      <c r="H47" s="2628"/>
      <c r="I47" s="2625"/>
      <c r="J47" s="2628"/>
      <c r="K47" s="1608"/>
      <c r="L47" s="2140"/>
      <c r="M47" s="2141"/>
      <c r="N47" s="2130"/>
      <c r="O47" s="2141"/>
      <c r="P47" s="3397" t="str">
        <f>A47</f>
        <v>成交单价（元/平方米）</v>
      </c>
      <c r="Q47" s="3397"/>
      <c r="R47" s="3488">
        <f>E47</f>
        <v>0</v>
      </c>
      <c r="S47" s="3488"/>
      <c r="T47" s="3488">
        <f>G47</f>
        <v>0</v>
      </c>
      <c r="U47" s="3488"/>
      <c r="V47" s="3488">
        <f>I47</f>
        <v>0</v>
      </c>
      <c r="W47" s="3488"/>
      <c r="X47" s="1556"/>
      <c r="Y47" s="1578"/>
      <c r="Z47" s="1556"/>
      <c r="AA47" s="1556"/>
      <c r="AB47" s="1556"/>
      <c r="AC47" s="1556"/>
    </row>
    <row r="48" spans="1:29" ht="15.75" thickBot="1">
      <c r="A48" s="613" t="s">
        <v>2752</v>
      </c>
      <c r="B48" s="886"/>
      <c r="C48" s="2629" t="e">
        <f>R49</f>
        <v>#DIV/0!</v>
      </c>
      <c r="D48" s="2630"/>
      <c r="E48" s="2631" t="e">
        <f>R48</f>
        <v>#DIV/0!</v>
      </c>
      <c r="F48" s="2631"/>
      <c r="G48" s="2629" t="e">
        <f>T48</f>
        <v>#DIV/0!</v>
      </c>
      <c r="H48" s="2630"/>
      <c r="I48" s="2631" t="e">
        <f>V48</f>
        <v>#DIV/0!</v>
      </c>
      <c r="J48" s="2630"/>
      <c r="K48" s="1609"/>
      <c r="L48" s="2140"/>
      <c r="M48" s="2141"/>
      <c r="N48" s="2130"/>
      <c r="O48" s="2141"/>
      <c r="P48" s="3397" t="str">
        <f>A48</f>
        <v>比较价格（元/平方米）</v>
      </c>
      <c r="Q48" s="339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56"/>
      <c r="Y48" s="1556"/>
      <c r="Z48" s="1556"/>
      <c r="AA48" s="1556"/>
      <c r="AB48" s="1556"/>
      <c r="AC48" s="1556"/>
    </row>
    <row r="49" spans="1:29" ht="15.75" thickBot="1">
      <c r="A49" s="619" t="s">
        <v>2921</v>
      </c>
      <c r="B49" s="620"/>
      <c r="C49" s="2632" t="e">
        <f>R49</f>
        <v>#DIV/0!</v>
      </c>
      <c r="D49" s="2632"/>
      <c r="E49" s="2632"/>
      <c r="F49" s="2632"/>
      <c r="G49" s="2632"/>
      <c r="H49" s="2632"/>
      <c r="I49" s="2632"/>
      <c r="J49" s="2632"/>
      <c r="K49" s="1610"/>
      <c r="L49" s="2140"/>
      <c r="M49" s="2141"/>
      <c r="N49" s="2130"/>
      <c r="O49" s="2141"/>
      <c r="P49" s="3394" t="str">
        <f>A49</f>
        <v>估价对象XX用房的比较价格（楼面单价，元/平方米）</v>
      </c>
      <c r="Q49" s="3395"/>
      <c r="R49" s="3487" t="e">
        <f>IF(F1="售价",ROUND(AVERAGE(R48:V48),0),ROUND(AVERAGE(R48:V48),1))</f>
        <v>#DIV/0!</v>
      </c>
      <c r="S49" s="3487"/>
      <c r="T49" s="3487"/>
      <c r="U49" s="3487"/>
      <c r="V49" s="3487"/>
      <c r="W49" s="3487"/>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571</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3" t="s">
        <v>526</v>
      </c>
      <c r="B58" s="644"/>
      <c r="C58" s="2798"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8" customFormat="1" ht="15.75" thickBot="1">
      <c r="A60" s="651" t="s">
        <v>572</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5">
      <c r="A61" s="657" t="s">
        <v>528</v>
      </c>
      <c r="B61" s="646"/>
      <c r="C61" s="658" t="s">
        <v>573</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3"/>
    </row>
    <row r="63" spans="1:29">
      <c r="A63" s="662" t="s">
        <v>574</v>
      </c>
      <c r="B63" s="663" t="s">
        <v>531</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536</v>
      </c>
      <c r="B76" s="663" t="s">
        <v>575</v>
      </c>
      <c r="C76" s="701" t="s">
        <v>576</v>
      </c>
      <c r="D76" s="701" t="s">
        <v>577</v>
      </c>
      <c r="E76" s="701" t="s">
        <v>578</v>
      </c>
      <c r="F76" s="701" t="s">
        <v>579</v>
      </c>
      <c r="G76" s="701" t="s">
        <v>580</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583</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2549</v>
      </c>
      <c r="C80" s="706" t="s">
        <v>576</v>
      </c>
      <c r="D80" s="706" t="s">
        <v>577</v>
      </c>
      <c r="E80" s="706" t="s">
        <v>578</v>
      </c>
      <c r="F80" s="706" t="s">
        <v>579</v>
      </c>
      <c r="G80" s="706" t="s">
        <v>580</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2550</v>
      </c>
      <c r="C82" s="2594" t="s">
        <v>2551</v>
      </c>
      <c r="D82" s="2594" t="s">
        <v>2552</v>
      </c>
      <c r="E82" s="2594" t="s">
        <v>2553</v>
      </c>
      <c r="F82" s="2594" t="s">
        <v>2554</v>
      </c>
      <c r="G82" s="2594" t="s">
        <v>2555</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741</v>
      </c>
      <c r="C84" s="706" t="s">
        <v>576</v>
      </c>
      <c r="D84" s="706" t="s">
        <v>577</v>
      </c>
      <c r="E84" s="706" t="s">
        <v>578</v>
      </c>
      <c r="F84" s="706" t="s">
        <v>579</v>
      </c>
      <c r="G84" s="706" t="s">
        <v>580</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7"/>
      <c r="B86" s="671" t="s">
        <v>768</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7"/>
      <c r="B88" s="671" t="str">
        <f>B26</f>
        <v>平面位置/可视性</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7"/>
      <c r="B92" s="671" t="str">
        <f>B28</f>
        <v>楼层</v>
      </c>
      <c r="C92" s="686"/>
      <c r="D92" s="686"/>
      <c r="E92" s="686"/>
      <c r="F92" s="686"/>
      <c r="G92" s="686"/>
      <c r="H92" s="686"/>
      <c r="I92" s="686"/>
      <c r="J92" s="686"/>
      <c r="K92" s="686"/>
      <c r="L92" s="888"/>
      <c r="M92" s="88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1"/>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548</v>
      </c>
      <c r="B100" s="663" t="s">
        <v>769</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746</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748</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6"/>
      <c r="B112" s="1892" t="s">
        <v>2548</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770</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771</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772</v>
      </c>
      <c r="C118" s="907"/>
      <c r="D118" s="907"/>
      <c r="E118" s="907"/>
      <c r="F118" s="907"/>
      <c r="G118" s="907"/>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6"/>
      <c r="B120" s="671" t="s">
        <v>773</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752</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7" zoomScale="85" zoomScaleNormal="85" workbookViewId="0">
      <selection activeCell="F42" sqref="F42"/>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2996</v>
      </c>
      <c r="D1" s="3115" t="s">
        <v>3068</v>
      </c>
      <c r="E1" s="2383" t="s">
        <v>867</v>
      </c>
      <c r="F1" s="2384">
        <f ca="1">J53</f>
        <v>33.03</v>
      </c>
      <c r="G1" s="772">
        <f>MATCH(C1,'数据-取费表'!A6:A16,0)+5</f>
        <v>10</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464</v>
      </c>
      <c r="B2" s="773">
        <f ca="1">C40+J29+L46</f>
        <v>6351</v>
      </c>
      <c r="C2" s="2053"/>
      <c r="D2" s="2051"/>
      <c r="E2" s="2052"/>
      <c r="F2" s="2052"/>
      <c r="G2" s="1587"/>
      <c r="H2" s="2053"/>
      <c r="I2" s="2053"/>
      <c r="J2" s="2053"/>
      <c r="K2" s="2054"/>
      <c r="L2" s="2053"/>
      <c r="M2" s="2053"/>
    </row>
    <row r="3" spans="1:33" ht="18" customHeight="1" thickBot="1">
      <c r="A3" s="831" t="s">
        <v>516</v>
      </c>
      <c r="B3" s="832">
        <f ca="1">IF(ISERROR(B2*10000/F43),0,ROUND(B2*10000/F43,0))</f>
        <v>11848</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1725</v>
      </c>
      <c r="I4" s="776" t="s">
        <v>1726</v>
      </c>
      <c r="J4" s="776" t="s">
        <v>1727</v>
      </c>
      <c r="K4" s="776" t="s">
        <v>1732</v>
      </c>
      <c r="L4" s="777" t="s">
        <v>1728</v>
      </c>
      <c r="M4" s="778"/>
    </row>
    <row r="5" spans="1:33" ht="18" customHeight="1">
      <c r="A5" s="779">
        <v>1</v>
      </c>
      <c r="B5" s="780" t="s">
        <v>2450</v>
      </c>
      <c r="C5" s="55">
        <f ca="1">C6+C10+C12</f>
        <v>441</v>
      </c>
      <c r="D5" s="2492" t="s">
        <v>2453</v>
      </c>
      <c r="E5" s="2486"/>
      <c r="F5" s="2487"/>
      <c r="G5" s="1589"/>
      <c r="H5" s="779">
        <v>1</v>
      </c>
      <c r="I5" s="780" t="s">
        <v>2450</v>
      </c>
      <c r="J5" s="55">
        <f ca="1">J6+J10+J12</f>
        <v>0</v>
      </c>
      <c r="K5" s="2492" t="s">
        <v>2453</v>
      </c>
      <c r="L5" s="2486"/>
      <c r="M5" s="2487"/>
    </row>
    <row r="6" spans="1:33" ht="18" customHeight="1">
      <c r="A6" s="1826" t="s">
        <v>1821</v>
      </c>
      <c r="B6" s="3471" t="s">
        <v>2455</v>
      </c>
      <c r="C6" s="781">
        <f ca="1">ROUND(F6*F8*F7*(1-F9)/10000,0)</f>
        <v>440</v>
      </c>
      <c r="D6" s="2493" t="s">
        <v>2454</v>
      </c>
      <c r="E6" s="782" t="s">
        <v>1735</v>
      </c>
      <c r="F6" s="783">
        <f ca="1">INDIRECT("'数据-取费表'!u"&amp;$G$1)</f>
        <v>2.5</v>
      </c>
      <c r="G6" s="1589"/>
      <c r="H6" s="2500" t="s">
        <v>1821</v>
      </c>
      <c r="I6" s="3471" t="s">
        <v>2455</v>
      </c>
      <c r="J6" s="781">
        <f ca="1">ROUND(M6*M8*M7*(1-M9)/10000,0)</f>
        <v>0</v>
      </c>
      <c r="K6" s="339" t="s">
        <v>1734</v>
      </c>
      <c r="L6" s="782" t="s">
        <v>1735</v>
      </c>
      <c r="M6" s="783">
        <f ca="1">INDIRECT("'数据-取费表'!z"&amp;$G$1)</f>
        <v>0</v>
      </c>
    </row>
    <row r="7" spans="1:33" ht="18" customHeight="1">
      <c r="A7" s="2496"/>
      <c r="B7" s="3472"/>
      <c r="C7" s="786"/>
      <c r="D7" s="787"/>
      <c r="E7" s="782" t="s">
        <v>1736</v>
      </c>
      <c r="F7" s="783">
        <f ca="1">IF(INDIRECT("'数据-取费表'!ah"&amp;$G$1)="",INDIRECT("'数据-取费表'!k"&amp;$G$1),INDIRECT("'数据-取费表'!ah"&amp;$G$1))</f>
        <v>5360.21</v>
      </c>
      <c r="G7" s="1589"/>
      <c r="H7" s="2485"/>
      <c r="I7" s="3472"/>
      <c r="J7" s="786"/>
      <c r="K7" s="787"/>
      <c r="L7" s="782" t="s">
        <v>1736</v>
      </c>
      <c r="M7" s="783">
        <f ca="1">F7</f>
        <v>5360.21</v>
      </c>
    </row>
    <row r="8" spans="1:33" ht="18" customHeight="1">
      <c r="A8" s="2489"/>
      <c r="B8" s="3473"/>
      <c r="C8" s="786"/>
      <c r="D8" s="787"/>
      <c r="E8" s="782" t="s">
        <v>1737</v>
      </c>
      <c r="F8" s="783">
        <f ca="1">INDIRECT("'数据-取费表'!ai"&amp;$G$1)</f>
        <v>365</v>
      </c>
      <c r="G8" s="1589"/>
      <c r="H8" s="2485"/>
      <c r="I8" s="3473"/>
      <c r="J8" s="786"/>
      <c r="K8" s="787"/>
      <c r="L8" s="782" t="s">
        <v>1737</v>
      </c>
      <c r="M8" s="783">
        <f ca="1">INDIRECT("'数据-取费表'!ai"&amp;$G$1)</f>
        <v>365</v>
      </c>
    </row>
    <row r="9" spans="1:33" ht="18" customHeight="1">
      <c r="A9" s="784"/>
      <c r="B9" s="3474"/>
      <c r="C9" s="786"/>
      <c r="D9" s="787"/>
      <c r="E9" s="782" t="s">
        <v>1738</v>
      </c>
      <c r="F9" s="792">
        <f ca="1">INDIRECT("'数据-取费表'!w"&amp;$G$1)</f>
        <v>0.1</v>
      </c>
      <c r="G9" s="1589"/>
      <c r="H9" s="2501"/>
      <c r="I9" s="3473"/>
      <c r="J9" s="786"/>
      <c r="K9" s="787"/>
      <c r="L9" s="793" t="s">
        <v>1738</v>
      </c>
      <c r="M9" s="794">
        <f ca="1">INDIRECT("'数据-取费表'!ab"&amp;$G$1)</f>
        <v>0</v>
      </c>
    </row>
    <row r="10" spans="1:33" ht="18" customHeight="1">
      <c r="A10" s="1826" t="s">
        <v>1822</v>
      </c>
      <c r="B10" s="2490" t="s">
        <v>2451</v>
      </c>
      <c r="C10" s="797">
        <f ca="1">ROUND(IF(F10="押一",C6/12*F11,IF(F10="押二",C6/12*2*F11,IF(F10="押三",C6/12*3*F11,C11*F11))),0)</f>
        <v>1</v>
      </c>
      <c r="D10" s="2497" t="s">
        <v>2961</v>
      </c>
      <c r="E10" s="2494" t="s">
        <v>2456</v>
      </c>
      <c r="F10" s="2617" t="s">
        <v>3025</v>
      </c>
      <c r="G10" s="1589"/>
      <c r="H10" s="2557" t="s">
        <v>1822</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2448</v>
      </c>
      <c r="F11" s="794">
        <f ca="1">'数据-取费表'!B39</f>
        <v>1.4999999999999999E-2</v>
      </c>
      <c r="G11" s="1589"/>
      <c r="H11" s="2558"/>
      <c r="I11" s="2491" t="s">
        <v>2565</v>
      </c>
      <c r="J11" s="2495"/>
      <c r="K11" s="2559"/>
      <c r="L11" s="2494" t="s">
        <v>2448</v>
      </c>
      <c r="M11" s="2488">
        <f ca="1">'数据-取费表'!B39</f>
        <v>1.4999999999999999E-2</v>
      </c>
    </row>
    <row r="12" spans="1:33" ht="18" customHeight="1" thickBot="1">
      <c r="A12" s="2533" t="s">
        <v>2459</v>
      </c>
      <c r="B12" s="2534" t="s">
        <v>2452</v>
      </c>
      <c r="C12" s="2535"/>
      <c r="D12" s="2536"/>
      <c r="E12" s="2537"/>
      <c r="F12" s="2538"/>
      <c r="G12" s="1589"/>
      <c r="H12" s="2547" t="s">
        <v>2459</v>
      </c>
      <c r="I12" s="2560" t="s">
        <v>2452</v>
      </c>
      <c r="J12" s="2561"/>
      <c r="K12" s="2536"/>
      <c r="L12" s="2537"/>
      <c r="M12" s="2550"/>
    </row>
    <row r="13" spans="1:33" ht="18" customHeight="1" thickTop="1">
      <c r="A13" s="1825">
        <v>2</v>
      </c>
      <c r="B13" s="1823" t="s">
        <v>1739</v>
      </c>
      <c r="C13" s="790">
        <f ca="1">ROUND(C29*F13,0)</f>
        <v>2714</v>
      </c>
      <c r="D13" s="1830" t="s">
        <v>2293</v>
      </c>
      <c r="E13" s="1830" t="s">
        <v>1741</v>
      </c>
      <c r="F13" s="2532">
        <f ca="1">INDIRECT("'数据-取费表'!y"&amp;$G$1)</f>
        <v>1</v>
      </c>
      <c r="G13" s="1589"/>
      <c r="H13" s="1825">
        <v>2</v>
      </c>
      <c r="I13" s="1823" t="s">
        <v>1739</v>
      </c>
      <c r="J13" s="1815">
        <f ca="1">ROUND(J14*J15,0)</f>
        <v>0</v>
      </c>
      <c r="K13" s="1817" t="s">
        <v>1740</v>
      </c>
      <c r="L13" s="2548"/>
      <c r="M13" s="2549"/>
    </row>
    <row r="14" spans="1:33" ht="18" customHeight="1">
      <c r="A14" s="1645" t="s">
        <v>1828</v>
      </c>
      <c r="B14" s="782" t="s">
        <v>642</v>
      </c>
      <c r="C14" s="802">
        <f ca="1">INDIRECT("'数据-取费表'!m"&amp;$G$1)+INDIRECT("'数据-取费表'!t"&amp;$G$1)</f>
        <v>1619</v>
      </c>
      <c r="D14" s="3198" t="s">
        <v>1742</v>
      </c>
      <c r="E14" s="3197"/>
      <c r="F14" s="803"/>
      <c r="G14" s="1589"/>
      <c r="H14" s="1646" t="s">
        <v>1821</v>
      </c>
      <c r="I14" s="2227" t="s">
        <v>2817</v>
      </c>
      <c r="J14" s="53">
        <f ca="1">C29</f>
        <v>2714</v>
      </c>
      <c r="K14" s="26"/>
      <c r="L14" s="799"/>
      <c r="M14" s="800"/>
    </row>
    <row r="15" spans="1:33" s="2060" customFormat="1" ht="18" customHeight="1" thickBot="1">
      <c r="A15" s="1645" t="s">
        <v>1829</v>
      </c>
      <c r="B15" s="782" t="s">
        <v>644</v>
      </c>
      <c r="C15" s="53">
        <f ca="1">ROUND(C14*F15,0)</f>
        <v>65</v>
      </c>
      <c r="D15" s="804" t="s">
        <v>1743</v>
      </c>
      <c r="E15" s="804" t="s">
        <v>1744</v>
      </c>
      <c r="F15" s="805">
        <f>'数据-取费表'!B33</f>
        <v>0.04</v>
      </c>
      <c r="G15" s="1590"/>
      <c r="H15" s="2547" t="s">
        <v>1886</v>
      </c>
      <c r="I15" s="2542" t="s">
        <v>1741</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1830</v>
      </c>
      <c r="B16" s="782" t="s">
        <v>647</v>
      </c>
      <c r="C16" s="53">
        <f ca="1">ROUND(INDIRECT("'数据-取费表'!m"&amp;$G$1)*F16,0)</f>
        <v>0</v>
      </c>
      <c r="D16" s="782" t="s">
        <v>1743</v>
      </c>
      <c r="E16" s="782" t="s">
        <v>1744</v>
      </c>
      <c r="F16" s="807">
        <f ca="1">IF(INDIRECT("'数据-取费表'!c"&amp;$G$1)="住宅",'数据-取费表'!B34,0)</f>
        <v>0</v>
      </c>
      <c r="G16" s="1589"/>
      <c r="H16" s="1825" t="s">
        <v>1745</v>
      </c>
      <c r="I16" s="1823" t="s">
        <v>1746</v>
      </c>
      <c r="J16" s="790">
        <f ca="1">ROUND(J17+J22+J23+J24,0)</f>
        <v>271</v>
      </c>
      <c r="K16" s="1817" t="s">
        <v>1747</v>
      </c>
      <c r="L16" s="3200"/>
      <c r="M16" s="2487"/>
    </row>
    <row r="17" spans="1:33" s="2060" customFormat="1" ht="18" customHeight="1">
      <c r="A17" s="1645" t="s">
        <v>1884</v>
      </c>
      <c r="B17" s="782" t="s">
        <v>650</v>
      </c>
      <c r="C17" s="53">
        <f ca="1">ROUND(F17*(F43+INDIRECT("'数据-取费表'!S"&amp;$G$1))/10000,0)</f>
        <v>108</v>
      </c>
      <c r="D17" s="782" t="s">
        <v>1748</v>
      </c>
      <c r="E17" s="782" t="s">
        <v>1749</v>
      </c>
      <c r="F17" s="56">
        <f>'数据-取费表'!B35</f>
        <v>200</v>
      </c>
      <c r="G17" s="1590"/>
      <c r="H17" s="1646" t="s">
        <v>1821</v>
      </c>
      <c r="I17" s="782" t="s">
        <v>653</v>
      </c>
      <c r="J17" s="53">
        <f ca="1">ROUND(IF(项目基本情况!B11="自然人",J5*M17,J18+J19+J20),0)</f>
        <v>230</v>
      </c>
      <c r="K17" s="3198" t="s">
        <v>1750</v>
      </c>
      <c r="L17" s="3199"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f ca="1">ROUND(C14*F18,0)</f>
        <v>24</v>
      </c>
      <c r="D18" s="782" t="s">
        <v>1743</v>
      </c>
      <c r="E18" s="782" t="s">
        <v>1744</v>
      </c>
      <c r="F18" s="807">
        <f>'数据-取费表'!B36</f>
        <v>1.4999999999999999E-2</v>
      </c>
      <c r="G18" s="1590"/>
      <c r="H18" s="1645" t="s">
        <v>1828</v>
      </c>
      <c r="I18" s="782" t="s">
        <v>1752</v>
      </c>
      <c r="J18" s="53">
        <f ca="1">ROUND(J5*M18/1.05,1)</f>
        <v>0</v>
      </c>
      <c r="K18" s="3199"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1821</v>
      </c>
      <c r="B19" s="782" t="s">
        <v>659</v>
      </c>
      <c r="C19" s="53">
        <f ca="1">SUM(C14:C18)</f>
        <v>1816</v>
      </c>
      <c r="D19" s="259" t="s">
        <v>1754</v>
      </c>
      <c r="E19" s="3201"/>
      <c r="F19" s="56"/>
      <c r="G19" s="1589"/>
      <c r="H19" s="1645" t="s">
        <v>1829</v>
      </c>
      <c r="I19" s="782" t="s">
        <v>1755</v>
      </c>
      <c r="J19" s="53">
        <f ca="1">IF(K19="按租金收入计税",ROUND(J5*M19,1),ROUND(C29*F33*0.7,1))</f>
        <v>228</v>
      </c>
      <c r="K19" s="809" t="s">
        <v>662</v>
      </c>
      <c r="L19" s="782" t="s">
        <v>1744</v>
      </c>
      <c r="M19" s="807">
        <f>IF(K19="按租金收入计税",'数据-取费表'!B51,'数据-取费表'!B50)</f>
        <v>1.2E-2</v>
      </c>
    </row>
    <row r="20" spans="1:33" s="2060" customFormat="1" ht="18" customHeight="1">
      <c r="A20" s="1646" t="s">
        <v>1886</v>
      </c>
      <c r="B20" s="782" t="s">
        <v>663</v>
      </c>
      <c r="C20" s="53">
        <f ca="1">ROUND(C19*F20,0)</f>
        <v>36</v>
      </c>
      <c r="D20" s="810" t="s">
        <v>1756</v>
      </c>
      <c r="E20" s="782" t="s">
        <v>1744</v>
      </c>
      <c r="F20" s="807">
        <f>'数据-取费表'!B37</f>
        <v>0.02</v>
      </c>
      <c r="G20" s="1590"/>
      <c r="H20" s="1648" t="s">
        <v>1830</v>
      </c>
      <c r="I20" s="339" t="s">
        <v>1757</v>
      </c>
      <c r="J20" s="54">
        <f ca="1">ROUND(M20*M21/10000,0)</f>
        <v>2</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f ca="1">INDIRECT("'数据-取费表'!r"&amp;$G$1)</f>
        <v>932.16</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3201"/>
      <c r="F22" s="56"/>
      <c r="G22" s="1589"/>
      <c r="H22" s="1646" t="s">
        <v>1886</v>
      </c>
      <c r="I22" s="782" t="s">
        <v>1765</v>
      </c>
      <c r="J22" s="53">
        <f ca="1">ROUND(J14*M22,0)</f>
        <v>41</v>
      </c>
      <c r="K22" s="3199" t="s">
        <v>1766</v>
      </c>
      <c r="L22" s="782" t="s">
        <v>1744</v>
      </c>
      <c r="M22" s="815">
        <f ca="1">INDIRECT("'数据-取费表'!Ak"&amp;$G$1)</f>
        <v>1.4999999999999999E-2</v>
      </c>
    </row>
    <row r="23" spans="1:33" s="2060" customFormat="1" ht="18" customHeight="1">
      <c r="A23" s="1645" t="s">
        <v>1828</v>
      </c>
      <c r="B23" s="782" t="s">
        <v>2431</v>
      </c>
      <c r="C23" s="53">
        <f ca="1">ROUND(IF('数据-取费表'!B22&lt;=1,(C19+C20)*F24*F23/2,(C19+C20)*(POWER((1+F24),F23/2)-1)),0)</f>
        <v>88</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f ca="1">ROUND(J13*M23,0)</f>
        <v>0</v>
      </c>
      <c r="K23" s="3199" t="s">
        <v>1768</v>
      </c>
      <c r="L23" s="782" t="s">
        <v>1744</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f ca="1">ROUND(J5*M24,0)</f>
        <v>0</v>
      </c>
      <c r="K24" s="2541" t="s">
        <v>1771</v>
      </c>
      <c r="L24" s="2542" t="s">
        <v>1744</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3201"/>
      <c r="F25" s="56"/>
      <c r="G25" s="1589"/>
      <c r="H25" s="1825" t="s">
        <v>1773</v>
      </c>
      <c r="I25" s="3006" t="s">
        <v>2814</v>
      </c>
      <c r="J25" s="790">
        <f ca="1">J5-J16</f>
        <v>-271</v>
      </c>
      <c r="K25" s="2544" t="s">
        <v>1774</v>
      </c>
      <c r="L25" s="2545"/>
      <c r="M25" s="2546"/>
    </row>
    <row r="26" spans="1:33" ht="18" customHeight="1">
      <c r="A26" s="1645" t="s">
        <v>1828</v>
      </c>
      <c r="B26" s="782" t="s">
        <v>2432</v>
      </c>
      <c r="C26" s="53">
        <f ca="1">ROUND((C19+C20)*F26,0)</f>
        <v>556</v>
      </c>
      <c r="D26" s="810" t="s">
        <v>1775</v>
      </c>
      <c r="E26" s="793" t="s">
        <v>1776</v>
      </c>
      <c r="F26" s="792">
        <f ca="1">INDIRECT("'数据-取费表'!q"&amp;$G$1)</f>
        <v>0.3</v>
      </c>
      <c r="G26" s="1589"/>
      <c r="H26" s="2498" t="s">
        <v>1777</v>
      </c>
      <c r="I26" s="2228" t="s">
        <v>2819</v>
      </c>
      <c r="J26" s="781">
        <f ca="1">IF(J5&lt;&gt;0,ROUND(J25*(1-((1+M28)/(1+M26))^M27)/(M26-M28),0),0)</f>
        <v>0</v>
      </c>
      <c r="K26" s="812" t="s">
        <v>1778</v>
      </c>
      <c r="L26" s="782" t="s">
        <v>2413</v>
      </c>
      <c r="M26" s="792">
        <f ca="1">INDIRECT("'数据-取费表'!I"&amp;$G$1)</f>
        <v>0.06</v>
      </c>
    </row>
    <row r="27" spans="1:33" ht="18" customHeight="1">
      <c r="A27" s="1645" t="s">
        <v>1829</v>
      </c>
      <c r="B27" s="782" t="s">
        <v>683</v>
      </c>
      <c r="C27" s="53">
        <f ca="1">ROUND(F21*F26,4)</f>
        <v>6.0000000000000001E-3</v>
      </c>
      <c r="D27" s="810" t="s">
        <v>1779</v>
      </c>
      <c r="E27" s="804"/>
      <c r="F27" s="805"/>
      <c r="G27" s="1589"/>
      <c r="H27" s="2499"/>
      <c r="I27" s="785"/>
      <c r="J27" s="786"/>
      <c r="K27" s="819" t="s">
        <v>1780</v>
      </c>
      <c r="L27" s="782" t="s">
        <v>1781</v>
      </c>
      <c r="M27" s="820">
        <f ca="1">INDIRECT("'数据-取费表'!ag"&amp;$G$1)</f>
        <v>0</v>
      </c>
    </row>
    <row r="28" spans="1:33" s="2060" customFormat="1" ht="18" customHeight="1">
      <c r="A28" s="1647" t="s">
        <v>1838</v>
      </c>
      <c r="B28" s="782" t="s">
        <v>684</v>
      </c>
      <c r="C28" s="53">
        <f>ROUND(F28/(1+'数据-取费表'!C42),4)</f>
        <v>5.33E-2</v>
      </c>
      <c r="D28" s="810" t="s">
        <v>2295</v>
      </c>
      <c r="E28" s="782" t="s">
        <v>1744</v>
      </c>
      <c r="F28" s="807">
        <f>'数据-取费表'!B41</f>
        <v>5.6000000000000001E-2</v>
      </c>
      <c r="G28" s="1590"/>
      <c r="H28" s="1825"/>
      <c r="I28" s="789"/>
      <c r="J28" s="790"/>
      <c r="K28" s="814"/>
      <c r="L28" s="782" t="s">
        <v>1783</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f ca="1">ROUND((C19+C20+C23+C26)/(1-F21-C24-C27-C28),0)</f>
        <v>2714</v>
      </c>
      <c r="D29" s="2541"/>
      <c r="E29" s="2542"/>
      <c r="F29" s="2543"/>
      <c r="G29" s="1590"/>
      <c r="H29" s="821" t="s">
        <v>1784</v>
      </c>
      <c r="I29" s="822" t="s">
        <v>1785</v>
      </c>
      <c r="J29" s="823">
        <f ca="1">ROUND(J26/(1+F40)^F41,0)</f>
        <v>0</v>
      </c>
      <c r="K29" s="824" t="s">
        <v>1786</v>
      </c>
      <c r="L29" s="825"/>
      <c r="M29" s="826">
        <f ca="1">INDIRECT("'数据-取费表'!k"&amp;$G$1)</f>
        <v>5360.21</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1745</v>
      </c>
      <c r="B30" s="1823" t="s">
        <v>1746</v>
      </c>
      <c r="C30" s="790">
        <f ca="1">ROUND(C31+C36+C37+C38,0)</f>
        <v>130</v>
      </c>
      <c r="D30" s="1817" t="s">
        <v>1747</v>
      </c>
      <c r="E30" s="3200"/>
      <c r="F30" s="2487"/>
      <c r="G30" s="2058"/>
      <c r="H30" s="2061"/>
      <c r="I30" s="2062"/>
      <c r="J30" s="2063"/>
      <c r="K30" s="2064"/>
      <c r="L30" s="2065"/>
      <c r="M30" s="2066"/>
    </row>
    <row r="31" spans="1:33" ht="18" customHeight="1">
      <c r="A31" s="1646" t="s">
        <v>1821</v>
      </c>
      <c r="B31" s="782" t="s">
        <v>653</v>
      </c>
      <c r="C31" s="53">
        <f ca="1">ROUND(IF(项目基本情况!B11="自然人",C5*F31,C32+C33+C34),1)</f>
        <v>78.3</v>
      </c>
      <c r="D31" s="3198" t="s">
        <v>1750</v>
      </c>
      <c r="E31" s="3199"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1752</v>
      </c>
      <c r="C32" s="53">
        <f ca="1">ROUND(C5*F32/1.05,1)</f>
        <v>23.5</v>
      </c>
      <c r="D32" s="3199" t="s">
        <v>1753</v>
      </c>
      <c r="E32" s="782" t="s">
        <v>1744</v>
      </c>
      <c r="F32" s="807">
        <f>'数据-取费表'!B41</f>
        <v>5.6000000000000001E-2</v>
      </c>
      <c r="G32" s="2058"/>
      <c r="H32" s="2067"/>
      <c r="I32" s="2068"/>
      <c r="J32" s="2069"/>
      <c r="K32" s="2070"/>
      <c r="L32" s="2071"/>
      <c r="M32" s="2072"/>
    </row>
    <row r="33" spans="1:18" ht="18" customHeight="1">
      <c r="A33" s="1645" t="s">
        <v>1829</v>
      </c>
      <c r="B33" s="782" t="s">
        <v>1755</v>
      </c>
      <c r="C33" s="53">
        <f ca="1">IF(D33="按租金收入计税",ROUND(C5*F33,1),IF(D33="按房产原值计税",ROUND(C29*F33*0.7,1),INDIRECT("'数据-取费表'!Aj"&amp;$G$1)))</f>
        <v>52.9</v>
      </c>
      <c r="D33" s="809" t="s">
        <v>3026</v>
      </c>
      <c r="E33" s="782" t="s">
        <v>1744</v>
      </c>
      <c r="F33" s="807">
        <f>IF(D33="按租金收入计税",'数据-取费表'!B51,'数据-取费表'!B50)</f>
        <v>0.12</v>
      </c>
      <c r="G33" s="2058"/>
      <c r="H33" s="2073"/>
      <c r="I33" s="2073"/>
      <c r="J33" s="2073"/>
      <c r="K33" s="2074"/>
      <c r="L33" s="2073"/>
      <c r="M33" s="2073"/>
    </row>
    <row r="34" spans="1:18" ht="18" customHeight="1">
      <c r="A34" s="1648" t="s">
        <v>1830</v>
      </c>
      <c r="B34" s="339" t="s">
        <v>1757</v>
      </c>
      <c r="C34" s="54">
        <f ca="1">ROUND(F34*F35/10000,1)</f>
        <v>1.9</v>
      </c>
      <c r="D34" s="812" t="s">
        <v>1758</v>
      </c>
      <c r="E34" s="782" t="s">
        <v>1759</v>
      </c>
      <c r="F34" s="638">
        <f>'数据-取费表'!B52</f>
        <v>20</v>
      </c>
      <c r="G34" s="2058"/>
      <c r="H34" s="2061"/>
      <c r="I34" s="833" t="s">
        <v>1810</v>
      </c>
      <c r="J34" s="834"/>
      <c r="K34" s="2076"/>
      <c r="L34" s="2075"/>
      <c r="M34" s="2075"/>
    </row>
    <row r="35" spans="1:18" ht="18" customHeight="1">
      <c r="A35" s="813"/>
      <c r="B35" s="791"/>
      <c r="C35" s="69"/>
      <c r="D35" s="814"/>
      <c r="E35" s="782" t="s">
        <v>1763</v>
      </c>
      <c r="F35" s="783">
        <f ca="1">INDIRECT("'数据-取费表'!r"&amp;$G$1)</f>
        <v>932.16</v>
      </c>
      <c r="G35" s="2058"/>
      <c r="H35" s="2061"/>
      <c r="I35" s="835" t="s">
        <v>1811</v>
      </c>
      <c r="J35" s="836">
        <f ca="1">ROUND(C13*J36,0)</f>
        <v>231</v>
      </c>
      <c r="K35" s="2074"/>
      <c r="L35" s="2073"/>
      <c r="M35" s="2073"/>
    </row>
    <row r="36" spans="1:18" ht="18" customHeight="1">
      <c r="A36" s="1646" t="s">
        <v>1886</v>
      </c>
      <c r="B36" s="782" t="s">
        <v>1765</v>
      </c>
      <c r="C36" s="53">
        <f ca="1">ROUND(C29*F36,1)</f>
        <v>40.700000000000003</v>
      </c>
      <c r="D36" s="3199" t="s">
        <v>1800</v>
      </c>
      <c r="E36" s="782" t="s">
        <v>1744</v>
      </c>
      <c r="F36" s="815">
        <f ca="1">INDIRECT("'数据-取费表'!Ak"&amp;$G$1)</f>
        <v>1.4999999999999999E-2</v>
      </c>
      <c r="G36" s="2058"/>
      <c r="H36" s="2073"/>
      <c r="I36" s="837" t="s">
        <v>1812</v>
      </c>
      <c r="J36" s="838">
        <f ca="1">INDIRECT("'数据-取费表'!j"&amp;$G$1)</f>
        <v>8.5000000000000006E-2</v>
      </c>
      <c r="K36" s="2078"/>
      <c r="L36" s="2073"/>
      <c r="M36" s="2073"/>
    </row>
    <row r="37" spans="1:18" ht="18" customHeight="1">
      <c r="A37" s="1646" t="s">
        <v>1887</v>
      </c>
      <c r="B37" s="782" t="s">
        <v>676</v>
      </c>
      <c r="C37" s="53">
        <f ca="1">ROUND(C13*F37,1)</f>
        <v>4.0999999999999996</v>
      </c>
      <c r="D37" s="3199" t="s">
        <v>1768</v>
      </c>
      <c r="E37" s="782" t="s">
        <v>1744</v>
      </c>
      <c r="F37" s="816">
        <f ca="1">INDIRECT("'数据-取费表'!Al"&amp;$G$1)</f>
        <v>1.5E-3</v>
      </c>
      <c r="G37" s="2058"/>
      <c r="H37" s="2073"/>
      <c r="I37" s="839" t="s">
        <v>1813</v>
      </c>
      <c r="J37" s="840"/>
      <c r="K37" s="2078"/>
      <c r="L37" s="2073"/>
      <c r="M37" s="2073"/>
    </row>
    <row r="38" spans="1:18" ht="18" customHeight="1" thickBot="1">
      <c r="A38" s="2547" t="s">
        <v>1888</v>
      </c>
      <c r="B38" s="2542" t="s">
        <v>663</v>
      </c>
      <c r="C38" s="2540">
        <f ca="1">ROUND(C5*F38,1)</f>
        <v>6.6</v>
      </c>
      <c r="D38" s="2541" t="s">
        <v>1771</v>
      </c>
      <c r="E38" s="2542" t="s">
        <v>1744</v>
      </c>
      <c r="F38" s="2538">
        <f ca="1">INDIRECT("'数据-取费表'!Am"&amp;$G$1)</f>
        <v>1.4999999999999999E-2</v>
      </c>
      <c r="G38" s="2058"/>
      <c r="H38" s="2073"/>
      <c r="I38" s="841" t="s">
        <v>1814</v>
      </c>
      <c r="J38" s="842"/>
      <c r="K38" s="2079"/>
      <c r="L38" s="2073"/>
      <c r="M38" s="2073"/>
    </row>
    <row r="39" spans="1:18" ht="24.6" customHeight="1" thickTop="1">
      <c r="A39" s="1825" t="s">
        <v>1773</v>
      </c>
      <c r="B39" s="3006" t="s">
        <v>2814</v>
      </c>
      <c r="C39" s="790">
        <f ca="1">C5-C30</f>
        <v>311</v>
      </c>
      <c r="D39" s="2544" t="s">
        <v>1774</v>
      </c>
      <c r="E39" s="2545"/>
      <c r="F39" s="2546"/>
      <c r="G39" s="2058"/>
      <c r="H39" s="2073"/>
      <c r="I39" s="835" t="s">
        <v>1815</v>
      </c>
      <c r="J39" s="843">
        <f ca="1">ROUND(J35/C39,3)</f>
        <v>0.74299999999999999</v>
      </c>
      <c r="K39" s="2079"/>
      <c r="L39" s="2073"/>
      <c r="M39" s="2073"/>
    </row>
    <row r="40" spans="1:18" ht="18" customHeight="1">
      <c r="A40" s="779" t="s">
        <v>1777</v>
      </c>
      <c r="B40" s="2228" t="s">
        <v>2297</v>
      </c>
      <c r="C40" s="781">
        <f ca="1">ROUND(C39*(1-((1+F42)/(1+F40))^F41)/(F40-F42),0)</f>
        <v>6351</v>
      </c>
      <c r="D40" s="812" t="s">
        <v>1778</v>
      </c>
      <c r="E40" s="782" t="s">
        <v>2413</v>
      </c>
      <c r="F40" s="792">
        <f ca="1">INDIRECT("'数据-取费表'!I"&amp;$G$1)</f>
        <v>0.06</v>
      </c>
      <c r="G40" s="2058"/>
      <c r="H40" s="2058"/>
      <c r="I40" s="835" t="s">
        <v>1816</v>
      </c>
      <c r="J40" s="843">
        <f ca="1">1-J39</f>
        <v>0.25700000000000001</v>
      </c>
      <c r="K40" s="2079"/>
      <c r="L40" s="2058"/>
      <c r="M40" s="2058"/>
    </row>
    <row r="41" spans="1:18" ht="18" customHeight="1">
      <c r="A41" s="784"/>
      <c r="B41" s="785"/>
      <c r="C41" s="786"/>
      <c r="D41" s="819" t="s">
        <v>1805</v>
      </c>
      <c r="E41" s="782" t="s">
        <v>1781</v>
      </c>
      <c r="F41" s="820">
        <f ca="1">IF(INDIRECT("'数据-取费表'!af"&amp;$G$1)=0,INDIRECT("'数据-取费表'!ae"&amp;$G$1),INDIRECT("'数据-取费表'!af"&amp;$G$1))</f>
        <v>33.03</v>
      </c>
      <c r="G41" s="2058"/>
      <c r="H41" s="1984"/>
      <c r="I41" s="841" t="s">
        <v>1817</v>
      </c>
      <c r="J41" s="844"/>
      <c r="K41" s="2078"/>
      <c r="L41" s="1984"/>
      <c r="M41" s="1984"/>
    </row>
    <row r="42" spans="1:18" ht="18" customHeight="1">
      <c r="A42" s="788"/>
      <c r="B42" s="789"/>
      <c r="C42" s="790"/>
      <c r="D42" s="814"/>
      <c r="E42" s="782" t="s">
        <v>1783</v>
      </c>
      <c r="F42" s="792">
        <f ca="1">INDIRECT("'数据-取费表'!v"&amp;$G$1)</f>
        <v>0.03</v>
      </c>
      <c r="G42" s="2058"/>
      <c r="H42" s="1984"/>
      <c r="I42" s="845" t="s">
        <v>1818</v>
      </c>
      <c r="J42" s="843">
        <f ca="1">ROUND(C13/C40,3)</f>
        <v>0.42699999999999999</v>
      </c>
      <c r="K42" s="2078"/>
      <c r="L42" s="1984"/>
      <c r="M42" s="1984"/>
    </row>
    <row r="43" spans="1:18" ht="18" customHeight="1" thickBot="1">
      <c r="A43" s="821" t="s">
        <v>1784</v>
      </c>
      <c r="B43" s="822" t="s">
        <v>1807</v>
      </c>
      <c r="C43" s="823">
        <f ca="1">ROUND(C40*10000/F43,0)</f>
        <v>11848</v>
      </c>
      <c r="D43" s="824" t="s">
        <v>1808</v>
      </c>
      <c r="E43" s="825" t="s">
        <v>1809</v>
      </c>
      <c r="F43" s="826">
        <f ca="1">INDIRECT("'数据-取费表'!k"&amp;$G$1)</f>
        <v>5360.21</v>
      </c>
      <c r="G43" s="2058"/>
      <c r="H43" s="1984"/>
      <c r="I43" s="845" t="s">
        <v>1819</v>
      </c>
      <c r="J43" s="846">
        <f ca="1">1-J42</f>
        <v>0.57299999999999995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f ca="1">C67-C40</f>
        <v>-7020</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f ca="1">C48+C52+C54</f>
        <v>0</v>
      </c>
      <c r="D47" s="2081"/>
      <c r="E47" s="2081"/>
      <c r="F47" s="2081"/>
      <c r="I47" s="3140" t="s">
        <v>2338</v>
      </c>
      <c r="J47" s="2377" t="s">
        <v>3027</v>
      </c>
      <c r="K47" s="3147" t="s">
        <v>2343</v>
      </c>
      <c r="L47" s="3151">
        <f ca="1">INDIRECT("'数据-取费表'!d"&amp;$G$1)</f>
        <v>40</v>
      </c>
      <c r="M47" s="1601" t="str">
        <f>IF(ISNUMBER(FIND("住宅",C1)),"住宅","非住宅")</f>
        <v>非住宅</v>
      </c>
      <c r="O47" s="2391" t="s">
        <v>2369</v>
      </c>
      <c r="P47" s="2392" t="s">
        <v>2370</v>
      </c>
      <c r="Q47" s="2393" t="s">
        <v>2371</v>
      </c>
      <c r="R47" s="2392" t="s">
        <v>2372</v>
      </c>
    </row>
    <row r="48" spans="1:18" s="2055" customFormat="1" ht="18" customHeight="1" thickBot="1">
      <c r="A48" s="2638" t="s">
        <v>1867</v>
      </c>
      <c r="B48" s="2639" t="s">
        <v>2530</v>
      </c>
      <c r="C48" s="2370">
        <f ca="1">ROUND(F48*F50*F49*(1-F51)/10000,0)</f>
        <v>0</v>
      </c>
      <c r="D48" s="2371" t="s">
        <v>633</v>
      </c>
      <c r="E48" s="2372" t="s">
        <v>2292</v>
      </c>
      <c r="F48" s="2373"/>
      <c r="G48" s="2086"/>
      <c r="I48" s="3116" t="s">
        <v>2339</v>
      </c>
      <c r="J48" s="2378" t="s">
        <v>2344</v>
      </c>
      <c r="K48" s="3148" t="s">
        <v>2345</v>
      </c>
      <c r="L48" s="1904">
        <f ca="1">INDIRECT("'数据-取费表'!f"&amp;$G$1)</f>
        <v>35.03</v>
      </c>
      <c r="O48" s="2394" t="s">
        <v>2373</v>
      </c>
      <c r="P48" s="2395" t="s">
        <v>2399</v>
      </c>
      <c r="Q48" s="2396">
        <f ca="1">C40+J29</f>
        <v>6351</v>
      </c>
      <c r="R48" s="2395" t="s">
        <v>2374</v>
      </c>
    </row>
    <row r="49" spans="1:18" s="2055" customFormat="1" ht="18" customHeight="1" thickBot="1">
      <c r="A49" s="784"/>
      <c r="B49" s="785"/>
      <c r="C49" s="786"/>
      <c r="D49" s="787"/>
      <c r="E49" s="782" t="s">
        <v>1736</v>
      </c>
      <c r="F49" s="783">
        <f ca="1">F7</f>
        <v>5360.21</v>
      </c>
      <c r="G49" s="2086"/>
      <c r="H49" s="2089"/>
      <c r="I49" s="3116" t="s">
        <v>2340</v>
      </c>
      <c r="J49" s="2379">
        <v>2021</v>
      </c>
      <c r="K49" s="3149" t="s">
        <v>2346</v>
      </c>
      <c r="L49" s="2380"/>
      <c r="O49" s="2394" t="s">
        <v>2375</v>
      </c>
      <c r="P49" s="2395" t="s">
        <v>2400</v>
      </c>
      <c r="Q49" s="2396" t="str">
        <f ca="1">J60</f>
        <v>0</v>
      </c>
      <c r="R49" s="2395" t="s">
        <v>2376</v>
      </c>
    </row>
    <row r="50" spans="1:18" s="2055" customFormat="1" ht="18" customHeight="1" thickBot="1">
      <c r="A50" s="784"/>
      <c r="B50" s="785"/>
      <c r="C50" s="786"/>
      <c r="D50" s="787"/>
      <c r="E50" s="782" t="s">
        <v>1737</v>
      </c>
      <c r="F50" s="783">
        <f ca="1">F8</f>
        <v>365</v>
      </c>
      <c r="G50" s="2091"/>
      <c r="H50" s="2089"/>
      <c r="I50" s="3116" t="s">
        <v>2341</v>
      </c>
      <c r="J50" s="3144">
        <f>SUMPRODUCT((I63:I65=J47)*(J62:L62=J48)*(J63:L65))</f>
        <v>60</v>
      </c>
      <c r="K50" s="3149" t="s">
        <v>2347</v>
      </c>
      <c r="L50" s="2380"/>
      <c r="O50" s="2397" t="s">
        <v>2377</v>
      </c>
      <c r="P50" s="2395" t="s">
        <v>2401</v>
      </c>
      <c r="Q50" s="2396">
        <f ca="1">C29</f>
        <v>2714</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f ca="1">ROUND(-PV(INDIRECT("'数据-取费表'!h"&amp;$G$1),L48,(C39-C13*J36),0),0)</f>
        <v>1236</v>
      </c>
      <c r="O51" s="2397" t="s">
        <v>2378</v>
      </c>
      <c r="P51" s="2395" t="s">
        <v>2379</v>
      </c>
      <c r="Q51" s="2398" t="e">
        <f ca="1">J58</f>
        <v>#VALUE!</v>
      </c>
      <c r="R51" s="2399"/>
    </row>
    <row r="52" spans="1:18" s="2055" customFormat="1" ht="18" customHeight="1" thickBot="1">
      <c r="A52" s="779" t="s">
        <v>2528</v>
      </c>
      <c r="B52" s="2490" t="s">
        <v>2451</v>
      </c>
      <c r="C52" s="797">
        <f ca="1">ROUND(IF(F52="押一",C48/12*F11,IF(F52="押二",C48/12*2*F11,IF(F52="押三",C48/12*3*F11,C53*F11))),0)</f>
        <v>0</v>
      </c>
      <c r="D52" s="2497" t="s">
        <v>2961</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f ca="1">IF(M47="住宅",IF(D1="——",MAX(J51,L48),MAX(J51,L48-'数据-取费表'!B20)),IF(D1="——",MIN(J51,L48),MIN(J51,L48-'数据-取费表'!B20)))</f>
        <v>33.03</v>
      </c>
      <c r="K53" s="3494" t="s">
        <v>2953</v>
      </c>
      <c r="L53" s="3495"/>
      <c r="O53" s="2397" t="s">
        <v>2382</v>
      </c>
      <c r="P53" s="2395" t="s">
        <v>2383</v>
      </c>
      <c r="Q53" s="2396">
        <f ca="1">J53</f>
        <v>33.03</v>
      </c>
      <c r="R53" s="2395" t="s">
        <v>2384</v>
      </c>
    </row>
    <row r="54" spans="1:18" s="2055" customFormat="1" ht="18" customHeight="1" thickBot="1">
      <c r="A54" s="2533" t="s">
        <v>2459</v>
      </c>
      <c r="B54" s="2534" t="s">
        <v>2452</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2385</v>
      </c>
      <c r="P54" s="2395" t="s">
        <v>2402</v>
      </c>
      <c r="Q54" s="2396">
        <f ca="1">Q48+Q49</f>
        <v>6351</v>
      </c>
      <c r="R54" s="2399" t="s">
        <v>2386</v>
      </c>
    </row>
    <row r="55" spans="1:18" s="2055" customFormat="1" ht="18" customHeight="1" thickTop="1" thickBot="1">
      <c r="A55" s="795">
        <v>2</v>
      </c>
      <c r="B55" s="796" t="s">
        <v>641</v>
      </c>
      <c r="C55" s="797">
        <f ca="1">C13</f>
        <v>2714</v>
      </c>
      <c r="D55" s="793"/>
      <c r="E55" s="793"/>
      <c r="F55" s="798"/>
      <c r="I55" s="3155" t="s">
        <v>2349</v>
      </c>
      <c r="J55" s="3091" t="e">
        <f ca="1">ROUND(IF(J47="钢混",J57/J50,1-(1-2%)*(J50-J57)/J50),3)</f>
        <v>#VALUE!</v>
      </c>
      <c r="K55" s="3156" t="s">
        <v>2350</v>
      </c>
      <c r="L55" s="2382"/>
      <c r="O55" s="2400" t="s">
        <v>2405</v>
      </c>
      <c r="P55" s="1589"/>
      <c r="Q55" s="1601"/>
      <c r="R55" s="1589"/>
    </row>
    <row r="56" spans="1:18" s="2055" customFormat="1" ht="42.75" customHeight="1" thickBot="1">
      <c r="A56" s="1647"/>
      <c r="B56" s="2227" t="s">
        <v>2296</v>
      </c>
      <c r="C56" s="53">
        <f ca="1">C29</f>
        <v>2714</v>
      </c>
      <c r="D56" s="3199"/>
      <c r="E56" s="782"/>
      <c r="F56" s="807"/>
      <c r="I56" s="3157" t="s">
        <v>2351</v>
      </c>
      <c r="J56" s="3167" t="s">
        <v>1676</v>
      </c>
      <c r="K56" s="3116" t="s">
        <v>2356</v>
      </c>
      <c r="L56" s="1904" t="str">
        <f ca="1">IF(L48&lt;J51,"——",L48-J51)</f>
        <v>——</v>
      </c>
      <c r="O56" s="2391" t="s">
        <v>2369</v>
      </c>
      <c r="P56" s="2392" t="s">
        <v>2370</v>
      </c>
      <c r="Q56" s="2393" t="s">
        <v>2371</v>
      </c>
      <c r="R56" s="2392" t="s">
        <v>2372</v>
      </c>
    </row>
    <row r="57" spans="1:18" s="2055" customFormat="1" ht="28.5" customHeight="1" thickBot="1">
      <c r="A57" s="795" t="s">
        <v>1745</v>
      </c>
      <c r="B57" s="796" t="s">
        <v>648</v>
      </c>
      <c r="C57" s="797">
        <f ca="1">ROUND(C58+C63+C64+C65,0)</f>
        <v>47</v>
      </c>
      <c r="D57" s="26" t="s">
        <v>1747</v>
      </c>
      <c r="E57" s="3201"/>
      <c r="F57" s="56"/>
      <c r="I57" s="3158" t="s">
        <v>2352</v>
      </c>
      <c r="J57" s="3159" t="str">
        <f ca="1">IF(OR(M47="住宅",J51&lt;L48,J56="是"),"——",J51-L48)</f>
        <v>——</v>
      </c>
      <c r="K57" s="3116" t="s">
        <v>2357</v>
      </c>
      <c r="L57" s="1904" t="str">
        <f ca="1">IF(L48&lt;J51,"——",IF(L55="比较法",L49,IF(L55="基准地价",L50,L51)))</f>
        <v>——</v>
      </c>
      <c r="O57" s="2394" t="s">
        <v>2373</v>
      </c>
      <c r="P57" s="2395" t="s">
        <v>2399</v>
      </c>
      <c r="Q57" s="2396">
        <f ca="1">C40+J29</f>
        <v>6351</v>
      </c>
      <c r="R57" s="2395" t="s">
        <v>2374</v>
      </c>
    </row>
    <row r="58" spans="1:18" s="2055" customFormat="1" ht="28.5" customHeight="1" thickBot="1">
      <c r="A58" s="1646" t="s">
        <v>1821</v>
      </c>
      <c r="B58" s="782" t="s">
        <v>653</v>
      </c>
      <c r="C58" s="53">
        <f ca="1">ROUND(IF(项目基本情况!B11="自然人",C47*F58,C59+C60+C61),1)</f>
        <v>1.9</v>
      </c>
      <c r="D58" s="3198" t="s">
        <v>654</v>
      </c>
      <c r="E58" s="3199" t="s">
        <v>687</v>
      </c>
      <c r="F58" s="808" t="str">
        <f ca="1">IF(项目基本情况!B11="企业","",IF(INDIRECT("'数据-取费表'!c"&amp;$G$1)="住宅",5%,IF(F48*F49*F50/12/(1+'数据-取费表'!C42)&gt;20000,12%,7%)))</f>
        <v/>
      </c>
      <c r="I58" s="3158" t="s">
        <v>2353</v>
      </c>
      <c r="J58" s="3092" t="e">
        <f ca="1">IF(J55&lt;0.4,0.4,J55)</f>
        <v>#VALUE!</v>
      </c>
      <c r="K58" s="3116" t="s">
        <v>2358</v>
      </c>
      <c r="L58" s="1904" t="e">
        <f ca="1">ROUND(POWER(1+L52,L47-L48)*(POWER(1+L52,L48)-1)/(POWER(1+L52,L47)-1),4)</f>
        <v>#DIV/0!</v>
      </c>
      <c r="O58" s="2394" t="s">
        <v>2375</v>
      </c>
      <c r="P58" s="2395" t="s">
        <v>2406</v>
      </c>
      <c r="Q58" s="2396">
        <f ca="1">L60</f>
        <v>0</v>
      </c>
      <c r="R58" s="2399" t="s">
        <v>2408</v>
      </c>
    </row>
    <row r="59" spans="1:18" s="2055" customFormat="1" ht="28.5" customHeight="1" thickBot="1">
      <c r="A59" s="1645" t="s">
        <v>1828</v>
      </c>
      <c r="B59" s="782" t="s">
        <v>657</v>
      </c>
      <c r="C59" s="53">
        <f ca="1">ROUND(C47*F59/1.05,1)</f>
        <v>0</v>
      </c>
      <c r="D59" s="3199" t="s">
        <v>1753</v>
      </c>
      <c r="E59" s="782" t="s">
        <v>1744</v>
      </c>
      <c r="F59" s="807">
        <f t="shared" ref="F59:F65" si="0">F32</f>
        <v>5.6000000000000001E-2</v>
      </c>
      <c r="I59" s="3158" t="s">
        <v>2354</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2377</v>
      </c>
      <c r="P59" s="2395" t="s">
        <v>2407</v>
      </c>
      <c r="Q59" s="2396">
        <f>IF(L55="比较法",L49,IF(L55="基准地价",L50,0))</f>
        <v>0</v>
      </c>
      <c r="R59" s="2395" t="s">
        <v>2374</v>
      </c>
    </row>
    <row r="60" spans="1:18" s="2055" customFormat="1" ht="18" customHeight="1" thickBot="1">
      <c r="A60" s="1645" t="s">
        <v>1829</v>
      </c>
      <c r="B60" s="782" t="s">
        <v>1755</v>
      </c>
      <c r="C60" s="53">
        <f ca="1">IF(D60="按租金收入计税",ROUND(C47*F60,1),IF(D60="按房产原值计税",ROUND(C56*F60*0.7,1),INDIRECT("'数据-取费表'!Aj"&amp;$G$1)))</f>
        <v>0</v>
      </c>
      <c r="D60" s="3199" t="str">
        <f>D33</f>
        <v>按租金收入计税</v>
      </c>
      <c r="E60" s="782" t="s">
        <v>1744</v>
      </c>
      <c r="F60" s="807">
        <f t="shared" si="0"/>
        <v>0.12</v>
      </c>
      <c r="I60" s="3160" t="s">
        <v>2355</v>
      </c>
      <c r="J60" s="3161" t="str">
        <f ca="1">IF(OR(M47="住宅",J51&lt;L48,J56="是"),"0",ROUND(J59/(1+J52)^J53,0))</f>
        <v>0</v>
      </c>
      <c r="K60" s="3162" t="s">
        <v>2360</v>
      </c>
      <c r="L60" s="3161">
        <f ca="1">IF(OR(M47="住宅",L48&lt;J51),0,ROUND(L57*(L58/L59-1),0))</f>
        <v>0</v>
      </c>
      <c r="O60" s="2397" t="s">
        <v>2378</v>
      </c>
      <c r="P60" s="2395" t="s">
        <v>2387</v>
      </c>
      <c r="Q60" s="2398">
        <f>L52</f>
        <v>0</v>
      </c>
      <c r="R60" s="2399"/>
    </row>
    <row r="61" spans="1:18" s="2055" customFormat="1" ht="18" customHeight="1" thickBot="1">
      <c r="A61" s="1648" t="s">
        <v>1830</v>
      </c>
      <c r="B61" s="339" t="s">
        <v>665</v>
      </c>
      <c r="C61" s="54">
        <f ca="1">ROUND(F61*F62/10000,1)</f>
        <v>1.9</v>
      </c>
      <c r="D61" s="812" t="s">
        <v>666</v>
      </c>
      <c r="E61" s="782" t="s">
        <v>667</v>
      </c>
      <c r="F61" s="638">
        <f t="shared" si="0"/>
        <v>20</v>
      </c>
      <c r="K61" s="2082"/>
      <c r="O61" s="2397" t="s">
        <v>2380</v>
      </c>
      <c r="P61" s="2395" t="s">
        <v>2388</v>
      </c>
      <c r="Q61" s="2396" t="e">
        <f ca="1">L58</f>
        <v>#DIV/0!</v>
      </c>
      <c r="R61" s="2399" t="s">
        <v>2389</v>
      </c>
    </row>
    <row r="62" spans="1:18" s="2055" customFormat="1" ht="15.75" thickBot="1">
      <c r="A62" s="813"/>
      <c r="B62" s="791"/>
      <c r="C62" s="69"/>
      <c r="D62" s="814"/>
      <c r="E62" s="782" t="s">
        <v>671</v>
      </c>
      <c r="F62" s="783">
        <f t="shared" ca="1" si="0"/>
        <v>932.16</v>
      </c>
      <c r="I62" s="3163" t="s">
        <v>2361</v>
      </c>
      <c r="J62" s="3164" t="s">
        <v>2362</v>
      </c>
      <c r="K62" s="3164" t="s">
        <v>2363</v>
      </c>
      <c r="L62" s="3164" t="s">
        <v>2344</v>
      </c>
      <c r="M62" s="3165" t="s">
        <v>2930</v>
      </c>
      <c r="O62" s="2397" t="s">
        <v>2382</v>
      </c>
      <c r="P62" s="2395" t="str">
        <f>K59</f>
        <v>建设期及建筑物耐用年限下的土地年期修正系数Kn</v>
      </c>
      <c r="Q62" s="2396" t="e">
        <f ca="1">L59</f>
        <v>#DIV/0!</v>
      </c>
      <c r="R62" s="2399" t="s">
        <v>2391</v>
      </c>
    </row>
    <row r="63" spans="1:18" s="2055" customFormat="1" ht="15.75" thickBot="1">
      <c r="A63" s="1646" t="s">
        <v>1886</v>
      </c>
      <c r="B63" s="782" t="s">
        <v>673</v>
      </c>
      <c r="C63" s="53">
        <f ca="1">ROUND(C56*F63,1)</f>
        <v>40.700000000000003</v>
      </c>
      <c r="D63" s="3199" t="s">
        <v>1800</v>
      </c>
      <c r="E63" s="782" t="s">
        <v>1744</v>
      </c>
      <c r="F63" s="815">
        <f t="shared" ca="1" si="0"/>
        <v>1.4999999999999999E-2</v>
      </c>
      <c r="I63" s="3163" t="s">
        <v>2364</v>
      </c>
      <c r="J63" s="3164">
        <v>70</v>
      </c>
      <c r="K63" s="3164">
        <v>50</v>
      </c>
      <c r="L63" s="3164">
        <v>80</v>
      </c>
      <c r="M63" s="3166">
        <v>0.02</v>
      </c>
      <c r="O63" s="2394" t="s">
        <v>2385</v>
      </c>
      <c r="P63" s="2395" t="s">
        <v>2402</v>
      </c>
      <c r="Q63" s="2396">
        <f ca="1">Q57+Q58</f>
        <v>6351</v>
      </c>
      <c r="R63" s="2399" t="s">
        <v>2386</v>
      </c>
    </row>
    <row r="64" spans="1:18" s="2055" customFormat="1" ht="16.5" thickBot="1">
      <c r="A64" s="1646" t="s">
        <v>1887</v>
      </c>
      <c r="B64" s="782" t="s">
        <v>676</v>
      </c>
      <c r="C64" s="53">
        <f ca="1">ROUND(C55*F64,1)</f>
        <v>4.0999999999999996</v>
      </c>
      <c r="D64" s="3199" t="s">
        <v>677</v>
      </c>
      <c r="E64" s="782" t="s">
        <v>1744</v>
      </c>
      <c r="F64" s="816">
        <f t="shared" ca="1" si="0"/>
        <v>1.5E-3</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f ca="1">ROUND(C47*F65,1)</f>
        <v>0</v>
      </c>
      <c r="D65" s="3199" t="s">
        <v>680</v>
      </c>
      <c r="E65" s="782" t="s">
        <v>1744</v>
      </c>
      <c r="F65" s="792">
        <f t="shared" ca="1" si="0"/>
        <v>1.4999999999999999E-2</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f ca="1">C47-C57</f>
        <v>-47</v>
      </c>
      <c r="D66" s="3198" t="s">
        <v>697</v>
      </c>
      <c r="E66" s="3196"/>
      <c r="F66" s="818"/>
      <c r="K66" s="2082"/>
      <c r="O66" s="2394" t="s">
        <v>2373</v>
      </c>
      <c r="P66" s="2395" t="s">
        <v>2399</v>
      </c>
      <c r="Q66" s="2396">
        <f ca="1">C40+J29</f>
        <v>6351</v>
      </c>
      <c r="R66" s="2395" t="s">
        <v>2374</v>
      </c>
    </row>
    <row r="67" spans="1:18" s="2055" customFormat="1" ht="20.25" thickBot="1">
      <c r="A67" s="779" t="s">
        <v>1777</v>
      </c>
      <c r="B67" s="2228" t="s">
        <v>2297</v>
      </c>
      <c r="C67" s="781">
        <f ca="1">ROUND(C66*(1-((1+F69)/(1+F67))^F68)/(F67-F69),0)</f>
        <v>-669</v>
      </c>
      <c r="D67" s="812" t="s">
        <v>701</v>
      </c>
      <c r="E67" s="782" t="s">
        <v>702</v>
      </c>
      <c r="F67" s="792">
        <f ca="1">F40</f>
        <v>0.06</v>
      </c>
      <c r="K67" s="2082"/>
      <c r="O67" s="2394" t="s">
        <v>2375</v>
      </c>
      <c r="P67" s="2395" t="s">
        <v>2406</v>
      </c>
      <c r="Q67" s="2396">
        <f ca="1">L60</f>
        <v>0</v>
      </c>
      <c r="R67" s="2399" t="s">
        <v>2408</v>
      </c>
    </row>
    <row r="68" spans="1:18" ht="21.75" thickBot="1">
      <c r="A68" s="784"/>
      <c r="B68" s="785"/>
      <c r="C68" s="786"/>
      <c r="D68" s="819" t="s">
        <v>1805</v>
      </c>
      <c r="E68" s="782" t="s">
        <v>1781</v>
      </c>
      <c r="F68" s="820">
        <f ca="1">F41</f>
        <v>33.03</v>
      </c>
      <c r="O68" s="2397" t="s">
        <v>2377</v>
      </c>
      <c r="P68" s="2395" t="s">
        <v>2407</v>
      </c>
      <c r="Q68" s="2401">
        <f ca="1">L51</f>
        <v>1236</v>
      </c>
      <c r="R68" s="2402" t="s">
        <v>2410</v>
      </c>
    </row>
    <row r="69" spans="1:18" ht="20.25" thickBot="1">
      <c r="A69" s="788"/>
      <c r="B69" s="789"/>
      <c r="C69" s="790"/>
      <c r="D69" s="814"/>
      <c r="E69" s="782" t="s">
        <v>707</v>
      </c>
      <c r="F69" s="2367"/>
      <c r="O69" s="2397" t="s">
        <v>2378</v>
      </c>
      <c r="P69" s="2403" t="s">
        <v>2392</v>
      </c>
      <c r="Q69" s="2396">
        <f ca="1">ROUND(Q70-Q71*Q72,0)</f>
        <v>80</v>
      </c>
      <c r="R69" s="2399"/>
    </row>
    <row r="70" spans="1:18" ht="15.75" thickBot="1">
      <c r="A70" s="821" t="s">
        <v>1784</v>
      </c>
      <c r="B70" s="822" t="s">
        <v>1807</v>
      </c>
      <c r="C70" s="823">
        <f ca="1">ROUND(C67*10000/F70,0)</f>
        <v>-1248</v>
      </c>
      <c r="D70" s="824" t="s">
        <v>1808</v>
      </c>
      <c r="E70" s="825" t="s">
        <v>1809</v>
      </c>
      <c r="F70" s="826">
        <f ca="1">F43</f>
        <v>5360.21</v>
      </c>
      <c r="O70" s="2397" t="s">
        <v>2393</v>
      </c>
      <c r="P70" s="2403" t="s">
        <v>2394</v>
      </c>
      <c r="Q70" s="2396">
        <f ca="1">C39</f>
        <v>311</v>
      </c>
      <c r="R70" s="2395" t="s">
        <v>2374</v>
      </c>
    </row>
    <row r="71" spans="1:18" ht="15.75" thickBot="1">
      <c r="O71" s="2397" t="s">
        <v>2395</v>
      </c>
      <c r="P71" s="2403" t="s">
        <v>2396</v>
      </c>
      <c r="Q71" s="2396">
        <f ca="1">C13</f>
        <v>2714</v>
      </c>
      <c r="R71" s="2395" t="s">
        <v>2374</v>
      </c>
    </row>
    <row r="72" spans="1:18" ht="15.75" thickBot="1">
      <c r="O72" s="2397" t="s">
        <v>2397</v>
      </c>
      <c r="P72" s="2403" t="s">
        <v>2398</v>
      </c>
      <c r="Q72" s="2398">
        <f ca="1">J36</f>
        <v>8.5000000000000006E-2</v>
      </c>
      <c r="R72" s="2399"/>
    </row>
    <row r="73" spans="1:18" ht="15.75" thickBot="1">
      <c r="O73" s="2397" t="s">
        <v>2380</v>
      </c>
      <c r="P73" s="2395" t="s">
        <v>2387</v>
      </c>
      <c r="Q73" s="2398">
        <f>L52</f>
        <v>0</v>
      </c>
      <c r="R73" s="2399"/>
    </row>
    <row r="74" spans="1:18" ht="20.25" thickBot="1">
      <c r="O74" s="2397" t="s">
        <v>2382</v>
      </c>
      <c r="P74" s="2395" t="s">
        <v>2388</v>
      </c>
      <c r="Q74" s="2396" t="e">
        <f ca="1">L58</f>
        <v>#DIV/0!</v>
      </c>
      <c r="R74" s="2399" t="s">
        <v>2389</v>
      </c>
    </row>
    <row r="75" spans="1:18" ht="15.75" thickBot="1">
      <c r="O75" s="2397" t="s">
        <v>2411</v>
      </c>
      <c r="P75" s="2395" t="str">
        <f>K59</f>
        <v>建设期及建筑物耐用年限下的土地年期修正系数Kn</v>
      </c>
      <c r="Q75" s="2396" t="e">
        <f ca="1">L59</f>
        <v>#DIV/0!</v>
      </c>
      <c r="R75" s="2399" t="s">
        <v>2391</v>
      </c>
    </row>
    <row r="76" spans="1:18" ht="15.75" thickBot="1">
      <c r="O76" s="2394" t="s">
        <v>2385</v>
      </c>
      <c r="P76" s="2395" t="s">
        <v>2402</v>
      </c>
      <c r="Q76" s="2396">
        <f ca="1">Q66+Q67</f>
        <v>6351</v>
      </c>
      <c r="R76" s="2399"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41" sqref="F4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35</v>
      </c>
      <c r="D1" s="3115" t="s">
        <v>3068</v>
      </c>
      <c r="E1" s="2383" t="s">
        <v>867</v>
      </c>
      <c r="F1" s="2384">
        <f ca="1">J53</f>
        <v>43.03</v>
      </c>
      <c r="G1" s="772">
        <f>MATCH(C1,'数据-取费表'!A6:A16,0)+5</f>
        <v>11</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1723</v>
      </c>
      <c r="B2" s="773">
        <f ca="1">C40+J29+L46</f>
        <v>8335</v>
      </c>
      <c r="C2" s="2053"/>
      <c r="D2" s="2051"/>
      <c r="E2" s="2052"/>
      <c r="F2" s="2052"/>
      <c r="G2" s="1587"/>
      <c r="H2" s="2053"/>
      <c r="I2" s="2053"/>
      <c r="J2" s="2053"/>
      <c r="K2" s="2054"/>
      <c r="L2" s="2053"/>
      <c r="M2" s="2053"/>
    </row>
    <row r="3" spans="1:33" ht="18" customHeight="1" thickBot="1">
      <c r="A3" s="831" t="s">
        <v>1724</v>
      </c>
      <c r="B3" s="832">
        <f ca="1">IF(ISERROR(B2*10000/F43),0,ROUND(B2*10000/F43,0))</f>
        <v>3514</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1725</v>
      </c>
      <c r="I4" s="776" t="s">
        <v>1726</v>
      </c>
      <c r="J4" s="776" t="s">
        <v>1727</v>
      </c>
      <c r="K4" s="776" t="s">
        <v>1732</v>
      </c>
      <c r="L4" s="777" t="s">
        <v>1728</v>
      </c>
      <c r="M4" s="778"/>
    </row>
    <row r="5" spans="1:33" ht="18" customHeight="1">
      <c r="A5" s="779">
        <v>1</v>
      </c>
      <c r="B5" s="780" t="s">
        <v>2450</v>
      </c>
      <c r="C5" s="55">
        <f ca="1">C6+C10+C12</f>
        <v>584</v>
      </c>
      <c r="D5" s="2492" t="s">
        <v>2453</v>
      </c>
      <c r="E5" s="2486"/>
      <c r="F5" s="2487"/>
      <c r="G5" s="1589"/>
      <c r="H5" s="779">
        <v>1</v>
      </c>
      <c r="I5" s="780" t="s">
        <v>2450</v>
      </c>
      <c r="J5" s="55">
        <f ca="1">J6+J10+J12</f>
        <v>0</v>
      </c>
      <c r="K5" s="2492" t="s">
        <v>2453</v>
      </c>
      <c r="L5" s="2486"/>
      <c r="M5" s="2487"/>
    </row>
    <row r="6" spans="1:33" ht="18" customHeight="1">
      <c r="A6" s="1826" t="s">
        <v>1821</v>
      </c>
      <c r="B6" s="3471" t="s">
        <v>2455</v>
      </c>
      <c r="C6" s="781">
        <f ca="1">ROUND(F6*F8*F7*(1-F9)/10000,0)</f>
        <v>584</v>
      </c>
      <c r="D6" s="2493" t="s">
        <v>2454</v>
      </c>
      <c r="E6" s="782" t="s">
        <v>1735</v>
      </c>
      <c r="F6" s="783">
        <f ca="1">INDIRECT("'数据-取费表'!u"&amp;$G$1)</f>
        <v>0.75</v>
      </c>
      <c r="G6" s="1589"/>
      <c r="H6" s="2500" t="s">
        <v>1821</v>
      </c>
      <c r="I6" s="3471" t="s">
        <v>2455</v>
      </c>
      <c r="J6" s="781">
        <f ca="1">ROUND(M6*M8*M7*(1-M9)/10000,0)</f>
        <v>0</v>
      </c>
      <c r="K6" s="339" t="s">
        <v>1734</v>
      </c>
      <c r="L6" s="782" t="s">
        <v>1735</v>
      </c>
      <c r="M6" s="783">
        <f ca="1">INDIRECT("'数据-取费表'!z"&amp;$G$1)</f>
        <v>0</v>
      </c>
    </row>
    <row r="7" spans="1:33" ht="18" customHeight="1">
      <c r="A7" s="2496"/>
      <c r="B7" s="3472"/>
      <c r="C7" s="786"/>
      <c r="D7" s="787"/>
      <c r="E7" s="782" t="s">
        <v>1736</v>
      </c>
      <c r="F7" s="783">
        <f ca="1">IF(INDIRECT("'数据-取费表'!ah"&amp;$G$1)="",INDIRECT("'数据-取费表'!k"&amp;$G$1),INDIRECT("'数据-取费表'!ah"&amp;$G$1))</f>
        <v>23721.78</v>
      </c>
      <c r="G7" s="1589"/>
      <c r="H7" s="2485"/>
      <c r="I7" s="3472"/>
      <c r="J7" s="786"/>
      <c r="K7" s="787"/>
      <c r="L7" s="782" t="s">
        <v>1736</v>
      </c>
      <c r="M7" s="783">
        <f ca="1">F7</f>
        <v>23721.78</v>
      </c>
    </row>
    <row r="8" spans="1:33" ht="18" customHeight="1">
      <c r="A8" s="2489"/>
      <c r="B8" s="3473"/>
      <c r="C8" s="786"/>
      <c r="D8" s="787"/>
      <c r="E8" s="782" t="s">
        <v>1737</v>
      </c>
      <c r="F8" s="783">
        <f ca="1">INDIRECT("'数据-取费表'!ai"&amp;$G$1)</f>
        <v>365</v>
      </c>
      <c r="G8" s="1589"/>
      <c r="H8" s="2485"/>
      <c r="I8" s="3473"/>
      <c r="J8" s="786"/>
      <c r="K8" s="787"/>
      <c r="L8" s="782" t="s">
        <v>1737</v>
      </c>
      <c r="M8" s="783">
        <f ca="1">INDIRECT("'数据-取费表'!ai"&amp;$G$1)</f>
        <v>365</v>
      </c>
    </row>
    <row r="9" spans="1:33" ht="18" customHeight="1">
      <c r="A9" s="784"/>
      <c r="B9" s="3474"/>
      <c r="C9" s="786"/>
      <c r="D9" s="787"/>
      <c r="E9" s="782" t="s">
        <v>1738</v>
      </c>
      <c r="F9" s="792">
        <f ca="1">INDIRECT("'数据-取费表'!w"&amp;$G$1)</f>
        <v>0.1</v>
      </c>
      <c r="G9" s="1589"/>
      <c r="H9" s="2501"/>
      <c r="I9" s="3473"/>
      <c r="J9" s="786"/>
      <c r="K9" s="787"/>
      <c r="L9" s="793" t="s">
        <v>1738</v>
      </c>
      <c r="M9" s="794">
        <f ca="1">INDIRECT("'数据-取费表'!ab"&amp;$G$1)</f>
        <v>0</v>
      </c>
    </row>
    <row r="10" spans="1:33" ht="18" customHeight="1">
      <c r="A10" s="1826" t="s">
        <v>1822</v>
      </c>
      <c r="B10" s="2490" t="s">
        <v>2451</v>
      </c>
      <c r="C10" s="797">
        <f ca="1">ROUND(IF(F10="押一",C6/12*F11,IF(F10="押二",C6/12*2*F11,IF(F10="押三",C6/12*3*F11,C11*F11))),0)</f>
        <v>0</v>
      </c>
      <c r="D10" s="2497" t="s">
        <v>2961</v>
      </c>
      <c r="E10" s="2494" t="s">
        <v>2456</v>
      </c>
      <c r="F10" s="2617" t="s">
        <v>3042</v>
      </c>
      <c r="G10" s="1589"/>
      <c r="H10" s="2557" t="s">
        <v>1822</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2448</v>
      </c>
      <c r="F11" s="794">
        <f ca="1">'数据-取费表'!B39</f>
        <v>1.4999999999999999E-2</v>
      </c>
      <c r="G11" s="1589"/>
      <c r="H11" s="2558"/>
      <c r="I11" s="2491" t="s">
        <v>2565</v>
      </c>
      <c r="J11" s="2495"/>
      <c r="K11" s="2559"/>
      <c r="L11" s="2494" t="s">
        <v>2448</v>
      </c>
      <c r="M11" s="2488">
        <f ca="1">'数据-取费表'!B39</f>
        <v>1.4999999999999999E-2</v>
      </c>
    </row>
    <row r="12" spans="1:33" ht="18" customHeight="1" thickBot="1">
      <c r="A12" s="2533" t="s">
        <v>2459</v>
      </c>
      <c r="B12" s="2534" t="s">
        <v>2452</v>
      </c>
      <c r="C12" s="2535"/>
      <c r="D12" s="2536"/>
      <c r="E12" s="2537"/>
      <c r="F12" s="2538"/>
      <c r="G12" s="1589"/>
      <c r="H12" s="2547" t="s">
        <v>2459</v>
      </c>
      <c r="I12" s="2560" t="s">
        <v>2452</v>
      </c>
      <c r="J12" s="2561"/>
      <c r="K12" s="2536"/>
      <c r="L12" s="2537"/>
      <c r="M12" s="2550"/>
    </row>
    <row r="13" spans="1:33" ht="18" customHeight="1" thickTop="1">
      <c r="A13" s="1825">
        <v>2</v>
      </c>
      <c r="B13" s="1823" t="s">
        <v>1739</v>
      </c>
      <c r="C13" s="790">
        <f ca="1">ROUND(C29*F13,0)</f>
        <v>7013</v>
      </c>
      <c r="D13" s="1830" t="s">
        <v>2293</v>
      </c>
      <c r="E13" s="1830" t="s">
        <v>1741</v>
      </c>
      <c r="F13" s="2532">
        <f ca="1">INDIRECT("'数据-取费表'!y"&amp;$G$1)</f>
        <v>1</v>
      </c>
      <c r="G13" s="1589"/>
      <c r="H13" s="1825">
        <v>2</v>
      </c>
      <c r="I13" s="1823" t="s">
        <v>1739</v>
      </c>
      <c r="J13" s="1815">
        <f ca="1">ROUND(J14*J15,0)</f>
        <v>0</v>
      </c>
      <c r="K13" s="1817" t="s">
        <v>1740</v>
      </c>
      <c r="L13" s="2548"/>
      <c r="M13" s="2549"/>
    </row>
    <row r="14" spans="1:33" ht="18" customHeight="1">
      <c r="A14" s="1645" t="s">
        <v>1828</v>
      </c>
      <c r="B14" s="782" t="s">
        <v>642</v>
      </c>
      <c r="C14" s="802">
        <f ca="1">INDIRECT("'数据-取费表'!m"&amp;$G$1)+INDIRECT("'数据-取费表'!t"&amp;$G$1)</f>
        <v>4791</v>
      </c>
      <c r="D14" s="3170" t="s">
        <v>1742</v>
      </c>
      <c r="E14" s="3169"/>
      <c r="F14" s="803"/>
      <c r="G14" s="1589"/>
      <c r="H14" s="1646" t="s">
        <v>1821</v>
      </c>
      <c r="I14" s="2227" t="s">
        <v>2817</v>
      </c>
      <c r="J14" s="53">
        <f ca="1">C29</f>
        <v>7013</v>
      </c>
      <c r="K14" s="26"/>
      <c r="L14" s="799"/>
      <c r="M14" s="800"/>
    </row>
    <row r="15" spans="1:33" s="2060" customFormat="1" ht="18" customHeight="1" thickBot="1">
      <c r="A15" s="1645" t="s">
        <v>1829</v>
      </c>
      <c r="B15" s="782" t="s">
        <v>644</v>
      </c>
      <c r="C15" s="53">
        <f ca="1">ROUND(C14*F15,0)</f>
        <v>192</v>
      </c>
      <c r="D15" s="804" t="s">
        <v>1743</v>
      </c>
      <c r="E15" s="804" t="s">
        <v>1744</v>
      </c>
      <c r="F15" s="805">
        <f>'数据-取费表'!B33</f>
        <v>0.04</v>
      </c>
      <c r="G15" s="1590"/>
      <c r="H15" s="2547" t="s">
        <v>1886</v>
      </c>
      <c r="I15" s="2542" t="s">
        <v>1741</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1830</v>
      </c>
      <c r="B16" s="782" t="s">
        <v>647</v>
      </c>
      <c r="C16" s="53">
        <f ca="1">ROUND(INDIRECT("'数据-取费表'!m"&amp;$G$1)*F16,0)</f>
        <v>0</v>
      </c>
      <c r="D16" s="782" t="s">
        <v>1743</v>
      </c>
      <c r="E16" s="782" t="s">
        <v>1744</v>
      </c>
      <c r="F16" s="807">
        <f ca="1">IF(INDIRECT("'数据-取费表'!c"&amp;$G$1)="住宅",'数据-取费表'!B34,0)</f>
        <v>0</v>
      </c>
      <c r="G16" s="1589"/>
      <c r="H16" s="1825" t="s">
        <v>1745</v>
      </c>
      <c r="I16" s="1823" t="s">
        <v>1746</v>
      </c>
      <c r="J16" s="790">
        <f ca="1">ROUND(J17+J22+J23+J24,0)</f>
        <v>702</v>
      </c>
      <c r="K16" s="1817" t="s">
        <v>1747</v>
      </c>
      <c r="L16" s="3172"/>
      <c r="M16" s="2487"/>
    </row>
    <row r="17" spans="1:33" s="2060" customFormat="1" ht="18" customHeight="1">
      <c r="A17" s="1645" t="s">
        <v>1884</v>
      </c>
      <c r="B17" s="782" t="s">
        <v>650</v>
      </c>
      <c r="C17" s="53">
        <f ca="1">ROUND(F17*(F43+INDIRECT("'数据-取费表'!S"&amp;$G$1))/10000,0)</f>
        <v>479</v>
      </c>
      <c r="D17" s="782" t="s">
        <v>1748</v>
      </c>
      <c r="E17" s="782" t="s">
        <v>1749</v>
      </c>
      <c r="F17" s="56">
        <f>'数据-取费表'!B35</f>
        <v>200</v>
      </c>
      <c r="G17" s="1590"/>
      <c r="H17" s="1646" t="s">
        <v>1821</v>
      </c>
      <c r="I17" s="782" t="s">
        <v>653</v>
      </c>
      <c r="J17" s="53">
        <f ca="1">ROUND(IF(项目基本情况!B11="自然人",J5*M17,J18+J19+J20),0)</f>
        <v>597</v>
      </c>
      <c r="K17" s="3170" t="s">
        <v>1750</v>
      </c>
      <c r="L17" s="3171"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f ca="1">ROUND(C14*F18,0)</f>
        <v>72</v>
      </c>
      <c r="D18" s="782" t="s">
        <v>1743</v>
      </c>
      <c r="E18" s="782" t="s">
        <v>1744</v>
      </c>
      <c r="F18" s="807">
        <f>'数据-取费表'!B36</f>
        <v>1.4999999999999999E-2</v>
      </c>
      <c r="G18" s="1590"/>
      <c r="H18" s="1645" t="s">
        <v>1828</v>
      </c>
      <c r="I18" s="782" t="s">
        <v>1752</v>
      </c>
      <c r="J18" s="53">
        <f ca="1">ROUND(J5*M18/1.05,1)</f>
        <v>0</v>
      </c>
      <c r="K18" s="3171"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1821</v>
      </c>
      <c r="B19" s="782" t="s">
        <v>659</v>
      </c>
      <c r="C19" s="53">
        <f ca="1">SUM(C14:C18)</f>
        <v>5534</v>
      </c>
      <c r="D19" s="259" t="s">
        <v>1754</v>
      </c>
      <c r="E19" s="3173"/>
      <c r="F19" s="56"/>
      <c r="G19" s="1589"/>
      <c r="H19" s="1645" t="s">
        <v>1829</v>
      </c>
      <c r="I19" s="782" t="s">
        <v>1755</v>
      </c>
      <c r="J19" s="53">
        <f ca="1">IF(K19="按租金收入计税",ROUND(J5*M19,1),ROUND(C29*F33*0.7,1))</f>
        <v>589.1</v>
      </c>
      <c r="K19" s="809" t="s">
        <v>662</v>
      </c>
      <c r="L19" s="782" t="s">
        <v>1744</v>
      </c>
      <c r="M19" s="807">
        <f>IF(K19="按租金收入计税",'数据-取费表'!B51,'数据-取费表'!B50)</f>
        <v>1.2E-2</v>
      </c>
    </row>
    <row r="20" spans="1:33" s="2060" customFormat="1" ht="18" customHeight="1">
      <c r="A20" s="1646" t="s">
        <v>1886</v>
      </c>
      <c r="B20" s="782" t="s">
        <v>663</v>
      </c>
      <c r="C20" s="53">
        <f ca="1">ROUND(C19*F20,0)</f>
        <v>111</v>
      </c>
      <c r="D20" s="810" t="s">
        <v>1756</v>
      </c>
      <c r="E20" s="782" t="s">
        <v>1744</v>
      </c>
      <c r="F20" s="807">
        <f>'数据-取费表'!B37</f>
        <v>0.02</v>
      </c>
      <c r="G20" s="1590"/>
      <c r="H20" s="1648" t="s">
        <v>1830</v>
      </c>
      <c r="I20" s="339" t="s">
        <v>1757</v>
      </c>
      <c r="J20" s="54">
        <f ca="1">ROUND(M20*M21/10000,0)</f>
        <v>8</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f ca="1">INDIRECT("'数据-取费表'!r"&amp;$G$1)</f>
        <v>4125.3</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3173"/>
      <c r="F22" s="56"/>
      <c r="G22" s="1589"/>
      <c r="H22" s="1646" t="s">
        <v>1886</v>
      </c>
      <c r="I22" s="782" t="s">
        <v>1765</v>
      </c>
      <c r="J22" s="53">
        <f ca="1">ROUND(J14*M22,0)</f>
        <v>105</v>
      </c>
      <c r="K22" s="3171" t="s">
        <v>1766</v>
      </c>
      <c r="L22" s="782" t="s">
        <v>1744</v>
      </c>
      <c r="M22" s="815">
        <f ca="1">INDIRECT("'数据-取费表'!Ak"&amp;$G$1)</f>
        <v>1.4999999999999999E-2</v>
      </c>
    </row>
    <row r="23" spans="1:33" s="2060" customFormat="1" ht="18" customHeight="1">
      <c r="A23" s="1645" t="s">
        <v>1828</v>
      </c>
      <c r="B23" s="782" t="s">
        <v>2431</v>
      </c>
      <c r="C23" s="53">
        <f ca="1">ROUND(IF('数据-取费表'!B22&lt;=1,(C19+C20)*F24*F23/2,(C19+C20)*(POWER((1+F24),F23/2)-1)),0)</f>
        <v>268</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f ca="1">ROUND(J13*M23,0)</f>
        <v>0</v>
      </c>
      <c r="K23" s="3171" t="s">
        <v>1768</v>
      </c>
      <c r="L23" s="782" t="s">
        <v>1744</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f ca="1">ROUND(J5*M24,0)</f>
        <v>0</v>
      </c>
      <c r="K24" s="2541" t="s">
        <v>1771</v>
      </c>
      <c r="L24" s="2542" t="s">
        <v>1744</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3173"/>
      <c r="F25" s="56"/>
      <c r="G25" s="1589"/>
      <c r="H25" s="1825" t="s">
        <v>1773</v>
      </c>
      <c r="I25" s="3006" t="s">
        <v>2814</v>
      </c>
      <c r="J25" s="790">
        <f ca="1">J5-J16</f>
        <v>-702</v>
      </c>
      <c r="K25" s="2544" t="s">
        <v>1774</v>
      </c>
      <c r="L25" s="2545"/>
      <c r="M25" s="2546"/>
    </row>
    <row r="26" spans="1:33" ht="18" customHeight="1">
      <c r="A26" s="1645" t="s">
        <v>1828</v>
      </c>
      <c r="B26" s="782" t="s">
        <v>2432</v>
      </c>
      <c r="C26" s="53">
        <f ca="1">ROUND((C19+C20)*F26,0)</f>
        <v>565</v>
      </c>
      <c r="D26" s="810" t="s">
        <v>1775</v>
      </c>
      <c r="E26" s="793" t="s">
        <v>1776</v>
      </c>
      <c r="F26" s="792">
        <f ca="1">INDIRECT("'数据-取费表'!q"&amp;$G$1)</f>
        <v>0.1</v>
      </c>
      <c r="G26" s="1589"/>
      <c r="H26" s="2498" t="s">
        <v>1777</v>
      </c>
      <c r="I26" s="2228" t="s">
        <v>2819</v>
      </c>
      <c r="J26" s="781">
        <f ca="1">IF(J5&lt;&gt;0,ROUND(J25*(1-((1+M28)/(1+M26))^M27)/(M26-M28),0),0)</f>
        <v>0</v>
      </c>
      <c r="K26" s="812" t="s">
        <v>1778</v>
      </c>
      <c r="L26" s="782" t="s">
        <v>2413</v>
      </c>
      <c r="M26" s="792">
        <f ca="1">INDIRECT("'数据-取费表'!I"&amp;$G$1)</f>
        <v>4.4999999999999998E-2</v>
      </c>
    </row>
    <row r="27" spans="1:33" ht="18" customHeight="1">
      <c r="A27" s="1645" t="s">
        <v>1829</v>
      </c>
      <c r="B27" s="782" t="s">
        <v>683</v>
      </c>
      <c r="C27" s="53">
        <f ca="1">ROUND(F21*F26,4)</f>
        <v>2E-3</v>
      </c>
      <c r="D27" s="810" t="s">
        <v>1779</v>
      </c>
      <c r="E27" s="804"/>
      <c r="F27" s="805"/>
      <c r="G27" s="1589"/>
      <c r="H27" s="2499"/>
      <c r="I27" s="785"/>
      <c r="J27" s="786"/>
      <c r="K27" s="819" t="s">
        <v>1780</v>
      </c>
      <c r="L27" s="782" t="s">
        <v>1781</v>
      </c>
      <c r="M27" s="820">
        <f ca="1">INDIRECT("'数据-取费表'!ag"&amp;$G$1)</f>
        <v>0</v>
      </c>
    </row>
    <row r="28" spans="1:33" s="2060" customFormat="1" ht="18" customHeight="1">
      <c r="A28" s="1647" t="s">
        <v>1838</v>
      </c>
      <c r="B28" s="782" t="s">
        <v>684</v>
      </c>
      <c r="C28" s="53">
        <f>ROUND(F28/(1+'数据-取费表'!C42),4)</f>
        <v>5.33E-2</v>
      </c>
      <c r="D28" s="810" t="s">
        <v>2295</v>
      </c>
      <c r="E28" s="782" t="s">
        <v>1744</v>
      </c>
      <c r="F28" s="807">
        <f>'数据-取费表'!B41</f>
        <v>5.6000000000000001E-2</v>
      </c>
      <c r="G28" s="1590"/>
      <c r="H28" s="1825"/>
      <c r="I28" s="789"/>
      <c r="J28" s="790"/>
      <c r="K28" s="814"/>
      <c r="L28" s="782" t="s">
        <v>1783</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f ca="1">ROUND((C19+C20+C23+C26)/(1-F21-C24-C27-C28),0)</f>
        <v>7013</v>
      </c>
      <c r="D29" s="2541"/>
      <c r="E29" s="2542"/>
      <c r="F29" s="2543"/>
      <c r="G29" s="1590"/>
      <c r="H29" s="821" t="s">
        <v>1784</v>
      </c>
      <c r="I29" s="822" t="s">
        <v>1785</v>
      </c>
      <c r="J29" s="823">
        <f ca="1">ROUND(J26/(1+F40)^F41,0)</f>
        <v>0</v>
      </c>
      <c r="K29" s="824" t="s">
        <v>1786</v>
      </c>
      <c r="L29" s="825"/>
      <c r="M29" s="826">
        <f ca="1">INDIRECT("'数据-取费表'!k"&amp;$G$1)</f>
        <v>23721.78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1745</v>
      </c>
      <c r="B30" s="1823" t="s">
        <v>1746</v>
      </c>
      <c r="C30" s="790">
        <f ca="1">ROUND(C31+C36+C37+C38,0)</f>
        <v>234</v>
      </c>
      <c r="D30" s="1817" t="s">
        <v>1747</v>
      </c>
      <c r="E30" s="3172"/>
      <c r="F30" s="2487"/>
      <c r="G30" s="2058"/>
      <c r="H30" s="2061"/>
      <c r="I30" s="2062"/>
      <c r="J30" s="2063"/>
      <c r="K30" s="2064"/>
      <c r="L30" s="2065"/>
      <c r="M30" s="2066"/>
    </row>
    <row r="31" spans="1:33" ht="18" customHeight="1">
      <c r="A31" s="1646" t="s">
        <v>1821</v>
      </c>
      <c r="B31" s="782" t="s">
        <v>653</v>
      </c>
      <c r="C31" s="53">
        <f ca="1">ROUND(IF(项目基本情况!B11="自然人",C5*F31,C32+C33+C34),1)</f>
        <v>109.5</v>
      </c>
      <c r="D31" s="3170" t="s">
        <v>1750</v>
      </c>
      <c r="E31" s="3171"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1752</v>
      </c>
      <c r="C32" s="53">
        <f ca="1">ROUND(C5*F32/1.05,1)</f>
        <v>31.1</v>
      </c>
      <c r="D32" s="3171" t="s">
        <v>1753</v>
      </c>
      <c r="E32" s="782" t="s">
        <v>1744</v>
      </c>
      <c r="F32" s="807">
        <f>'数据-取费表'!B41</f>
        <v>5.6000000000000001E-2</v>
      </c>
      <c r="G32" s="2058"/>
      <c r="H32" s="2067"/>
      <c r="I32" s="2068"/>
      <c r="J32" s="2069"/>
      <c r="K32" s="2070"/>
      <c r="L32" s="2071"/>
      <c r="M32" s="2072"/>
    </row>
    <row r="33" spans="1:18" ht="18" customHeight="1">
      <c r="A33" s="1645" t="s">
        <v>1829</v>
      </c>
      <c r="B33" s="782" t="s">
        <v>1755</v>
      </c>
      <c r="C33" s="53">
        <f ca="1">IF(D33="按租金收入计税",ROUND(C5*F33,1),IF(D33="按房产原值计税",ROUND(C29*F33*0.7,1),INDIRECT("'数据-取费表'!Aj"&amp;$G$1)))</f>
        <v>70.099999999999994</v>
      </c>
      <c r="D33" s="809" t="s">
        <v>3026</v>
      </c>
      <c r="E33" s="782" t="s">
        <v>1744</v>
      </c>
      <c r="F33" s="807">
        <f>IF(D33="按租金收入计税",'数据-取费表'!B51,'数据-取费表'!B50)</f>
        <v>0.12</v>
      </c>
      <c r="G33" s="2058"/>
      <c r="H33" s="2073"/>
      <c r="I33" s="2073"/>
      <c r="J33" s="2073"/>
      <c r="K33" s="2074"/>
      <c r="L33" s="2073"/>
      <c r="M33" s="2073"/>
    </row>
    <row r="34" spans="1:18" ht="18" customHeight="1">
      <c r="A34" s="1648" t="s">
        <v>1830</v>
      </c>
      <c r="B34" s="339" t="s">
        <v>1757</v>
      </c>
      <c r="C34" s="54">
        <f ca="1">ROUND(F34*F35/10000,1)</f>
        <v>8.3000000000000007</v>
      </c>
      <c r="D34" s="812" t="s">
        <v>1758</v>
      </c>
      <c r="E34" s="782" t="s">
        <v>1759</v>
      </c>
      <c r="F34" s="638">
        <f>'数据-取费表'!B52</f>
        <v>20</v>
      </c>
      <c r="G34" s="2058"/>
      <c r="H34" s="2061"/>
      <c r="I34" s="833" t="s">
        <v>1810</v>
      </c>
      <c r="J34" s="834"/>
      <c r="K34" s="2076"/>
      <c r="L34" s="2075"/>
      <c r="M34" s="2075"/>
    </row>
    <row r="35" spans="1:18" ht="18" customHeight="1">
      <c r="A35" s="813"/>
      <c r="B35" s="791"/>
      <c r="C35" s="69"/>
      <c r="D35" s="814"/>
      <c r="E35" s="782" t="s">
        <v>1763</v>
      </c>
      <c r="F35" s="783">
        <f ca="1">INDIRECT("'数据-取费表'!r"&amp;$G$1)</f>
        <v>4125.3</v>
      </c>
      <c r="G35" s="2058"/>
      <c r="H35" s="2061"/>
      <c r="I35" s="835" t="s">
        <v>1811</v>
      </c>
      <c r="J35" s="836">
        <f ca="1">ROUND(C13*J36,0)</f>
        <v>596</v>
      </c>
      <c r="K35" s="2074"/>
      <c r="L35" s="2073"/>
      <c r="M35" s="2073"/>
    </row>
    <row r="36" spans="1:18" ht="18" customHeight="1">
      <c r="A36" s="1646" t="s">
        <v>1886</v>
      </c>
      <c r="B36" s="782" t="s">
        <v>1765</v>
      </c>
      <c r="C36" s="53">
        <f ca="1">ROUND(C29*F36,1)</f>
        <v>105.2</v>
      </c>
      <c r="D36" s="3171" t="s">
        <v>1800</v>
      </c>
      <c r="E36" s="782" t="s">
        <v>1744</v>
      </c>
      <c r="F36" s="815">
        <f ca="1">INDIRECT("'数据-取费表'!Ak"&amp;$G$1)</f>
        <v>1.4999999999999999E-2</v>
      </c>
      <c r="G36" s="2058"/>
      <c r="H36" s="2073"/>
      <c r="I36" s="837" t="s">
        <v>1812</v>
      </c>
      <c r="J36" s="838">
        <f ca="1">INDIRECT("'数据-取费表'!j"&amp;$G$1)</f>
        <v>8.5000000000000006E-2</v>
      </c>
      <c r="K36" s="2078"/>
      <c r="L36" s="2073"/>
      <c r="M36" s="2073"/>
    </row>
    <row r="37" spans="1:18" ht="18" customHeight="1">
      <c r="A37" s="1646" t="s">
        <v>1887</v>
      </c>
      <c r="B37" s="782" t="s">
        <v>676</v>
      </c>
      <c r="C37" s="53">
        <f ca="1">ROUND(C13*F37,1)</f>
        <v>10.5</v>
      </c>
      <c r="D37" s="3171" t="s">
        <v>1768</v>
      </c>
      <c r="E37" s="782" t="s">
        <v>1744</v>
      </c>
      <c r="F37" s="816">
        <f ca="1">INDIRECT("'数据-取费表'!Al"&amp;$G$1)</f>
        <v>1.5E-3</v>
      </c>
      <c r="G37" s="2058"/>
      <c r="H37" s="2073"/>
      <c r="I37" s="839" t="s">
        <v>1813</v>
      </c>
      <c r="J37" s="840"/>
      <c r="K37" s="2078"/>
      <c r="L37" s="2073"/>
      <c r="M37" s="2073"/>
    </row>
    <row r="38" spans="1:18" ht="18" customHeight="1" thickBot="1">
      <c r="A38" s="2547" t="s">
        <v>1888</v>
      </c>
      <c r="B38" s="2542" t="s">
        <v>663</v>
      </c>
      <c r="C38" s="2540">
        <f ca="1">ROUND(C5*F38,1)</f>
        <v>8.8000000000000007</v>
      </c>
      <c r="D38" s="2541" t="s">
        <v>1771</v>
      </c>
      <c r="E38" s="2542" t="s">
        <v>1744</v>
      </c>
      <c r="F38" s="2538">
        <f ca="1">INDIRECT("'数据-取费表'!Am"&amp;$G$1)</f>
        <v>1.4999999999999999E-2</v>
      </c>
      <c r="G38" s="2058"/>
      <c r="H38" s="2073"/>
      <c r="I38" s="841" t="s">
        <v>1814</v>
      </c>
      <c r="J38" s="842"/>
      <c r="K38" s="2079"/>
      <c r="L38" s="2073"/>
      <c r="M38" s="2073"/>
    </row>
    <row r="39" spans="1:18" ht="24.6" customHeight="1" thickTop="1">
      <c r="A39" s="1825" t="s">
        <v>1773</v>
      </c>
      <c r="B39" s="3006" t="s">
        <v>2814</v>
      </c>
      <c r="C39" s="790">
        <f ca="1">C5-C30</f>
        <v>350</v>
      </c>
      <c r="D39" s="2544" t="s">
        <v>1774</v>
      </c>
      <c r="E39" s="2545"/>
      <c r="F39" s="2546"/>
      <c r="G39" s="2058"/>
      <c r="H39" s="2073"/>
      <c r="I39" s="835" t="s">
        <v>1815</v>
      </c>
      <c r="J39" s="843">
        <f ca="1">ROUND(J35/C39,3)</f>
        <v>1.7030000000000001</v>
      </c>
      <c r="K39" s="2079"/>
      <c r="L39" s="2073"/>
      <c r="M39" s="2073"/>
    </row>
    <row r="40" spans="1:18" ht="18" customHeight="1">
      <c r="A40" s="779" t="s">
        <v>1777</v>
      </c>
      <c r="B40" s="2228" t="s">
        <v>2297</v>
      </c>
      <c r="C40" s="781">
        <f ca="1">ROUND(C39*(1-((1+F42)/(1+F40))^F41)/(F40-F42),0)</f>
        <v>8335</v>
      </c>
      <c r="D40" s="812" t="s">
        <v>1778</v>
      </c>
      <c r="E40" s="782" t="s">
        <v>2413</v>
      </c>
      <c r="F40" s="792">
        <f ca="1">INDIRECT("'数据-取费表'!I"&amp;$G$1)</f>
        <v>4.4999999999999998E-2</v>
      </c>
      <c r="G40" s="2058"/>
      <c r="H40" s="2058"/>
      <c r="I40" s="835" t="s">
        <v>1816</v>
      </c>
      <c r="J40" s="843">
        <f ca="1">1-J39</f>
        <v>-0.70300000000000007</v>
      </c>
      <c r="K40" s="2079"/>
      <c r="L40" s="2058"/>
      <c r="M40" s="2058"/>
    </row>
    <row r="41" spans="1:18" ht="18" customHeight="1">
      <c r="A41" s="784"/>
      <c r="B41" s="785"/>
      <c r="C41" s="786"/>
      <c r="D41" s="819" t="s">
        <v>1805</v>
      </c>
      <c r="E41" s="782" t="s">
        <v>1781</v>
      </c>
      <c r="F41" s="820">
        <f ca="1">IF(INDIRECT("'数据-取费表'!af"&amp;$G$1)=0,INDIRECT("'数据-取费表'!ae"&amp;$G$1),INDIRECT("'数据-取费表'!af"&amp;$G$1))</f>
        <v>43.03</v>
      </c>
      <c r="G41" s="2058"/>
      <c r="H41" s="1984"/>
      <c r="I41" s="841" t="s">
        <v>1817</v>
      </c>
      <c r="J41" s="844"/>
      <c r="K41" s="2078"/>
      <c r="L41" s="1984"/>
      <c r="M41" s="1984"/>
    </row>
    <row r="42" spans="1:18" ht="18" customHeight="1">
      <c r="A42" s="788"/>
      <c r="B42" s="789"/>
      <c r="C42" s="790"/>
      <c r="D42" s="814"/>
      <c r="E42" s="782" t="s">
        <v>1783</v>
      </c>
      <c r="F42" s="792">
        <f ca="1">INDIRECT("'数据-取费表'!v"&amp;$G$1)</f>
        <v>1.4999999999999999E-2</v>
      </c>
      <c r="G42" s="2058"/>
      <c r="H42" s="1984"/>
      <c r="I42" s="845" t="s">
        <v>1818</v>
      </c>
      <c r="J42" s="843">
        <f ca="1">ROUND(C13/C40,3)</f>
        <v>0.84099999999999997</v>
      </c>
      <c r="K42" s="2078"/>
      <c r="L42" s="1984"/>
      <c r="M42" s="1984"/>
    </row>
    <row r="43" spans="1:18" ht="18" customHeight="1" thickBot="1">
      <c r="A43" s="821" t="s">
        <v>1784</v>
      </c>
      <c r="B43" s="822" t="s">
        <v>1807</v>
      </c>
      <c r="C43" s="823">
        <f ca="1">ROUND(C40*10000/F43,0)</f>
        <v>3514</v>
      </c>
      <c r="D43" s="824" t="s">
        <v>1808</v>
      </c>
      <c r="E43" s="825" t="s">
        <v>1809</v>
      </c>
      <c r="F43" s="826">
        <f ca="1">INDIRECT("'数据-取费表'!k"&amp;$G$1)</f>
        <v>23721.78</v>
      </c>
      <c r="G43" s="2058"/>
      <c r="H43" s="1984"/>
      <c r="I43" s="845" t="s">
        <v>1819</v>
      </c>
      <c r="J43" s="846">
        <f ca="1">1-J42</f>
        <v>0.15900000000000003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f ca="1">C67-C40</f>
        <v>-10676</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f ca="1">C48+C52+C54</f>
        <v>0</v>
      </c>
      <c r="D47" s="2081"/>
      <c r="E47" s="2081"/>
      <c r="F47" s="2081"/>
      <c r="I47" s="3140" t="s">
        <v>2338</v>
      </c>
      <c r="J47" s="2377" t="s">
        <v>3027</v>
      </c>
      <c r="K47" s="3147" t="s">
        <v>2343</v>
      </c>
      <c r="L47" s="3151">
        <f ca="1">INDIRECT("'数据-取费表'!d"&amp;$G$1)</f>
        <v>50</v>
      </c>
      <c r="M47" s="1601" t="str">
        <f>IF(ISNUMBER(FIND("住宅",C1)),"住宅","非住宅")</f>
        <v>非住宅</v>
      </c>
      <c r="O47" s="2391" t="s">
        <v>2369</v>
      </c>
      <c r="P47" s="2392" t="s">
        <v>2370</v>
      </c>
      <c r="Q47" s="2393" t="s">
        <v>2371</v>
      </c>
      <c r="R47" s="2392" t="s">
        <v>2372</v>
      </c>
    </row>
    <row r="48" spans="1:18" s="2055" customFormat="1" ht="18" customHeight="1" thickBot="1">
      <c r="A48" s="2638" t="s">
        <v>1867</v>
      </c>
      <c r="B48" s="2639" t="s">
        <v>2530</v>
      </c>
      <c r="C48" s="2370">
        <f ca="1">ROUND(F48*F50*F49*(1-F51)/10000,0)</f>
        <v>0</v>
      </c>
      <c r="D48" s="2371" t="s">
        <v>633</v>
      </c>
      <c r="E48" s="2372" t="s">
        <v>2292</v>
      </c>
      <c r="F48" s="2373"/>
      <c r="G48" s="2086"/>
      <c r="I48" s="3116" t="s">
        <v>2339</v>
      </c>
      <c r="J48" s="2378" t="s">
        <v>2344</v>
      </c>
      <c r="K48" s="3148" t="s">
        <v>2345</v>
      </c>
      <c r="L48" s="1904">
        <f ca="1">INDIRECT("'数据-取费表'!f"&amp;$G$1)</f>
        <v>45.03</v>
      </c>
      <c r="O48" s="2394" t="s">
        <v>2373</v>
      </c>
      <c r="P48" s="2395" t="s">
        <v>2399</v>
      </c>
      <c r="Q48" s="2396">
        <f ca="1">C40+J29</f>
        <v>8335</v>
      </c>
      <c r="R48" s="2395" t="s">
        <v>2374</v>
      </c>
    </row>
    <row r="49" spans="1:18" s="2055" customFormat="1" ht="18" customHeight="1" thickBot="1">
      <c r="A49" s="784"/>
      <c r="B49" s="785"/>
      <c r="C49" s="786"/>
      <c r="D49" s="787"/>
      <c r="E49" s="782" t="s">
        <v>1736</v>
      </c>
      <c r="F49" s="783">
        <f ca="1">F7</f>
        <v>23721.78</v>
      </c>
      <c r="G49" s="2086"/>
      <c r="H49" s="2089"/>
      <c r="I49" s="3116" t="s">
        <v>2340</v>
      </c>
      <c r="J49" s="2379">
        <v>2021</v>
      </c>
      <c r="K49" s="3149" t="s">
        <v>2346</v>
      </c>
      <c r="L49" s="2380"/>
      <c r="O49" s="2394" t="s">
        <v>2375</v>
      </c>
      <c r="P49" s="2395" t="s">
        <v>2400</v>
      </c>
      <c r="Q49" s="2396" t="str">
        <f ca="1">J60</f>
        <v>0</v>
      </c>
      <c r="R49" s="2395" t="s">
        <v>2376</v>
      </c>
    </row>
    <row r="50" spans="1:18" s="2055" customFormat="1" ht="18" customHeight="1" thickBot="1">
      <c r="A50" s="784"/>
      <c r="B50" s="785"/>
      <c r="C50" s="786"/>
      <c r="D50" s="787"/>
      <c r="E50" s="782" t="s">
        <v>1737</v>
      </c>
      <c r="F50" s="783">
        <f ca="1">F8</f>
        <v>365</v>
      </c>
      <c r="G50" s="2091"/>
      <c r="H50" s="2089"/>
      <c r="I50" s="3116" t="s">
        <v>2341</v>
      </c>
      <c r="J50" s="3144">
        <f>SUMPRODUCT((I63:I65=J47)*(J62:L62=J48)*(J63:L65))</f>
        <v>60</v>
      </c>
      <c r="K50" s="3149" t="s">
        <v>2347</v>
      </c>
      <c r="L50" s="2380"/>
      <c r="O50" s="2397" t="s">
        <v>2377</v>
      </c>
      <c r="P50" s="2395" t="s">
        <v>2401</v>
      </c>
      <c r="Q50" s="2396">
        <f ca="1">C29</f>
        <v>7013</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f ca="1">ROUND(-PV(INDIRECT("'数据-取费表'!h"&amp;$G$1),L48,(C39-C13*J36),0),0)</f>
        <v>-5101</v>
      </c>
      <c r="O51" s="2397" t="s">
        <v>2378</v>
      </c>
      <c r="P51" s="2395" t="s">
        <v>2379</v>
      </c>
      <c r="Q51" s="2398" t="e">
        <f ca="1">J58</f>
        <v>#VALUE!</v>
      </c>
      <c r="R51" s="2399"/>
    </row>
    <row r="52" spans="1:18" s="2055" customFormat="1" ht="18" customHeight="1" thickBot="1">
      <c r="A52" s="779" t="s">
        <v>2528</v>
      </c>
      <c r="B52" s="2490" t="s">
        <v>2451</v>
      </c>
      <c r="C52" s="797">
        <f ca="1">ROUND(IF(F52="押一",C48/12*F11,IF(F52="押二",C48/12*2*F11,IF(F52="押三",C48/12*3*F11,C53*F11))),0)</f>
        <v>0</v>
      </c>
      <c r="D52" s="2497" t="s">
        <v>2961</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f ca="1">IF(M47="住宅",IF(D1="——",MAX(J51,L48),MAX(J51,L48-'数据-取费表'!B20)),IF(D1="——",MIN(J51,L48),MIN(J51,L48-'数据-取费表'!B20)))</f>
        <v>43.03</v>
      </c>
      <c r="K53" s="3494" t="s">
        <v>2953</v>
      </c>
      <c r="L53" s="3495"/>
      <c r="O53" s="2397" t="s">
        <v>2382</v>
      </c>
      <c r="P53" s="2395" t="s">
        <v>2383</v>
      </c>
      <c r="Q53" s="2396">
        <f ca="1">J53</f>
        <v>43.03</v>
      </c>
      <c r="R53" s="2395" t="s">
        <v>2384</v>
      </c>
    </row>
    <row r="54" spans="1:18" s="2055" customFormat="1" ht="18" customHeight="1" thickBot="1">
      <c r="A54" s="2533" t="s">
        <v>2459</v>
      </c>
      <c r="B54" s="2534" t="s">
        <v>2452</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2385</v>
      </c>
      <c r="P54" s="2395" t="s">
        <v>2402</v>
      </c>
      <c r="Q54" s="2396">
        <f ca="1">Q48+Q49</f>
        <v>8335</v>
      </c>
      <c r="R54" s="2399" t="s">
        <v>2386</v>
      </c>
    </row>
    <row r="55" spans="1:18" s="2055" customFormat="1" ht="18" customHeight="1" thickTop="1" thickBot="1">
      <c r="A55" s="795">
        <v>2</v>
      </c>
      <c r="B55" s="796" t="s">
        <v>641</v>
      </c>
      <c r="C55" s="797">
        <f ca="1">C13</f>
        <v>7013</v>
      </c>
      <c r="D55" s="793"/>
      <c r="E55" s="793"/>
      <c r="F55" s="798"/>
      <c r="I55" s="3155" t="s">
        <v>2349</v>
      </c>
      <c r="J55" s="3091" t="e">
        <f ca="1">ROUND(IF(J47="钢混",J57/J50,1-(1-2%)*(J50-J57)/J50),3)</f>
        <v>#VALUE!</v>
      </c>
      <c r="K55" s="3156" t="s">
        <v>2350</v>
      </c>
      <c r="L55" s="2382"/>
      <c r="O55" s="2400" t="s">
        <v>2405</v>
      </c>
      <c r="P55" s="1589"/>
      <c r="Q55" s="1601"/>
      <c r="R55" s="1589"/>
    </row>
    <row r="56" spans="1:18" s="2055" customFormat="1" ht="42.75" customHeight="1" thickBot="1">
      <c r="A56" s="1647"/>
      <c r="B56" s="2227" t="s">
        <v>2296</v>
      </c>
      <c r="C56" s="53">
        <f ca="1">C29</f>
        <v>7013</v>
      </c>
      <c r="D56" s="3171"/>
      <c r="E56" s="782"/>
      <c r="F56" s="807"/>
      <c r="I56" s="3157" t="s">
        <v>2351</v>
      </c>
      <c r="J56" s="3167" t="s">
        <v>1676</v>
      </c>
      <c r="K56" s="3116" t="s">
        <v>2356</v>
      </c>
      <c r="L56" s="1904" t="str">
        <f ca="1">IF(L48&lt;J51,"——",L48-J51)</f>
        <v>——</v>
      </c>
      <c r="O56" s="2391" t="s">
        <v>2369</v>
      </c>
      <c r="P56" s="2392" t="s">
        <v>2370</v>
      </c>
      <c r="Q56" s="2393" t="s">
        <v>2371</v>
      </c>
      <c r="R56" s="2392" t="s">
        <v>2372</v>
      </c>
    </row>
    <row r="57" spans="1:18" s="2055" customFormat="1" ht="28.5" customHeight="1" thickBot="1">
      <c r="A57" s="795" t="s">
        <v>1745</v>
      </c>
      <c r="B57" s="796" t="s">
        <v>648</v>
      </c>
      <c r="C57" s="797">
        <f ca="1">ROUND(C58+C63+C64+C65,0)</f>
        <v>124</v>
      </c>
      <c r="D57" s="26" t="s">
        <v>1747</v>
      </c>
      <c r="E57" s="3173"/>
      <c r="F57" s="56"/>
      <c r="I57" s="3158" t="s">
        <v>2352</v>
      </c>
      <c r="J57" s="3159" t="str">
        <f ca="1">IF(OR(M47="住宅",J51&lt;L48,J56="是"),"——",J51-L48)</f>
        <v>——</v>
      </c>
      <c r="K57" s="3116" t="s">
        <v>2357</v>
      </c>
      <c r="L57" s="1904" t="str">
        <f ca="1">IF(L48&lt;J51,"——",IF(L55="比较法",L49,IF(L55="基准地价",L50,L51)))</f>
        <v>——</v>
      </c>
      <c r="O57" s="2394" t="s">
        <v>2373</v>
      </c>
      <c r="P57" s="2395" t="s">
        <v>2399</v>
      </c>
      <c r="Q57" s="2396">
        <f ca="1">C40+J29</f>
        <v>8335</v>
      </c>
      <c r="R57" s="2395" t="s">
        <v>2374</v>
      </c>
    </row>
    <row r="58" spans="1:18" s="2055" customFormat="1" ht="28.5" customHeight="1" thickBot="1">
      <c r="A58" s="1646" t="s">
        <v>1821</v>
      </c>
      <c r="B58" s="782" t="s">
        <v>653</v>
      </c>
      <c r="C58" s="53">
        <f ca="1">ROUND(IF(项目基本情况!B11="自然人",C47*F58,C59+C60+C61),1)</f>
        <v>8.3000000000000007</v>
      </c>
      <c r="D58" s="3170" t="s">
        <v>654</v>
      </c>
      <c r="E58" s="3171" t="s">
        <v>687</v>
      </c>
      <c r="F58" s="808" t="str">
        <f ca="1">IF(项目基本情况!B11="企业","",IF(INDIRECT("'数据-取费表'!c"&amp;$G$1)="住宅",5%,IF(F48*F49*F50/12/(1+'数据-取费表'!C42)&gt;20000,12%,7%)))</f>
        <v/>
      </c>
      <c r="I58" s="3158" t="s">
        <v>2353</v>
      </c>
      <c r="J58" s="3092" t="e">
        <f ca="1">IF(J55&lt;0.4,0.4,J55)</f>
        <v>#VALUE!</v>
      </c>
      <c r="K58" s="3116" t="s">
        <v>2358</v>
      </c>
      <c r="L58" s="1904" t="e">
        <f ca="1">ROUND(POWER(1+L52,L47-L48)*(POWER(1+L52,L48)-1)/(POWER(1+L52,L47)-1),4)</f>
        <v>#DIV/0!</v>
      </c>
      <c r="O58" s="2394" t="s">
        <v>2375</v>
      </c>
      <c r="P58" s="2395" t="s">
        <v>2406</v>
      </c>
      <c r="Q58" s="2396">
        <f ca="1">L60</f>
        <v>0</v>
      </c>
      <c r="R58" s="2399" t="s">
        <v>2408</v>
      </c>
    </row>
    <row r="59" spans="1:18" s="2055" customFormat="1" ht="28.5" customHeight="1" thickBot="1">
      <c r="A59" s="1645" t="s">
        <v>1828</v>
      </c>
      <c r="B59" s="782" t="s">
        <v>657</v>
      </c>
      <c r="C59" s="53">
        <f ca="1">ROUND(C47*F59/1.05,1)</f>
        <v>0</v>
      </c>
      <c r="D59" s="3171" t="s">
        <v>1753</v>
      </c>
      <c r="E59" s="782" t="s">
        <v>1744</v>
      </c>
      <c r="F59" s="807">
        <f t="shared" ref="F59:F65" si="0">F32</f>
        <v>5.6000000000000001E-2</v>
      </c>
      <c r="I59" s="3158" t="s">
        <v>2354</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2377</v>
      </c>
      <c r="P59" s="2395" t="s">
        <v>2407</v>
      </c>
      <c r="Q59" s="2396">
        <f>IF(L55="比较法",L49,IF(L55="基准地价",L50,0))</f>
        <v>0</v>
      </c>
      <c r="R59" s="2395" t="s">
        <v>2374</v>
      </c>
    </row>
    <row r="60" spans="1:18" s="2055" customFormat="1" ht="18" customHeight="1" thickBot="1">
      <c r="A60" s="1645" t="s">
        <v>1829</v>
      </c>
      <c r="B60" s="782" t="s">
        <v>1755</v>
      </c>
      <c r="C60" s="53">
        <f ca="1">IF(D60="按租金收入计税",ROUND(C47*F60,1),IF(D60="按房产原值计税",ROUND(C56*F60*0.7,1),INDIRECT("'数据-取费表'!Aj"&amp;$G$1)))</f>
        <v>0</v>
      </c>
      <c r="D60" s="3171" t="str">
        <f>D33</f>
        <v>按租金收入计税</v>
      </c>
      <c r="E60" s="782" t="s">
        <v>1744</v>
      </c>
      <c r="F60" s="807">
        <f t="shared" si="0"/>
        <v>0.12</v>
      </c>
      <c r="I60" s="3160" t="s">
        <v>2355</v>
      </c>
      <c r="J60" s="3161" t="str">
        <f ca="1">IF(OR(M47="住宅",J51&lt;L48,J56="是"),"0",ROUND(J59/(1+J52)^J53,0))</f>
        <v>0</v>
      </c>
      <c r="K60" s="3162" t="s">
        <v>2360</v>
      </c>
      <c r="L60" s="3161">
        <f ca="1">IF(OR(M47="住宅",L48&lt;J51),0,ROUND(L57*(L58/L59-1),0))</f>
        <v>0</v>
      </c>
      <c r="O60" s="2397" t="s">
        <v>2378</v>
      </c>
      <c r="P60" s="2395" t="s">
        <v>2387</v>
      </c>
      <c r="Q60" s="2398">
        <f>L52</f>
        <v>0</v>
      </c>
      <c r="R60" s="2399"/>
    </row>
    <row r="61" spans="1:18" s="2055" customFormat="1" ht="18" customHeight="1" thickBot="1">
      <c r="A61" s="1648" t="s">
        <v>1830</v>
      </c>
      <c r="B61" s="339" t="s">
        <v>665</v>
      </c>
      <c r="C61" s="54">
        <f ca="1">ROUND(F61*F62/10000,1)</f>
        <v>8.3000000000000007</v>
      </c>
      <c r="D61" s="812" t="s">
        <v>666</v>
      </c>
      <c r="E61" s="782" t="s">
        <v>667</v>
      </c>
      <c r="F61" s="638">
        <f t="shared" si="0"/>
        <v>20</v>
      </c>
      <c r="K61" s="2082"/>
      <c r="O61" s="2397" t="s">
        <v>2380</v>
      </c>
      <c r="P61" s="2395" t="s">
        <v>2388</v>
      </c>
      <c r="Q61" s="2396" t="e">
        <f ca="1">L58</f>
        <v>#DIV/0!</v>
      </c>
      <c r="R61" s="2399" t="s">
        <v>2389</v>
      </c>
    </row>
    <row r="62" spans="1:18" s="2055" customFormat="1" ht="15.75" thickBot="1">
      <c r="A62" s="813"/>
      <c r="B62" s="791"/>
      <c r="C62" s="69"/>
      <c r="D62" s="814"/>
      <c r="E62" s="782" t="s">
        <v>671</v>
      </c>
      <c r="F62" s="783">
        <f t="shared" ca="1" si="0"/>
        <v>4125.3</v>
      </c>
      <c r="I62" s="3163" t="s">
        <v>2361</v>
      </c>
      <c r="J62" s="3164" t="s">
        <v>2362</v>
      </c>
      <c r="K62" s="3164" t="s">
        <v>2363</v>
      </c>
      <c r="L62" s="3164" t="s">
        <v>2344</v>
      </c>
      <c r="M62" s="3165" t="s">
        <v>2930</v>
      </c>
      <c r="O62" s="2397" t="s">
        <v>2382</v>
      </c>
      <c r="P62" s="2395" t="str">
        <f>K59</f>
        <v>建设期及建筑物耐用年限下的土地年期修正系数Kn</v>
      </c>
      <c r="Q62" s="2396" t="e">
        <f ca="1">L59</f>
        <v>#DIV/0!</v>
      </c>
      <c r="R62" s="2399" t="s">
        <v>2391</v>
      </c>
    </row>
    <row r="63" spans="1:18" s="2055" customFormat="1" ht="15.75" thickBot="1">
      <c r="A63" s="1646" t="s">
        <v>1886</v>
      </c>
      <c r="B63" s="782" t="s">
        <v>673</v>
      </c>
      <c r="C63" s="53">
        <f ca="1">ROUND(C56*F63,1)</f>
        <v>105.2</v>
      </c>
      <c r="D63" s="3171" t="s">
        <v>1800</v>
      </c>
      <c r="E63" s="782" t="s">
        <v>1744</v>
      </c>
      <c r="F63" s="815">
        <f t="shared" ca="1" si="0"/>
        <v>1.4999999999999999E-2</v>
      </c>
      <c r="I63" s="3163" t="s">
        <v>2364</v>
      </c>
      <c r="J63" s="3164">
        <v>70</v>
      </c>
      <c r="K63" s="3164">
        <v>50</v>
      </c>
      <c r="L63" s="3164">
        <v>80</v>
      </c>
      <c r="M63" s="3166">
        <v>0.02</v>
      </c>
      <c r="O63" s="2394" t="s">
        <v>2385</v>
      </c>
      <c r="P63" s="2395" t="s">
        <v>2402</v>
      </c>
      <c r="Q63" s="2396">
        <f ca="1">Q57+Q58</f>
        <v>8335</v>
      </c>
      <c r="R63" s="2399" t="s">
        <v>2386</v>
      </c>
    </row>
    <row r="64" spans="1:18" s="2055" customFormat="1" ht="16.5" thickBot="1">
      <c r="A64" s="1646" t="s">
        <v>1887</v>
      </c>
      <c r="B64" s="782" t="s">
        <v>676</v>
      </c>
      <c r="C64" s="53">
        <f ca="1">ROUND(C55*F64,1)</f>
        <v>10.5</v>
      </c>
      <c r="D64" s="3171" t="s">
        <v>677</v>
      </c>
      <c r="E64" s="782" t="s">
        <v>1744</v>
      </c>
      <c r="F64" s="816">
        <f t="shared" ca="1" si="0"/>
        <v>1.5E-3</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f ca="1">ROUND(C47*F65,1)</f>
        <v>0</v>
      </c>
      <c r="D65" s="3171" t="s">
        <v>680</v>
      </c>
      <c r="E65" s="782" t="s">
        <v>1744</v>
      </c>
      <c r="F65" s="792">
        <f t="shared" ca="1" si="0"/>
        <v>1.4999999999999999E-2</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f ca="1">C47-C57</f>
        <v>-124</v>
      </c>
      <c r="D66" s="3170" t="s">
        <v>697</v>
      </c>
      <c r="E66" s="3168"/>
      <c r="F66" s="818"/>
      <c r="K66" s="2082"/>
      <c r="O66" s="2394" t="s">
        <v>2373</v>
      </c>
      <c r="P66" s="2395" t="s">
        <v>2399</v>
      </c>
      <c r="Q66" s="2396">
        <f ca="1">C40+J29</f>
        <v>8335</v>
      </c>
      <c r="R66" s="2395" t="s">
        <v>2374</v>
      </c>
    </row>
    <row r="67" spans="1:18" s="2055" customFormat="1" ht="20.25" thickBot="1">
      <c r="A67" s="779" t="s">
        <v>1777</v>
      </c>
      <c r="B67" s="2228" t="s">
        <v>2297</v>
      </c>
      <c r="C67" s="781">
        <f ca="1">ROUND(C66*(1-((1+F69)/(1+F67))^F68)/(F67-F69),0)</f>
        <v>-2341</v>
      </c>
      <c r="D67" s="812" t="s">
        <v>701</v>
      </c>
      <c r="E67" s="782" t="s">
        <v>702</v>
      </c>
      <c r="F67" s="792">
        <f ca="1">F40</f>
        <v>4.4999999999999998E-2</v>
      </c>
      <c r="K67" s="2082"/>
      <c r="O67" s="2394" t="s">
        <v>2375</v>
      </c>
      <c r="P67" s="2395" t="s">
        <v>2406</v>
      </c>
      <c r="Q67" s="2396">
        <f ca="1">L60</f>
        <v>0</v>
      </c>
      <c r="R67" s="2399" t="s">
        <v>2408</v>
      </c>
    </row>
    <row r="68" spans="1:18" ht="21.75" thickBot="1">
      <c r="A68" s="784"/>
      <c r="B68" s="785"/>
      <c r="C68" s="786"/>
      <c r="D68" s="819" t="s">
        <v>1805</v>
      </c>
      <c r="E68" s="782" t="s">
        <v>1781</v>
      </c>
      <c r="F68" s="820">
        <f ca="1">F41</f>
        <v>43.03</v>
      </c>
      <c r="O68" s="2397" t="s">
        <v>2377</v>
      </c>
      <c r="P68" s="2395" t="s">
        <v>2407</v>
      </c>
      <c r="Q68" s="2401">
        <f ca="1">L51</f>
        <v>-5101</v>
      </c>
      <c r="R68" s="2402" t="s">
        <v>2410</v>
      </c>
    </row>
    <row r="69" spans="1:18" ht="20.25" thickBot="1">
      <c r="A69" s="788"/>
      <c r="B69" s="789"/>
      <c r="C69" s="790"/>
      <c r="D69" s="814"/>
      <c r="E69" s="782" t="s">
        <v>707</v>
      </c>
      <c r="F69" s="2367"/>
      <c r="O69" s="2397" t="s">
        <v>2378</v>
      </c>
      <c r="P69" s="2403" t="s">
        <v>2392</v>
      </c>
      <c r="Q69" s="2396">
        <f ca="1">ROUND(Q70-Q71*Q72,0)</f>
        <v>-246</v>
      </c>
      <c r="R69" s="2399"/>
    </row>
    <row r="70" spans="1:18" ht="15.75" thickBot="1">
      <c r="A70" s="821" t="s">
        <v>1784</v>
      </c>
      <c r="B70" s="822" t="s">
        <v>1807</v>
      </c>
      <c r="C70" s="823">
        <f ca="1">ROUND(C67*10000/F70,0)</f>
        <v>-987</v>
      </c>
      <c r="D70" s="824" t="s">
        <v>1808</v>
      </c>
      <c r="E70" s="825" t="s">
        <v>1809</v>
      </c>
      <c r="F70" s="826">
        <f ca="1">F43</f>
        <v>23721.78</v>
      </c>
      <c r="O70" s="2397" t="s">
        <v>2393</v>
      </c>
      <c r="P70" s="2403" t="s">
        <v>2394</v>
      </c>
      <c r="Q70" s="2396">
        <f ca="1">C39</f>
        <v>350</v>
      </c>
      <c r="R70" s="2395" t="s">
        <v>2374</v>
      </c>
    </row>
    <row r="71" spans="1:18" ht="15.75" thickBot="1">
      <c r="O71" s="2397" t="s">
        <v>2395</v>
      </c>
      <c r="P71" s="2403" t="s">
        <v>2396</v>
      </c>
      <c r="Q71" s="2396">
        <f ca="1">C13</f>
        <v>7013</v>
      </c>
      <c r="R71" s="2395" t="s">
        <v>2374</v>
      </c>
    </row>
    <row r="72" spans="1:18" ht="15.75" thickBot="1">
      <c r="O72" s="2397" t="s">
        <v>2397</v>
      </c>
      <c r="P72" s="2403" t="s">
        <v>2398</v>
      </c>
      <c r="Q72" s="2398">
        <f ca="1">J36</f>
        <v>8.5000000000000006E-2</v>
      </c>
      <c r="R72" s="2399"/>
    </row>
    <row r="73" spans="1:18" ht="15.75" thickBot="1">
      <c r="O73" s="2397" t="s">
        <v>2380</v>
      </c>
      <c r="P73" s="2395" t="s">
        <v>2387</v>
      </c>
      <c r="Q73" s="2398">
        <f>L52</f>
        <v>0</v>
      </c>
      <c r="R73" s="2399"/>
    </row>
    <row r="74" spans="1:18" ht="20.25" thickBot="1">
      <c r="O74" s="2397" t="s">
        <v>2382</v>
      </c>
      <c r="P74" s="2395" t="s">
        <v>2388</v>
      </c>
      <c r="Q74" s="2396" t="e">
        <f ca="1">L58</f>
        <v>#DIV/0!</v>
      </c>
      <c r="R74" s="2399" t="s">
        <v>2389</v>
      </c>
    </row>
    <row r="75" spans="1:18" ht="15.75" thickBot="1">
      <c r="O75" s="2397" t="s">
        <v>2411</v>
      </c>
      <c r="P75" s="2395" t="str">
        <f>K59</f>
        <v>建设期及建筑物耐用年限下的土地年期修正系数Kn</v>
      </c>
      <c r="Q75" s="2396" t="e">
        <f ca="1">L59</f>
        <v>#DIV/0!</v>
      </c>
      <c r="R75" s="2399" t="s">
        <v>2391</v>
      </c>
    </row>
    <row r="76" spans="1:18" ht="15.75" thickBot="1">
      <c r="O76" s="2394" t="s">
        <v>2385</v>
      </c>
      <c r="P76" s="2395" t="s">
        <v>2402</v>
      </c>
      <c r="Q76" s="2396">
        <f ca="1">Q66+Q67</f>
        <v>8335</v>
      </c>
      <c r="R76" s="2399"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3" priority="6">
      <formula>$L$48&gt;$J$51</formula>
    </cfRule>
  </conditionalFormatting>
  <conditionalFormatting sqref="I55">
    <cfRule type="expression" dxfId="72" priority="7">
      <formula>$J$51&gt;$L$48</formula>
    </cfRule>
  </conditionalFormatting>
  <conditionalFormatting sqref="I60">
    <cfRule type="expression" dxfId="71" priority="5">
      <formula>$J$51&gt;$L$48</formula>
    </cfRule>
  </conditionalFormatting>
  <conditionalFormatting sqref="K60">
    <cfRule type="expression" dxfId="70" priority="4">
      <formula>$L$48&gt;$J$51</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774</v>
      </c>
      <c r="C1" s="502" t="s">
        <v>717</v>
      </c>
      <c r="D1" s="847"/>
      <c r="E1" s="504"/>
      <c r="F1" s="2803"/>
      <c r="G1" s="1598" t="s">
        <v>718</v>
      </c>
      <c r="H1" s="504"/>
      <c r="I1" s="504"/>
      <c r="J1" s="504"/>
      <c r="K1" s="505"/>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1" t="s">
        <v>464</v>
      </c>
      <c r="B2" s="848"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7" t="s">
        <v>516</v>
      </c>
      <c r="B3" s="508" t="e">
        <f>C50</f>
        <v>#DIV/0!</v>
      </c>
      <c r="C3" s="850" t="s">
        <v>719</v>
      </c>
      <c r="D3" s="849">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0" t="s">
        <v>518</v>
      </c>
      <c r="B4" s="511"/>
      <c r="C4" s="3403" t="s">
        <v>519</v>
      </c>
      <c r="D4" s="3404"/>
      <c r="E4" s="3438" t="s">
        <v>520</v>
      </c>
      <c r="F4" s="3439"/>
      <c r="G4" s="3403" t="s">
        <v>521</v>
      </c>
      <c r="H4" s="3404"/>
      <c r="I4" s="3403" t="s">
        <v>522</v>
      </c>
      <c r="J4" s="3404"/>
      <c r="K4" s="512" t="s">
        <v>523</v>
      </c>
      <c r="L4" s="2129"/>
      <c r="M4" s="2130"/>
      <c r="N4" s="2130"/>
      <c r="O4" s="2130"/>
      <c r="P4" s="3518" t="s">
        <v>524</v>
      </c>
      <c r="Q4" s="3406"/>
      <c r="R4" s="3411" t="s">
        <v>520</v>
      </c>
      <c r="S4" s="3412"/>
      <c r="T4" s="3411" t="s">
        <v>521</v>
      </c>
      <c r="U4" s="3412"/>
      <c r="V4" s="3398" t="s">
        <v>522</v>
      </c>
      <c r="W4" s="3398"/>
      <c r="X4" s="1564"/>
      <c r="Y4" s="3411" t="s">
        <v>524</v>
      </c>
      <c r="Z4" s="3412"/>
      <c r="AA4" s="3400" t="s">
        <v>520</v>
      </c>
      <c r="AB4" s="3400" t="s">
        <v>521</v>
      </c>
      <c r="AC4" s="3400" t="s">
        <v>522</v>
      </c>
    </row>
    <row r="5" spans="1:29" ht="15">
      <c r="A5" s="513"/>
      <c r="B5" s="514"/>
      <c r="C5" s="3419" t="s">
        <v>2915</v>
      </c>
      <c r="D5" s="3420"/>
      <c r="E5" s="3440" t="s">
        <v>2916</v>
      </c>
      <c r="F5" s="3441"/>
      <c r="G5" s="3419" t="s">
        <v>2917</v>
      </c>
      <c r="H5" s="3420"/>
      <c r="I5" s="3419" t="s">
        <v>2918</v>
      </c>
      <c r="J5" s="3420"/>
      <c r="K5" s="512"/>
      <c r="L5" s="2129"/>
      <c r="M5" s="2130"/>
      <c r="N5" s="2130"/>
      <c r="O5" s="2130"/>
      <c r="P5" s="3519"/>
      <c r="Q5" s="3408"/>
      <c r="R5" s="3413"/>
      <c r="S5" s="3414"/>
      <c r="T5" s="3413"/>
      <c r="U5" s="3414"/>
      <c r="V5" s="3398"/>
      <c r="W5" s="3398"/>
      <c r="X5" s="1564"/>
      <c r="Y5" s="3413"/>
      <c r="Z5" s="3414"/>
      <c r="AA5" s="3401"/>
      <c r="AB5" s="3401"/>
      <c r="AC5" s="3401"/>
    </row>
    <row r="6" spans="1:29" ht="15.75" thickBot="1">
      <c r="A6" s="515"/>
      <c r="B6" s="516"/>
      <c r="C6" s="3417" t="s">
        <v>2919</v>
      </c>
      <c r="D6" s="3418"/>
      <c r="E6" s="3436" t="s">
        <v>2919</v>
      </c>
      <c r="F6" s="3437"/>
      <c r="G6" s="3417" t="s">
        <v>2919</v>
      </c>
      <c r="H6" s="3418"/>
      <c r="I6" s="3417" t="s">
        <v>2919</v>
      </c>
      <c r="J6" s="3418"/>
      <c r="K6" s="512" t="s">
        <v>525</v>
      </c>
      <c r="L6" s="2129"/>
      <c r="M6" s="2130"/>
      <c r="N6" s="2130"/>
      <c r="O6" s="2130"/>
      <c r="P6" s="3520"/>
      <c r="Q6" s="3410"/>
      <c r="R6" s="3413"/>
      <c r="S6" s="3414"/>
      <c r="T6" s="3415"/>
      <c r="U6" s="3416"/>
      <c r="V6" s="3398"/>
      <c r="W6" s="3398"/>
      <c r="X6" s="1564"/>
      <c r="Y6" s="3415"/>
      <c r="Z6" s="3416"/>
      <c r="AA6" s="3402"/>
      <c r="AB6" s="3402"/>
      <c r="AC6" s="3402"/>
    </row>
    <row r="7" spans="1:29" s="1218" customFormat="1" ht="15.75" thickBot="1">
      <c r="A7" s="2908"/>
      <c r="B7" s="2915" t="s">
        <v>526</v>
      </c>
      <c r="C7" s="517">
        <f>'数据-取费表'!B2</f>
        <v>43447</v>
      </c>
      <c r="D7" s="518">
        <v>100</v>
      </c>
      <c r="E7" s="519"/>
      <c r="F7" s="520">
        <f>SUMIF(59:59,YEAR(E7)&amp;"-"&amp;MONTH(E7),60:60)</f>
        <v>0</v>
      </c>
      <c r="G7" s="519"/>
      <c r="H7" s="518">
        <f>SUMIF(59:59,YEAR(G7)&amp;"-"&amp;MONTH(G7),60:60)</f>
        <v>0</v>
      </c>
      <c r="I7" s="519"/>
      <c r="J7" s="518">
        <f>SUMIF(59:59,YEAR(I7)&amp;"-"&amp;MONTH(I7),60:60)</f>
        <v>0</v>
      </c>
      <c r="K7" s="522"/>
      <c r="L7" s="2131"/>
      <c r="M7" s="2132"/>
      <c r="N7" s="2132"/>
      <c r="O7" s="2132"/>
      <c r="P7" s="3431" t="s">
        <v>527</v>
      </c>
      <c r="Q7" s="3431"/>
      <c r="R7" s="1565" t="s">
        <v>8</v>
      </c>
      <c r="S7" s="1566">
        <f t="shared" ref="S7:S15" si="0">F7</f>
        <v>0</v>
      </c>
      <c r="T7" s="1565" t="s">
        <v>8</v>
      </c>
      <c r="U7" s="1566">
        <f t="shared" ref="U7:U15" si="1">H7</f>
        <v>0</v>
      </c>
      <c r="V7" s="1565" t="s">
        <v>8</v>
      </c>
      <c r="W7" s="1566">
        <f t="shared" ref="W7:W15" si="2">J7</f>
        <v>0</v>
      </c>
      <c r="X7" s="1567"/>
      <c r="Y7" s="3429" t="s">
        <v>527</v>
      </c>
      <c r="Z7" s="3430"/>
      <c r="AA7" s="1568" t="e">
        <f>D7/F7</f>
        <v>#DIV/0!</v>
      </c>
      <c r="AB7" s="1568" t="e">
        <f>D7/H7</f>
        <v>#DIV/0!</v>
      </c>
      <c r="AC7" s="1568" t="e">
        <f>D7/J7</f>
        <v>#DIV/0!</v>
      </c>
    </row>
    <row r="8" spans="1:29" s="1218" customFormat="1" ht="15.75" thickBot="1">
      <c r="A8" s="2909"/>
      <c r="B8" s="2916" t="s">
        <v>528</v>
      </c>
      <c r="C8" s="523" t="s">
        <v>573</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431" t="s">
        <v>530</v>
      </c>
      <c r="Q8" s="3430"/>
      <c r="R8" s="1565" t="s">
        <v>8</v>
      </c>
      <c r="S8" s="1566">
        <f t="shared" si="0"/>
        <v>0</v>
      </c>
      <c r="T8" s="1565" t="s">
        <v>8</v>
      </c>
      <c r="U8" s="1566">
        <f t="shared" si="1"/>
        <v>0</v>
      </c>
      <c r="V8" s="1565" t="s">
        <v>8</v>
      </c>
      <c r="W8" s="1566">
        <f t="shared" si="2"/>
        <v>0</v>
      </c>
      <c r="X8" s="1567"/>
      <c r="Y8" s="3429" t="s">
        <v>530</v>
      </c>
      <c r="Z8" s="3430"/>
      <c r="AA8" s="1568" t="e">
        <f t="shared" ref="AA8:AA47" si="3">D8/F8</f>
        <v>#DIV/0!</v>
      </c>
      <c r="AB8" s="1568" t="e">
        <f t="shared" ref="AB8:AB47" si="4">D8/H8</f>
        <v>#DIV/0!</v>
      </c>
      <c r="AC8" s="1568" t="e">
        <f t="shared" ref="AC8:AC47" si="5">D8/J8</f>
        <v>#DIV/0!</v>
      </c>
    </row>
    <row r="9" spans="1:29" s="1218" customFormat="1" ht="15">
      <c r="A9" s="2910"/>
      <c r="B9" s="2917" t="s">
        <v>2748</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397" t="s">
        <v>532</v>
      </c>
      <c r="Q9" s="1149" t="str">
        <f t="shared" ref="Q9:Q15" si="6">B9</f>
        <v>用途</v>
      </c>
      <c r="R9" s="1565" t="s">
        <v>8</v>
      </c>
      <c r="S9" s="1566">
        <f t="shared" si="0"/>
        <v>100</v>
      </c>
      <c r="T9" s="1565" t="s">
        <v>8</v>
      </c>
      <c r="U9" s="1566">
        <f t="shared" si="1"/>
        <v>100</v>
      </c>
      <c r="V9" s="1565" t="s">
        <v>8</v>
      </c>
      <c r="W9" s="1566">
        <f t="shared" si="2"/>
        <v>100</v>
      </c>
      <c r="X9" s="1567"/>
      <c r="Y9" s="3343" t="s">
        <v>533</v>
      </c>
      <c r="Z9" s="1148" t="str">
        <f t="shared" ref="Z9:Z15" si="7">Q9</f>
        <v>用途</v>
      </c>
      <c r="AA9" s="1568">
        <f t="shared" si="3"/>
        <v>1</v>
      </c>
      <c r="AB9" s="1568">
        <f t="shared" si="4"/>
        <v>1</v>
      </c>
      <c r="AC9" s="1568">
        <f t="shared" si="5"/>
        <v>1</v>
      </c>
    </row>
    <row r="10" spans="1:29" s="1336" customFormat="1" ht="27">
      <c r="A10" s="2911"/>
      <c r="B10" s="2916" t="s">
        <v>2749</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397"/>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26"/>
      <c r="F12" s="253">
        <f>SUMIF(71:71,E12,72:72)-SUMIF(71:71,C12,72:72)+100</f>
        <v>100</v>
      </c>
      <c r="G12" s="908"/>
      <c r="H12" s="253">
        <f>SUMIF(71:71,G12,72:72)-SUMIF(71:71,C12,72:72)+100</f>
        <v>100</v>
      </c>
      <c r="I12" s="526"/>
      <c r="J12" s="253">
        <f>SUMIF(71:71,I12,72:72)-SUMIF(71:71,C12,72:72)+100</f>
        <v>100</v>
      </c>
      <c r="K12" s="579"/>
      <c r="L12" s="2131"/>
      <c r="M12" s="2132"/>
      <c r="N12" s="2132"/>
      <c r="O12" s="2132"/>
      <c r="P12" s="3397"/>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7"/>
      <c r="D13" s="538">
        <v>100</v>
      </c>
      <c r="E13" s="526"/>
      <c r="F13" s="253">
        <f>SUMIF(73:73,E13,74:74)-SUMIF(73:73,C13,74:74)+100</f>
        <v>100</v>
      </c>
      <c r="G13" s="908"/>
      <c r="H13" s="538">
        <f>SUMIF(73:73,G13,74:74)-SUMIF(73:73,C13,74:74)+100</f>
        <v>100</v>
      </c>
      <c r="I13" s="526"/>
      <c r="J13" s="538">
        <f>SUMIF(73:73,I13,74:74)-SUMIF(73:73,C13,74:74)+100</f>
        <v>100</v>
      </c>
      <c r="K13" s="579"/>
      <c r="L13" s="2138"/>
      <c r="M13" s="2130"/>
      <c r="N13" s="2130"/>
      <c r="O13" s="2130"/>
      <c r="P13" s="3397"/>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3"/>
      <c r="D14" s="544">
        <v>100</v>
      </c>
      <c r="E14" s="909"/>
      <c r="F14" s="544">
        <f>SUMIF(75:75,E14,76:76)-SUMIF(75:75,C14,76:76)+100</f>
        <v>100</v>
      </c>
      <c r="G14" s="908"/>
      <c r="H14" s="544">
        <f>SUMIF(75:75,G14,76:76)-SUMIF(75:75,C14,76:76)+100</f>
        <v>100</v>
      </c>
      <c r="I14" s="526"/>
      <c r="J14" s="544">
        <f>SUMIF(75:75,I14,76:76)-SUMIF(75:75,C14,76:76)+100</f>
        <v>100</v>
      </c>
      <c r="K14" s="579"/>
      <c r="L14" s="2138"/>
      <c r="M14" s="2130"/>
      <c r="N14" s="2130"/>
      <c r="O14" s="2130"/>
      <c r="P14" s="3397"/>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15">
      <c r="A15" s="2906" t="s">
        <v>2746</v>
      </c>
      <c r="B15" s="545" t="s">
        <v>539</v>
      </c>
      <c r="C15" s="546" t="str">
        <f>估价对象房地状况!C5</f>
        <v>——</v>
      </c>
      <c r="D15" s="547">
        <v>100</v>
      </c>
      <c r="E15" s="550"/>
      <c r="F15" s="547">
        <f>SUMIF(77:77,E16,78:78)-SUMIF(77:77,C16,78:78)+100</f>
        <v>100</v>
      </c>
      <c r="G15" s="548"/>
      <c r="H15" s="547">
        <f>SUMIF(77:77,G16,78:78)-SUMIF(77:77,C16,78:78)+100</f>
        <v>100</v>
      </c>
      <c r="I15" s="548"/>
      <c r="J15" s="547">
        <f>SUMIF(77:77,I16,78:78)-SUMIF(77:77,C16,78:78)+100</f>
        <v>100</v>
      </c>
      <c r="K15" s="896"/>
      <c r="L15" s="2138"/>
      <c r="M15" s="2130"/>
      <c r="N15" s="2130"/>
      <c r="O15" s="2130"/>
      <c r="P15" s="3432" t="s">
        <v>537</v>
      </c>
      <c r="Q15" s="1569" t="str">
        <f t="shared" si="6"/>
        <v>办公集聚程度</v>
      </c>
      <c r="R15" s="1570" t="s">
        <v>8</v>
      </c>
      <c r="S15" s="1571">
        <f t="shared" si="0"/>
        <v>100</v>
      </c>
      <c r="T15" s="1570" t="s">
        <v>8</v>
      </c>
      <c r="U15" s="1571">
        <f t="shared" si="1"/>
        <v>100</v>
      </c>
      <c r="V15" s="1570" t="s">
        <v>8</v>
      </c>
      <c r="W15" s="1571">
        <f t="shared" si="2"/>
        <v>100</v>
      </c>
      <c r="X15" s="1564"/>
      <c r="Y15" s="3432" t="s">
        <v>537</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8"/>
      <c r="M16" s="2130"/>
      <c r="N16" s="2130"/>
      <c r="O16" s="2130"/>
      <c r="P16" s="3433"/>
      <c r="Q16" s="1569"/>
      <c r="R16" s="1570"/>
      <c r="S16" s="1571"/>
      <c r="T16" s="1570"/>
      <c r="U16" s="1571"/>
      <c r="V16" s="1570"/>
      <c r="W16" s="1571"/>
      <c r="X16" s="1564"/>
      <c r="Y16" s="3433"/>
      <c r="Z16" s="1572"/>
      <c r="AA16" s="1573">
        <v>1</v>
      </c>
      <c r="AB16" s="1573">
        <v>1</v>
      </c>
      <c r="AC16" s="1573">
        <v>1</v>
      </c>
    </row>
    <row r="17" spans="1:29" ht="114">
      <c r="A17" s="530"/>
      <c r="B17" s="558" t="s">
        <v>295</v>
      </c>
      <c r="C17" s="571" t="str">
        <f>估价对象房地状况!C6</f>
        <v>周边有4路、45路、98路等多条公交线路，邻近东二环北路，路网密集度一般、停车较便捷，综合评价交通便捷度较好。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8"/>
      <c r="M17" s="2130"/>
      <c r="N17" s="2130"/>
      <c r="O17" s="2130"/>
      <c r="P17" s="3433"/>
      <c r="Q17" s="1569" t="str">
        <f>B17</f>
        <v>交通便捷度</v>
      </c>
      <c r="R17" s="1570" t="s">
        <v>8</v>
      </c>
      <c r="S17" s="1571">
        <f>F17</f>
        <v>100</v>
      </c>
      <c r="T17" s="1570" t="s">
        <v>8</v>
      </c>
      <c r="U17" s="1571">
        <f>H17</f>
        <v>100</v>
      </c>
      <c r="V17" s="1570" t="s">
        <v>8</v>
      </c>
      <c r="W17" s="1571">
        <f>J17</f>
        <v>100</v>
      </c>
      <c r="X17" s="1564"/>
      <c r="Y17" s="3433"/>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8"/>
      <c r="M18" s="2130"/>
      <c r="N18" s="2130"/>
      <c r="O18" s="2130"/>
      <c r="P18" s="3433"/>
      <c r="Q18" s="1569"/>
      <c r="R18" s="1570"/>
      <c r="S18" s="1571"/>
      <c r="T18" s="1570"/>
      <c r="U18" s="1571"/>
      <c r="V18" s="1570"/>
      <c r="W18" s="1571"/>
      <c r="X18" s="1564"/>
      <c r="Y18" s="3433"/>
      <c r="Z18" s="1572"/>
      <c r="AA18" s="1573">
        <v>1</v>
      </c>
      <c r="AB18" s="1573">
        <v>1</v>
      </c>
      <c r="AC18" s="1573">
        <v>1</v>
      </c>
    </row>
    <row r="19" spans="1:29" ht="42.75">
      <c r="A19" s="530"/>
      <c r="B19" s="2599" t="s">
        <v>2538</v>
      </c>
      <c r="C19" s="571" t="str">
        <f>估价对象房地状况!C7</f>
        <v>所在区域公共配套设施齐备情况较好。</v>
      </c>
      <c r="D19" s="563">
        <v>100</v>
      </c>
      <c r="E19" s="570"/>
      <c r="F19" s="563">
        <f>SUMIF(81:81,E20,82:82)-SUMIF(81:81,C20,82:82)+100</f>
        <v>100</v>
      </c>
      <c r="G19" s="568"/>
      <c r="H19" s="557">
        <f>SUMIF(81:81,G20,82:82)-SUMIF(81:81,C20,82:82)+100</f>
        <v>100</v>
      </c>
      <c r="I19" s="568"/>
      <c r="J19" s="557">
        <f>SUMIF(81:81,I20,82:82)-SUMIF(81:81,C20,82:82)+100</f>
        <v>100</v>
      </c>
      <c r="K19" s="896"/>
      <c r="L19" s="2138"/>
      <c r="M19" s="2130"/>
      <c r="N19" s="2130"/>
      <c r="O19" s="2130"/>
      <c r="P19" s="3433"/>
      <c r="Q19" s="1569" t="str">
        <f>B19</f>
        <v>公共配套设施</v>
      </c>
      <c r="R19" s="1570" t="s">
        <v>8</v>
      </c>
      <c r="S19" s="1571">
        <f>F19</f>
        <v>100</v>
      </c>
      <c r="T19" s="1570" t="s">
        <v>8</v>
      </c>
      <c r="U19" s="1571">
        <f>H19</f>
        <v>100</v>
      </c>
      <c r="V19" s="1570" t="s">
        <v>8</v>
      </c>
      <c r="W19" s="1571">
        <f>J19</f>
        <v>100</v>
      </c>
      <c r="X19" s="1564"/>
      <c r="Y19" s="3433"/>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8"/>
      <c r="M20" s="2130"/>
      <c r="N20" s="2130"/>
      <c r="O20" s="2130"/>
      <c r="P20" s="3433"/>
      <c r="Q20" s="1569"/>
      <c r="R20" s="1570"/>
      <c r="S20" s="1571"/>
      <c r="T20" s="1570"/>
      <c r="U20" s="1571"/>
      <c r="V20" s="1570"/>
      <c r="W20" s="1571"/>
      <c r="X20" s="1564"/>
      <c r="Y20" s="3433"/>
      <c r="Z20" s="1572"/>
      <c r="AA20" s="1573">
        <v>1</v>
      </c>
      <c r="AB20" s="1573">
        <v>1</v>
      </c>
      <c r="AC20" s="1573">
        <v>1</v>
      </c>
    </row>
    <row r="21" spans="1:29" ht="42.75">
      <c r="A21" s="530"/>
      <c r="B21" s="2587" t="s">
        <v>2550</v>
      </c>
      <c r="C21" s="571" t="str">
        <f>估价对象房地状况!C8</f>
        <v>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6"/>
      <c r="L21" s="2138"/>
      <c r="M21" s="2130"/>
      <c r="N21" s="2130"/>
      <c r="O21" s="2130"/>
      <c r="P21" s="3433"/>
      <c r="Q21" s="2575" t="str">
        <f>B21</f>
        <v>基础设施水平</v>
      </c>
      <c r="R21" s="1570" t="s">
        <v>8</v>
      </c>
      <c r="S21" s="1571">
        <f>F21</f>
        <v>100</v>
      </c>
      <c r="T21" s="1570" t="s">
        <v>8</v>
      </c>
      <c r="U21" s="1571">
        <f>H21</f>
        <v>100</v>
      </c>
      <c r="V21" s="1570" t="s">
        <v>8</v>
      </c>
      <c r="W21" s="1571">
        <f>J21</f>
        <v>100</v>
      </c>
      <c r="X21" s="2577"/>
      <c r="Y21" s="3433"/>
      <c r="Z21" s="2576"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8"/>
      <c r="L22" s="2138"/>
      <c r="M22" s="2130"/>
      <c r="N22" s="2130"/>
      <c r="O22" s="2130"/>
      <c r="P22" s="3433"/>
      <c r="Q22" s="2575"/>
      <c r="R22" s="1570"/>
      <c r="S22" s="1571"/>
      <c r="T22" s="1570"/>
      <c r="U22" s="1571"/>
      <c r="V22" s="1570"/>
      <c r="W22" s="1571"/>
      <c r="X22" s="2577"/>
      <c r="Y22" s="3433"/>
      <c r="Z22" s="2576"/>
      <c r="AA22" s="1573">
        <v>1</v>
      </c>
      <c r="AB22" s="1573">
        <v>1</v>
      </c>
      <c r="AC22" s="1573">
        <v>1</v>
      </c>
    </row>
    <row r="23" spans="1:29" ht="99.75">
      <c r="A23" s="530"/>
      <c r="B23" s="558" t="s">
        <v>775</v>
      </c>
      <c r="C23" s="571" t="str">
        <f>估价对象房地状况!C9</f>
        <v>所在区域有三角河公园，自然环境一般；无博物馆等人文设施，人文环境差；综合评价环境状况较差。</v>
      </c>
      <c r="D23" s="557">
        <v>100</v>
      </c>
      <c r="E23" s="562"/>
      <c r="F23" s="557">
        <f>SUMIF(85:85,E24,86:86)-SUMIF(85:85,C24,86:86)+100</f>
        <v>100</v>
      </c>
      <c r="G23" s="560"/>
      <c r="H23" s="557">
        <f>SUMIF(85:85,G24,86:86)-SUMIF(85:85,C24,86:86)+100</f>
        <v>100</v>
      </c>
      <c r="I23" s="560"/>
      <c r="J23" s="557">
        <f>SUMIF(85:85,I24,86:86)-SUMIF(85:85,C24,86:86)+100</f>
        <v>100</v>
      </c>
      <c r="K23" s="896"/>
      <c r="L23" s="2138"/>
      <c r="M23" s="2130"/>
      <c r="N23" s="2130"/>
      <c r="O23" s="2130"/>
      <c r="P23" s="3433"/>
      <c r="Q23" s="1569" t="str">
        <f>B23</f>
        <v>环境质量</v>
      </c>
      <c r="R23" s="1570" t="s">
        <v>8</v>
      </c>
      <c r="S23" s="1571">
        <f>F23</f>
        <v>100</v>
      </c>
      <c r="T23" s="1570" t="s">
        <v>8</v>
      </c>
      <c r="U23" s="1571">
        <f>H23</f>
        <v>100</v>
      </c>
      <c r="V23" s="1570" t="s">
        <v>8</v>
      </c>
      <c r="W23" s="1571">
        <f>J23</f>
        <v>100</v>
      </c>
      <c r="X23" s="1564"/>
      <c r="Y23" s="3433"/>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8"/>
      <c r="M24" s="2130"/>
      <c r="N24" s="2130"/>
      <c r="O24" s="2130"/>
      <c r="P24" s="3433"/>
      <c r="Q24" s="1569"/>
      <c r="R24" s="1570"/>
      <c r="S24" s="1571"/>
      <c r="T24" s="1570"/>
      <c r="U24" s="1571"/>
      <c r="V24" s="1570"/>
      <c r="W24" s="1571"/>
      <c r="X24" s="1564"/>
      <c r="Y24" s="3433"/>
      <c r="Z24" s="1572"/>
      <c r="AA24" s="1573">
        <v>1</v>
      </c>
      <c r="AB24" s="1573">
        <v>1</v>
      </c>
      <c r="AC24" s="1573">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38"/>
      <c r="M25" s="2130"/>
      <c r="N25" s="2130"/>
      <c r="O25" s="2130"/>
      <c r="P25" s="3433"/>
      <c r="Q25" s="1569" t="str">
        <f>B25</f>
        <v>毗邻道路的类型与等级</v>
      </c>
      <c r="R25" s="1570" t="s">
        <v>8</v>
      </c>
      <c r="S25" s="1571">
        <f>F25</f>
        <v>100</v>
      </c>
      <c r="T25" s="1570" t="s">
        <v>8</v>
      </c>
      <c r="U25" s="1571">
        <f>H25</f>
        <v>100</v>
      </c>
      <c r="V25" s="1570" t="s">
        <v>8</v>
      </c>
      <c r="W25" s="1571">
        <f>J25</f>
        <v>100</v>
      </c>
      <c r="X25" s="1564"/>
      <c r="Y25" s="3433"/>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8"/>
      <c r="M26" s="2130"/>
      <c r="N26" s="2130"/>
      <c r="O26" s="2130"/>
      <c r="P26" s="3433"/>
      <c r="Q26" s="1569"/>
      <c r="R26" s="1570"/>
      <c r="S26" s="1571"/>
      <c r="T26" s="1570"/>
      <c r="U26" s="1571"/>
      <c r="V26" s="1570"/>
      <c r="W26" s="1571"/>
      <c r="X26" s="1564"/>
      <c r="Y26" s="3433"/>
      <c r="Z26" s="1572"/>
      <c r="AA26" s="1573">
        <v>1</v>
      </c>
      <c r="AB26" s="1573">
        <v>1</v>
      </c>
      <c r="AC26" s="1573">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433"/>
      <c r="Q27" s="1569" t="str">
        <f t="shared" ref="Q27:Q47" si="11">B27</f>
        <v>楼层</v>
      </c>
      <c r="R27" s="1570" t="s">
        <v>8</v>
      </c>
      <c r="S27" s="1571">
        <f>F27</f>
        <v>100</v>
      </c>
      <c r="T27" s="1570" t="s">
        <v>8</v>
      </c>
      <c r="U27" s="1571">
        <f>H27</f>
        <v>100</v>
      </c>
      <c r="V27" s="1570" t="s">
        <v>8</v>
      </c>
      <c r="W27" s="1571">
        <f>J27</f>
        <v>100</v>
      </c>
      <c r="X27" s="1564"/>
      <c r="Y27" s="3433"/>
      <c r="Z27" s="1572" t="str">
        <f>Q27</f>
        <v>楼层</v>
      </c>
      <c r="AA27" s="1573">
        <f t="shared" si="3"/>
        <v>1</v>
      </c>
      <c r="AB27" s="1573">
        <f t="shared" si="4"/>
        <v>1</v>
      </c>
      <c r="AC27" s="1573">
        <f t="shared" si="5"/>
        <v>1</v>
      </c>
    </row>
    <row r="28" spans="1:29" s="1218"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31"/>
      <c r="M28" s="2132"/>
      <c r="N28" s="2132"/>
      <c r="O28" s="2132"/>
      <c r="P28" s="3433"/>
      <c r="Q28" s="1149" t="str">
        <f t="shared" si="11"/>
        <v>朝向</v>
      </c>
      <c r="R28" s="1565" t="s">
        <v>8</v>
      </c>
      <c r="S28" s="1566">
        <f>F28</f>
        <v>100</v>
      </c>
      <c r="T28" s="1565" t="s">
        <v>8</v>
      </c>
      <c r="U28" s="1566">
        <f>H28</f>
        <v>100</v>
      </c>
      <c r="V28" s="1565" t="s">
        <v>8</v>
      </c>
      <c r="W28" s="1566">
        <f>J28</f>
        <v>100</v>
      </c>
      <c r="X28" s="1567"/>
      <c r="Y28" s="3433"/>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8"/>
      <c r="M29" s="2130"/>
      <c r="N29" s="2130"/>
      <c r="O29" s="2130"/>
      <c r="P29" s="3433"/>
      <c r="Q29" s="1569">
        <f t="shared" si="11"/>
        <v>111</v>
      </c>
      <c r="R29" s="1570" t="s">
        <v>8</v>
      </c>
      <c r="S29" s="1571">
        <f t="shared" ref="S29:S47" si="12">F29</f>
        <v>100</v>
      </c>
      <c r="T29" s="1570" t="s">
        <v>8</v>
      </c>
      <c r="U29" s="1571">
        <f t="shared" ref="U29:U47" si="13">H29</f>
        <v>100</v>
      </c>
      <c r="V29" s="1570" t="s">
        <v>8</v>
      </c>
      <c r="W29" s="1571">
        <f t="shared" ref="W29:W47" si="14">J29</f>
        <v>100</v>
      </c>
      <c r="X29" s="1564"/>
      <c r="Y29" s="3433"/>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8"/>
      <c r="M30" s="2130"/>
      <c r="N30" s="2130"/>
      <c r="O30" s="2130"/>
      <c r="P30" s="3433"/>
      <c r="Q30" s="1569">
        <f t="shared" si="11"/>
        <v>111</v>
      </c>
      <c r="R30" s="1570" t="s">
        <v>8</v>
      </c>
      <c r="S30" s="1571">
        <f t="shared" si="12"/>
        <v>100</v>
      </c>
      <c r="T30" s="1570" t="s">
        <v>8</v>
      </c>
      <c r="U30" s="1571">
        <f t="shared" si="13"/>
        <v>100</v>
      </c>
      <c r="V30" s="1570" t="s">
        <v>8</v>
      </c>
      <c r="W30" s="1571">
        <f t="shared" si="14"/>
        <v>100</v>
      </c>
      <c r="X30" s="1564"/>
      <c r="Y30" s="3433"/>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8"/>
      <c r="M31" s="2130"/>
      <c r="N31" s="2130"/>
      <c r="O31" s="2130"/>
      <c r="P31" s="3433"/>
      <c r="Q31" s="1569">
        <f t="shared" si="11"/>
        <v>111</v>
      </c>
      <c r="R31" s="1570" t="s">
        <v>8</v>
      </c>
      <c r="S31" s="1571">
        <f t="shared" si="12"/>
        <v>100</v>
      </c>
      <c r="T31" s="1570" t="s">
        <v>8</v>
      </c>
      <c r="U31" s="1571">
        <f t="shared" si="13"/>
        <v>100</v>
      </c>
      <c r="V31" s="1570" t="s">
        <v>8</v>
      </c>
      <c r="W31" s="1571">
        <f t="shared" si="14"/>
        <v>100</v>
      </c>
      <c r="X31" s="1564"/>
      <c r="Y31" s="3433"/>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8"/>
      <c r="M32" s="2130"/>
      <c r="N32" s="2130"/>
      <c r="O32" s="2130"/>
      <c r="P32" s="3433"/>
      <c r="Q32" s="1569">
        <f t="shared" si="11"/>
        <v>111</v>
      </c>
      <c r="R32" s="1570" t="s">
        <v>8</v>
      </c>
      <c r="S32" s="1571">
        <f t="shared" si="12"/>
        <v>100</v>
      </c>
      <c r="T32" s="1570" t="s">
        <v>8</v>
      </c>
      <c r="U32" s="1571">
        <f t="shared" si="13"/>
        <v>100</v>
      </c>
      <c r="V32" s="1570" t="s">
        <v>8</v>
      </c>
      <c r="W32" s="1571">
        <f t="shared" si="14"/>
        <v>100</v>
      </c>
      <c r="X32" s="1564"/>
      <c r="Y32" s="3433"/>
      <c r="Z32" s="1572">
        <f t="shared" si="15"/>
        <v>111</v>
      </c>
      <c r="AA32" s="1573">
        <f t="shared" si="3"/>
        <v>1</v>
      </c>
      <c r="AB32" s="1573">
        <f t="shared" si="4"/>
        <v>1</v>
      </c>
      <c r="AC32" s="1573">
        <f t="shared" si="5"/>
        <v>1</v>
      </c>
    </row>
    <row r="33" spans="1:29" ht="15">
      <c r="A33" s="2903" t="s">
        <v>2747</v>
      </c>
      <c r="B33" s="170"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8"/>
      <c r="M33" s="2130"/>
      <c r="N33" s="2130"/>
      <c r="O33" s="2130"/>
      <c r="P33" s="3434" t="s">
        <v>547</v>
      </c>
      <c r="Q33" s="1569" t="str">
        <f t="shared" si="11"/>
        <v>建筑类型</v>
      </c>
      <c r="R33" s="1570" t="s">
        <v>8</v>
      </c>
      <c r="S33" s="1571">
        <f t="shared" si="12"/>
        <v>100</v>
      </c>
      <c r="T33" s="1570" t="s">
        <v>8</v>
      </c>
      <c r="U33" s="1571">
        <f t="shared" si="13"/>
        <v>100</v>
      </c>
      <c r="V33" s="1570" t="s">
        <v>8</v>
      </c>
      <c r="W33" s="1571">
        <f t="shared" si="14"/>
        <v>100</v>
      </c>
      <c r="X33" s="1564"/>
      <c r="Y33" s="3435" t="s">
        <v>547</v>
      </c>
      <c r="Z33" s="1572" t="str">
        <f t="shared" si="15"/>
        <v>建筑类型</v>
      </c>
      <c r="AA33" s="1573">
        <f t="shared" si="3"/>
        <v>1</v>
      </c>
      <c r="AB33" s="1573">
        <f t="shared" si="4"/>
        <v>1</v>
      </c>
      <c r="AC33" s="1573">
        <f t="shared" si="5"/>
        <v>1</v>
      </c>
    </row>
    <row r="34" spans="1:29" s="1337"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435"/>
      <c r="Q34" s="1602" t="str">
        <f t="shared" si="11"/>
        <v>项目建筑规模</v>
      </c>
      <c r="R34" s="1574" t="s">
        <v>8</v>
      </c>
      <c r="S34" s="1575" t="e">
        <f t="shared" si="12"/>
        <v>#N/A</v>
      </c>
      <c r="T34" s="1574" t="s">
        <v>8</v>
      </c>
      <c r="U34" s="1575" t="e">
        <f t="shared" si="13"/>
        <v>#N/A</v>
      </c>
      <c r="V34" s="1574" t="s">
        <v>8</v>
      </c>
      <c r="W34" s="1575" t="e">
        <f t="shared" si="14"/>
        <v>#N/A</v>
      </c>
      <c r="X34" s="1576"/>
      <c r="Y34" s="3435"/>
      <c r="Z34" s="1577" t="str">
        <f t="shared" si="15"/>
        <v>项目建筑规模</v>
      </c>
      <c r="AA34" s="1573" t="e">
        <f t="shared" si="3"/>
        <v>#N/A</v>
      </c>
      <c r="AB34" s="1573" t="e">
        <f t="shared" si="4"/>
        <v>#N/A</v>
      </c>
      <c r="AC34" s="1573"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435"/>
      <c r="Q35" s="1569" t="str">
        <f t="shared" si="11"/>
        <v>建筑结构</v>
      </c>
      <c r="R35" s="1570" t="s">
        <v>8</v>
      </c>
      <c r="S35" s="1571">
        <f t="shared" si="12"/>
        <v>100</v>
      </c>
      <c r="T35" s="1570" t="s">
        <v>8</v>
      </c>
      <c r="U35" s="1571">
        <f t="shared" si="13"/>
        <v>100</v>
      </c>
      <c r="V35" s="1570" t="s">
        <v>8</v>
      </c>
      <c r="W35" s="1571">
        <f t="shared" si="14"/>
        <v>100</v>
      </c>
      <c r="X35" s="1564"/>
      <c r="Y35" s="3435"/>
      <c r="Z35" s="1572" t="str">
        <f t="shared" si="15"/>
        <v>建筑结构</v>
      </c>
      <c r="AA35" s="1573">
        <f t="shared" si="3"/>
        <v>1</v>
      </c>
      <c r="AB35" s="1573">
        <f t="shared" si="4"/>
        <v>1</v>
      </c>
      <c r="AC35" s="1573">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435"/>
      <c r="Q36" s="1569" t="str">
        <f t="shared" si="11"/>
        <v>公共部分装修</v>
      </c>
      <c r="R36" s="1570" t="s">
        <v>8</v>
      </c>
      <c r="S36" s="1571">
        <f t="shared" si="12"/>
        <v>100</v>
      </c>
      <c r="T36" s="1570" t="s">
        <v>8</v>
      </c>
      <c r="U36" s="1571">
        <f t="shared" si="13"/>
        <v>100</v>
      </c>
      <c r="V36" s="1570" t="s">
        <v>8</v>
      </c>
      <c r="W36" s="1571">
        <f t="shared" si="14"/>
        <v>100</v>
      </c>
      <c r="X36" s="1564"/>
      <c r="Y36" s="3435"/>
      <c r="Z36" s="1572" t="str">
        <f t="shared" si="15"/>
        <v>公共部分装修</v>
      </c>
      <c r="AA36" s="1573">
        <f t="shared" si="3"/>
        <v>1</v>
      </c>
      <c r="AB36" s="1573">
        <f t="shared" si="4"/>
        <v>1</v>
      </c>
      <c r="AC36" s="1573">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8"/>
      <c r="M37" s="2130"/>
      <c r="N37" s="2130"/>
      <c r="O37" s="2130"/>
      <c r="P37" s="3435"/>
      <c r="Q37" s="1569" t="str">
        <f t="shared" si="11"/>
        <v>成新度</v>
      </c>
      <c r="R37" s="1570" t="s">
        <v>8</v>
      </c>
      <c r="S37" s="1571" t="e">
        <f t="shared" si="12"/>
        <v>#N/A</v>
      </c>
      <c r="T37" s="1570" t="s">
        <v>8</v>
      </c>
      <c r="U37" s="1571" t="e">
        <f t="shared" si="13"/>
        <v>#N/A</v>
      </c>
      <c r="V37" s="1570" t="s">
        <v>8</v>
      </c>
      <c r="W37" s="1571" t="e">
        <f t="shared" si="14"/>
        <v>#N/A</v>
      </c>
      <c r="X37" s="1564"/>
      <c r="Y37" s="3435"/>
      <c r="Z37" s="1572" t="str">
        <f t="shared" si="15"/>
        <v>成新度</v>
      </c>
      <c r="AA37" s="1573" t="e">
        <f t="shared" si="3"/>
        <v>#N/A</v>
      </c>
      <c r="AB37" s="1573" t="e">
        <f t="shared" si="4"/>
        <v>#N/A</v>
      </c>
      <c r="AC37" s="1573" t="e">
        <f t="shared" si="5"/>
        <v>#N/A</v>
      </c>
    </row>
    <row r="38" spans="1:29" s="1218"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435"/>
      <c r="Q38" s="1149" t="str">
        <f t="shared" si="11"/>
        <v>写字楼等级</v>
      </c>
      <c r="R38" s="1565" t="s">
        <v>8</v>
      </c>
      <c r="S38" s="1566">
        <f t="shared" si="12"/>
        <v>100</v>
      </c>
      <c r="T38" s="1565" t="s">
        <v>8</v>
      </c>
      <c r="U38" s="1566">
        <f t="shared" si="13"/>
        <v>100</v>
      </c>
      <c r="V38" s="1565" t="s">
        <v>8</v>
      </c>
      <c r="W38" s="1566">
        <f t="shared" si="14"/>
        <v>100</v>
      </c>
      <c r="X38" s="1567"/>
      <c r="Y38" s="3435"/>
      <c r="Z38" s="1148" t="str">
        <f t="shared" si="15"/>
        <v>写字楼等级</v>
      </c>
      <c r="AA38" s="1568">
        <f t="shared" si="3"/>
        <v>1</v>
      </c>
      <c r="AB38" s="1568">
        <f t="shared" si="4"/>
        <v>1</v>
      </c>
      <c r="AC38" s="1568">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435" t="s">
        <v>547</v>
      </c>
      <c r="Q39" s="1569" t="str">
        <f t="shared" si="11"/>
        <v>物业管理</v>
      </c>
      <c r="R39" s="1570" t="s">
        <v>8</v>
      </c>
      <c r="S39" s="1571">
        <f t="shared" si="12"/>
        <v>100</v>
      </c>
      <c r="T39" s="1570" t="s">
        <v>8</v>
      </c>
      <c r="U39" s="1571">
        <f t="shared" si="13"/>
        <v>100</v>
      </c>
      <c r="V39" s="1570" t="s">
        <v>8</v>
      </c>
      <c r="W39" s="1571">
        <f t="shared" si="14"/>
        <v>100</v>
      </c>
      <c r="X39" s="1564"/>
      <c r="Y39" s="3435" t="s">
        <v>547</v>
      </c>
      <c r="Z39" s="1572" t="str">
        <f t="shared" si="15"/>
        <v>物业管理</v>
      </c>
      <c r="AA39" s="1573">
        <f t="shared" si="3"/>
        <v>1</v>
      </c>
      <c r="AB39" s="1573">
        <f t="shared" si="4"/>
        <v>1</v>
      </c>
      <c r="AC39" s="1573">
        <f t="shared" si="5"/>
        <v>1</v>
      </c>
    </row>
    <row r="40" spans="1:29" ht="15">
      <c r="A40" s="592"/>
      <c r="B40" s="1891" t="s">
        <v>2557</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435"/>
      <c r="Q40" s="1569" t="str">
        <f t="shared" si="11"/>
        <v>市政基础设施</v>
      </c>
      <c r="R40" s="1570" t="s">
        <v>8</v>
      </c>
      <c r="S40" s="1571">
        <f t="shared" si="12"/>
        <v>100</v>
      </c>
      <c r="T40" s="1570" t="s">
        <v>8</v>
      </c>
      <c r="U40" s="1571">
        <f t="shared" si="13"/>
        <v>100</v>
      </c>
      <c r="V40" s="1570" t="s">
        <v>8</v>
      </c>
      <c r="W40" s="1571">
        <f t="shared" si="14"/>
        <v>100</v>
      </c>
      <c r="X40" s="1564"/>
      <c r="Y40" s="3435"/>
      <c r="Z40" s="1572" t="str">
        <f t="shared" si="15"/>
        <v>市政基础设施</v>
      </c>
      <c r="AA40" s="1573">
        <f t="shared" si="3"/>
        <v>1</v>
      </c>
      <c r="AB40" s="1573">
        <f t="shared" si="4"/>
        <v>1</v>
      </c>
      <c r="AC40" s="1573">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435"/>
      <c r="Q41" s="1569" t="str">
        <f t="shared" si="11"/>
        <v>层高</v>
      </c>
      <c r="R41" s="1570" t="s">
        <v>8</v>
      </c>
      <c r="S41" s="1571">
        <f t="shared" si="12"/>
        <v>100</v>
      </c>
      <c r="T41" s="1570" t="s">
        <v>8</v>
      </c>
      <c r="U41" s="1571">
        <f t="shared" si="13"/>
        <v>100</v>
      </c>
      <c r="V41" s="1570" t="s">
        <v>8</v>
      </c>
      <c r="W41" s="1571">
        <f t="shared" si="14"/>
        <v>100</v>
      </c>
      <c r="X41" s="1564"/>
      <c r="Y41" s="3435"/>
      <c r="Z41" s="1572" t="str">
        <f t="shared" si="15"/>
        <v>层高</v>
      </c>
      <c r="AA41" s="1573">
        <f t="shared" si="3"/>
        <v>1</v>
      </c>
      <c r="AB41" s="1573">
        <f t="shared" si="4"/>
        <v>1</v>
      </c>
      <c r="AC41" s="1573">
        <f t="shared" si="5"/>
        <v>1</v>
      </c>
    </row>
    <row r="42" spans="1:29" s="1337"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435"/>
      <c r="Q42" s="1602" t="str">
        <f t="shared" si="11"/>
        <v>单套建筑面积</v>
      </c>
      <c r="R42" s="1574" t="s">
        <v>8</v>
      </c>
      <c r="S42" s="1575">
        <f t="shared" si="12"/>
        <v>100</v>
      </c>
      <c r="T42" s="1574" t="s">
        <v>8</v>
      </c>
      <c r="U42" s="1575">
        <f t="shared" si="13"/>
        <v>100</v>
      </c>
      <c r="V42" s="1574" t="s">
        <v>8</v>
      </c>
      <c r="W42" s="1575">
        <f t="shared" si="14"/>
        <v>100</v>
      </c>
      <c r="X42" s="1576"/>
      <c r="Y42" s="3435"/>
      <c r="Z42" s="1577" t="str">
        <f t="shared" si="15"/>
        <v>单套建筑面积</v>
      </c>
      <c r="AA42" s="1573">
        <f t="shared" si="3"/>
        <v>1</v>
      </c>
      <c r="AB42" s="1573">
        <f t="shared" si="4"/>
        <v>1</v>
      </c>
      <c r="AC42" s="1573">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435"/>
      <c r="Q43" s="1569" t="str">
        <f t="shared" si="11"/>
        <v>内部装修</v>
      </c>
      <c r="R43" s="1570" t="s">
        <v>8</v>
      </c>
      <c r="S43" s="1571">
        <f t="shared" si="12"/>
        <v>100</v>
      </c>
      <c r="T43" s="1570" t="s">
        <v>8</v>
      </c>
      <c r="U43" s="1571">
        <f t="shared" si="13"/>
        <v>100</v>
      </c>
      <c r="V43" s="1570" t="s">
        <v>8</v>
      </c>
      <c r="W43" s="1571">
        <f t="shared" si="14"/>
        <v>100</v>
      </c>
      <c r="X43" s="1564"/>
      <c r="Y43" s="3435"/>
      <c r="Z43" s="1572" t="str">
        <f t="shared" si="15"/>
        <v>内部装修</v>
      </c>
      <c r="AA43" s="1573">
        <f t="shared" si="3"/>
        <v>1</v>
      </c>
      <c r="AB43" s="1573">
        <f t="shared" si="4"/>
        <v>1</v>
      </c>
      <c r="AC43" s="1573">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435"/>
      <c r="Q44" s="1569" t="str">
        <f t="shared" si="11"/>
        <v>内部装修维护情况</v>
      </c>
      <c r="R44" s="1570" t="s">
        <v>8</v>
      </c>
      <c r="S44" s="1571">
        <f t="shared" si="12"/>
        <v>100</v>
      </c>
      <c r="T44" s="1570" t="s">
        <v>8</v>
      </c>
      <c r="U44" s="1571">
        <f t="shared" si="13"/>
        <v>100</v>
      </c>
      <c r="V44" s="1570" t="s">
        <v>8</v>
      </c>
      <c r="W44" s="1571">
        <f t="shared" si="14"/>
        <v>100</v>
      </c>
      <c r="X44" s="1564"/>
      <c r="Y44" s="3435"/>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435"/>
      <c r="Q45" s="1149">
        <f t="shared" si="11"/>
        <v>111</v>
      </c>
      <c r="R45" s="1565" t="s">
        <v>8</v>
      </c>
      <c r="S45" s="1566">
        <f t="shared" si="12"/>
        <v>100</v>
      </c>
      <c r="T45" s="1565" t="s">
        <v>8</v>
      </c>
      <c r="U45" s="1566">
        <f t="shared" si="13"/>
        <v>100</v>
      </c>
      <c r="V45" s="1565" t="s">
        <v>8</v>
      </c>
      <c r="W45" s="1566">
        <f t="shared" si="14"/>
        <v>100</v>
      </c>
      <c r="X45" s="1567"/>
      <c r="Y45" s="3435"/>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435"/>
      <c r="Q46" s="1569">
        <f t="shared" si="11"/>
        <v>111</v>
      </c>
      <c r="R46" s="1570" t="s">
        <v>8</v>
      </c>
      <c r="S46" s="1571">
        <f t="shared" si="12"/>
        <v>100</v>
      </c>
      <c r="T46" s="1570" t="s">
        <v>8</v>
      </c>
      <c r="U46" s="1571">
        <f t="shared" si="13"/>
        <v>100</v>
      </c>
      <c r="V46" s="1570" t="s">
        <v>8</v>
      </c>
      <c r="W46" s="1571">
        <f t="shared" si="14"/>
        <v>100</v>
      </c>
      <c r="X46" s="1564"/>
      <c r="Y46" s="3435"/>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489"/>
      <c r="Q47" s="1569">
        <f t="shared" si="11"/>
        <v>111</v>
      </c>
      <c r="R47" s="1570" t="s">
        <v>8</v>
      </c>
      <c r="S47" s="1571">
        <f t="shared" si="12"/>
        <v>100</v>
      </c>
      <c r="T47" s="1570" t="s">
        <v>8</v>
      </c>
      <c r="U47" s="1571">
        <f t="shared" si="13"/>
        <v>100</v>
      </c>
      <c r="V47" s="1570" t="s">
        <v>8</v>
      </c>
      <c r="W47" s="1571">
        <f t="shared" si="14"/>
        <v>100</v>
      </c>
      <c r="X47" s="1564"/>
      <c r="Y47" s="3489"/>
      <c r="Z47" s="1572">
        <f t="shared" si="15"/>
        <v>111</v>
      </c>
      <c r="AA47" s="1573">
        <f t="shared" si="3"/>
        <v>1</v>
      </c>
      <c r="AB47" s="1573">
        <f t="shared" si="4"/>
        <v>1</v>
      </c>
      <c r="AC47" s="1573">
        <f t="shared" si="5"/>
        <v>1</v>
      </c>
    </row>
    <row r="48" spans="1:29" ht="15">
      <c r="A48" s="605" t="s">
        <v>733</v>
      </c>
      <c r="B48" s="885"/>
      <c r="C48" s="2623" t="s">
        <v>1</v>
      </c>
      <c r="D48" s="2624"/>
      <c r="E48" s="2625"/>
      <c r="F48" s="2626"/>
      <c r="G48" s="2627"/>
      <c r="H48" s="2628"/>
      <c r="I48" s="2625"/>
      <c r="J48" s="2628"/>
      <c r="K48" s="1608"/>
      <c r="L48" s="2140"/>
      <c r="M48" s="2130"/>
      <c r="N48" s="2130"/>
      <c r="O48" s="2130"/>
      <c r="P48" s="3395" t="str">
        <f>A48</f>
        <v>成交单价（元/平方米）</v>
      </c>
      <c r="Q48" s="3397"/>
      <c r="R48" s="3488">
        <f>E48</f>
        <v>0</v>
      </c>
      <c r="S48" s="3488"/>
      <c r="T48" s="3488">
        <f>G48</f>
        <v>0</v>
      </c>
      <c r="U48" s="3488"/>
      <c r="V48" s="3488">
        <f>I48</f>
        <v>0</v>
      </c>
      <c r="W48" s="3488"/>
      <c r="X48" s="1556"/>
      <c r="Y48" s="1578"/>
      <c r="Z48" s="1556"/>
      <c r="AA48" s="1556"/>
      <c r="AB48" s="1556"/>
      <c r="AC48" s="1556"/>
    </row>
    <row r="49" spans="1:29" ht="15.75" thickBot="1">
      <c r="A49" s="613" t="s">
        <v>2752</v>
      </c>
      <c r="B49" s="886"/>
      <c r="C49" s="2629" t="e">
        <f>R50</f>
        <v>#DIV/0!</v>
      </c>
      <c r="D49" s="2630"/>
      <c r="E49" s="2631" t="e">
        <f>R49</f>
        <v>#DIV/0!</v>
      </c>
      <c r="F49" s="2631"/>
      <c r="G49" s="2629" t="e">
        <f>T49</f>
        <v>#DIV/0!</v>
      </c>
      <c r="H49" s="2630"/>
      <c r="I49" s="2631" t="e">
        <f>V49</f>
        <v>#DIV/0!</v>
      </c>
      <c r="J49" s="2630"/>
      <c r="K49" s="1609"/>
      <c r="L49" s="2140"/>
      <c r="M49" s="2130"/>
      <c r="N49" s="2130"/>
      <c r="O49" s="2130"/>
      <c r="P49" s="3395" t="str">
        <f>A49</f>
        <v>比较价格（元/平方米）</v>
      </c>
      <c r="Q49" s="339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56"/>
      <c r="Y49" s="1556"/>
      <c r="Z49" s="1556"/>
      <c r="AA49" s="1556"/>
      <c r="AB49" s="1556"/>
      <c r="AC49" s="1556"/>
    </row>
    <row r="50" spans="1:29" ht="15.75" thickBot="1">
      <c r="A50" s="619" t="s">
        <v>2921</v>
      </c>
      <c r="B50" s="620"/>
      <c r="C50" s="2632" t="e">
        <f>R50</f>
        <v>#DIV/0!</v>
      </c>
      <c r="D50" s="2632"/>
      <c r="E50" s="2632"/>
      <c r="F50" s="2632"/>
      <c r="G50" s="2632"/>
      <c r="H50" s="2632"/>
      <c r="I50" s="2632"/>
      <c r="J50" s="2632"/>
      <c r="K50" s="1610"/>
      <c r="L50" s="2140"/>
      <c r="M50" s="2130"/>
      <c r="N50" s="2130"/>
      <c r="O50" s="2130"/>
      <c r="P50" s="3517" t="str">
        <f>A50</f>
        <v>估价对象XX用房的比较价格（楼面单价，元/平方米）</v>
      </c>
      <c r="Q50" s="3395"/>
      <c r="R50" s="3487" t="e">
        <f>IF(F1="售价",ROUND(AVERAGE(R49:V49),0),ROUND(AVERAGE(R49:V49),1))</f>
        <v>#DIV/0!</v>
      </c>
      <c r="S50" s="3487"/>
      <c r="T50" s="3487"/>
      <c r="U50" s="3487"/>
      <c r="V50" s="3487"/>
      <c r="W50" s="3487"/>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571</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3" t="s">
        <v>526</v>
      </c>
      <c r="B59" s="644"/>
      <c r="C59" s="2798" t="str">
        <f>YEAR(C7)&amp;"-"&amp;MONTH(C7)</f>
        <v>2018-12</v>
      </c>
      <c r="D59" s="2800">
        <f>EDATE(C59,-1)</f>
        <v>43405</v>
      </c>
      <c r="E59" s="2800">
        <f t="shared" ref="E59:O59" si="16">EDATE(D59,-1)</f>
        <v>43374</v>
      </c>
      <c r="F59" s="2800">
        <f t="shared" si="16"/>
        <v>43344</v>
      </c>
      <c r="G59" s="2800">
        <f t="shared" si="16"/>
        <v>43313</v>
      </c>
      <c r="H59" s="2800">
        <f t="shared" si="16"/>
        <v>43282</v>
      </c>
      <c r="I59" s="2800">
        <f t="shared" si="16"/>
        <v>43252</v>
      </c>
      <c r="J59" s="2800">
        <f t="shared" si="16"/>
        <v>43221</v>
      </c>
      <c r="K59" s="2800">
        <f t="shared" si="16"/>
        <v>43191</v>
      </c>
      <c r="L59" s="2800">
        <f t="shared" si="16"/>
        <v>43160</v>
      </c>
      <c r="M59" s="2800">
        <f t="shared" si="16"/>
        <v>43132</v>
      </c>
      <c r="N59" s="2800">
        <f t="shared" si="16"/>
        <v>43101</v>
      </c>
      <c r="O59" s="2800">
        <f t="shared" si="16"/>
        <v>43070</v>
      </c>
      <c r="P59" s="2207"/>
      <c r="Q59" s="2157"/>
      <c r="R59" s="2157"/>
      <c r="S59" s="2157"/>
      <c r="T59" s="2157"/>
      <c r="U59" s="2157"/>
      <c r="V59" s="2157"/>
      <c r="W59" s="2157"/>
      <c r="X59" s="2157"/>
      <c r="Y59" s="2157"/>
      <c r="Z59" s="2157"/>
      <c r="AA59" s="2157"/>
      <c r="AB59" s="2157"/>
      <c r="AC59" s="2157"/>
    </row>
    <row r="60" spans="1:29" s="1218" customFormat="1" ht="15">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8" customFormat="1" ht="15.75" thickBot="1">
      <c r="A61" s="651" t="s">
        <v>572</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8" customFormat="1" ht="15">
      <c r="A62" s="657" t="s">
        <v>528</v>
      </c>
      <c r="B62" s="646"/>
      <c r="C62" s="658" t="s">
        <v>573</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7"/>
      <c r="B63" s="646"/>
      <c r="C63" s="887">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c r="A64" s="662" t="s">
        <v>574</v>
      </c>
      <c r="B64" s="663" t="s">
        <v>531</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5.75"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c r="A77" s="662" t="s">
        <v>536</v>
      </c>
      <c r="B77" s="663" t="s">
        <v>582</v>
      </c>
      <c r="C77" s="701" t="s">
        <v>576</v>
      </c>
      <c r="D77" s="701" t="s">
        <v>577</v>
      </c>
      <c r="E77" s="701" t="s">
        <v>578</v>
      </c>
      <c r="F77" s="701" t="s">
        <v>579</v>
      </c>
      <c r="G77" s="701" t="s">
        <v>580</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75" thickTop="1">
      <c r="A79" s="667"/>
      <c r="B79" s="671" t="s">
        <v>583</v>
      </c>
      <c r="C79" s="706" t="s">
        <v>576</v>
      </c>
      <c r="D79" s="706" t="s">
        <v>577</v>
      </c>
      <c r="E79" s="706" t="s">
        <v>578</v>
      </c>
      <c r="F79" s="706" t="s">
        <v>579</v>
      </c>
      <c r="G79" s="706" t="s">
        <v>580</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75" thickTop="1">
      <c r="A81" s="667"/>
      <c r="B81" s="1892" t="s">
        <v>2549</v>
      </c>
      <c r="C81" s="706" t="s">
        <v>576</v>
      </c>
      <c r="D81" s="706" t="s">
        <v>577</v>
      </c>
      <c r="E81" s="706" t="s">
        <v>578</v>
      </c>
      <c r="F81" s="706" t="s">
        <v>579</v>
      </c>
      <c r="G81" s="706" t="s">
        <v>580</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75" thickTop="1">
      <c r="A83" s="667"/>
      <c r="B83" s="2593" t="s">
        <v>2550</v>
      </c>
      <c r="C83" s="2594" t="s">
        <v>2551</v>
      </c>
      <c r="D83" s="2594" t="s">
        <v>2552</v>
      </c>
      <c r="E83" s="2594" t="s">
        <v>2553</v>
      </c>
      <c r="F83" s="2594" t="s">
        <v>2554</v>
      </c>
      <c r="G83" s="2594" t="s">
        <v>2555</v>
      </c>
      <c r="H83" s="672"/>
      <c r="I83" s="672"/>
      <c r="J83" s="672"/>
      <c r="K83" s="672"/>
      <c r="L83" s="672"/>
      <c r="M83" s="2597"/>
      <c r="N83" s="2162"/>
      <c r="O83" s="2162"/>
      <c r="P83" s="2210"/>
      <c r="Q83" s="2154"/>
      <c r="R83" s="2141"/>
      <c r="S83" s="2141"/>
      <c r="T83" s="2141"/>
      <c r="U83" s="2141"/>
      <c r="V83" s="2141"/>
      <c r="W83" s="2141"/>
      <c r="X83" s="2141"/>
      <c r="Y83" s="2141"/>
      <c r="Z83" s="2141"/>
      <c r="AA83" s="2141"/>
      <c r="AB83" s="2141"/>
      <c r="AC83" s="2141"/>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2"/>
      <c r="O84" s="2162"/>
      <c r="P84" s="2210"/>
      <c r="Q84" s="2154"/>
      <c r="R84" s="2141"/>
      <c r="S84" s="2141"/>
      <c r="T84" s="2141"/>
      <c r="U84" s="2141"/>
      <c r="V84" s="2141"/>
      <c r="W84" s="2141"/>
      <c r="X84" s="2141"/>
      <c r="Y84" s="2141"/>
      <c r="Z84" s="2141"/>
      <c r="AA84" s="2141"/>
      <c r="AB84" s="2141"/>
      <c r="AC84" s="2141"/>
    </row>
    <row r="85" spans="1:29" ht="15.75" thickTop="1">
      <c r="A85" s="667"/>
      <c r="B85" s="671" t="s">
        <v>781</v>
      </c>
      <c r="C85" s="706" t="s">
        <v>576</v>
      </c>
      <c r="D85" s="706" t="s">
        <v>577</v>
      </c>
      <c r="E85" s="706" t="s">
        <v>578</v>
      </c>
      <c r="F85" s="706" t="s">
        <v>579</v>
      </c>
      <c r="G85" s="706" t="s">
        <v>580</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7"/>
      <c r="B87" s="671" t="s">
        <v>782</v>
      </c>
      <c r="C87" s="686"/>
      <c r="D87" s="686"/>
      <c r="E87" s="686"/>
      <c r="F87" s="686"/>
      <c r="G87" s="686"/>
      <c r="H87" s="686"/>
      <c r="I87" s="686"/>
      <c r="J87" s="686"/>
      <c r="K87" s="686"/>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7"/>
      <c r="B89" s="671" t="str">
        <f>B27</f>
        <v>楼层</v>
      </c>
      <c r="C89" s="686"/>
      <c r="D89" s="686"/>
      <c r="E89" s="686"/>
      <c r="F89" s="890"/>
      <c r="G89" s="686"/>
      <c r="H89" s="686"/>
      <c r="I89" s="686"/>
      <c r="J89" s="686"/>
      <c r="K89" s="686"/>
      <c r="L89" s="686"/>
      <c r="M89" s="889"/>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7"/>
      <c r="B93" s="671">
        <f>B29</f>
        <v>111</v>
      </c>
      <c r="C93" s="686"/>
      <c r="D93" s="686"/>
      <c r="E93" s="686"/>
      <c r="F93" s="686"/>
      <c r="G93" s="686"/>
      <c r="H93" s="686"/>
      <c r="I93" s="686"/>
      <c r="J93" s="686"/>
      <c r="K93" s="686"/>
      <c r="L93" s="888"/>
      <c r="M93" s="889"/>
      <c r="N93" s="2160"/>
      <c r="O93" s="2160"/>
      <c r="P93" s="2210"/>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5.75"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5.75"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5.75"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5.75"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5.75"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5.75" thickBot="1">
      <c r="A100" s="891"/>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c r="A101" s="662" t="s">
        <v>548</v>
      </c>
      <c r="B101" s="663" t="s">
        <v>744</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746</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748</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6"/>
      <c r="B113" s="671" t="s">
        <v>783</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750</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2548</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5" t="s">
        <v>784</v>
      </c>
      <c r="C119" s="716"/>
      <c r="D119" s="716"/>
      <c r="E119" s="716"/>
      <c r="F119" s="716"/>
      <c r="G119" s="716"/>
      <c r="H119" s="716"/>
      <c r="I119" s="716"/>
      <c r="J119" s="716"/>
      <c r="K119" s="716"/>
      <c r="L119" s="916"/>
      <c r="M119" s="917"/>
      <c r="N119" s="2162"/>
      <c r="O119" s="2162"/>
      <c r="P119" s="2215"/>
      <c r="Q119" s="2202"/>
      <c r="R119" s="2141"/>
      <c r="S119" s="2141"/>
      <c r="T119" s="2141"/>
      <c r="U119" s="2141"/>
      <c r="V119" s="2141"/>
      <c r="W119" s="2141"/>
      <c r="X119" s="2141"/>
      <c r="Y119" s="2141"/>
      <c r="Z119" s="2141"/>
      <c r="AA119" s="2141"/>
      <c r="AB119" s="2141"/>
      <c r="AC119" s="2141"/>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6"/>
      <c r="B121" s="671" t="s">
        <v>772</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752</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5"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5"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5.75" thickBot="1">
      <c r="A132" s="891"/>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785</v>
      </c>
      <c r="C1" s="502" t="s">
        <v>717</v>
      </c>
      <c r="D1" s="847"/>
      <c r="E1" s="504"/>
      <c r="F1" s="2803"/>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464</v>
      </c>
      <c r="B2" s="848"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6"/>
    </row>
    <row r="3" spans="1:29" s="1334" customFormat="1" ht="28.5" customHeight="1" thickBot="1">
      <c r="A3" s="507" t="s">
        <v>516</v>
      </c>
      <c r="B3" s="508" t="e">
        <f>C43</f>
        <v>#DIV/0!</v>
      </c>
      <c r="C3" s="850" t="s">
        <v>719</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518</v>
      </c>
      <c r="B4" s="511"/>
      <c r="C4" s="3403" t="s">
        <v>519</v>
      </c>
      <c r="D4" s="3404"/>
      <c r="E4" s="3438" t="s">
        <v>520</v>
      </c>
      <c r="F4" s="3439"/>
      <c r="G4" s="3403" t="s">
        <v>521</v>
      </c>
      <c r="H4" s="3404"/>
      <c r="I4" s="3403" t="s">
        <v>522</v>
      </c>
      <c r="J4" s="3404"/>
      <c r="K4" s="512" t="s">
        <v>523</v>
      </c>
      <c r="L4" s="2129"/>
      <c r="M4" s="2130"/>
      <c r="N4" s="2130"/>
      <c r="O4" s="2130"/>
      <c r="P4" s="3405" t="s">
        <v>524</v>
      </c>
      <c r="Q4" s="3406"/>
      <c r="R4" s="3411" t="s">
        <v>520</v>
      </c>
      <c r="S4" s="3412"/>
      <c r="T4" s="3411" t="s">
        <v>521</v>
      </c>
      <c r="U4" s="3412"/>
      <c r="V4" s="3398" t="s">
        <v>522</v>
      </c>
      <c r="W4" s="3398"/>
      <c r="X4" s="1564"/>
      <c r="Y4" s="3411" t="s">
        <v>524</v>
      </c>
      <c r="Z4" s="3412"/>
      <c r="AA4" s="3400" t="s">
        <v>520</v>
      </c>
      <c r="AB4" s="3401" t="s">
        <v>521</v>
      </c>
      <c r="AC4" s="3400" t="s">
        <v>522</v>
      </c>
    </row>
    <row r="5" spans="1:29" ht="15">
      <c r="A5" s="513"/>
      <c r="B5" s="514"/>
      <c r="C5" s="3419" t="s">
        <v>2915</v>
      </c>
      <c r="D5" s="3420"/>
      <c r="E5" s="3440" t="s">
        <v>2916</v>
      </c>
      <c r="F5" s="3441"/>
      <c r="G5" s="3419" t="s">
        <v>2917</v>
      </c>
      <c r="H5" s="3420"/>
      <c r="I5" s="3419" t="s">
        <v>2918</v>
      </c>
      <c r="J5" s="3420"/>
      <c r="K5" s="512"/>
      <c r="L5" s="2129"/>
      <c r="M5" s="2130"/>
      <c r="N5" s="2130"/>
      <c r="O5" s="2130"/>
      <c r="P5" s="3407"/>
      <c r="Q5" s="3408"/>
      <c r="R5" s="3413"/>
      <c r="S5" s="3414"/>
      <c r="T5" s="3413"/>
      <c r="U5" s="3414"/>
      <c r="V5" s="3398"/>
      <c r="W5" s="3398"/>
      <c r="X5" s="1564"/>
      <c r="Y5" s="3413"/>
      <c r="Z5" s="3414"/>
      <c r="AA5" s="3401"/>
      <c r="AB5" s="3401"/>
      <c r="AC5" s="3401"/>
    </row>
    <row r="6" spans="1:29" ht="15.75" thickBot="1">
      <c r="A6" s="515"/>
      <c r="B6" s="516"/>
      <c r="C6" s="3417" t="s">
        <v>2919</v>
      </c>
      <c r="D6" s="3418"/>
      <c r="E6" s="3436" t="s">
        <v>2919</v>
      </c>
      <c r="F6" s="3437"/>
      <c r="G6" s="3417" t="s">
        <v>2919</v>
      </c>
      <c r="H6" s="3418"/>
      <c r="I6" s="3417" t="s">
        <v>2919</v>
      </c>
      <c r="J6" s="3418"/>
      <c r="K6" s="512" t="s">
        <v>525</v>
      </c>
      <c r="L6" s="2129"/>
      <c r="M6" s="2130"/>
      <c r="N6" s="2130"/>
      <c r="O6" s="2130"/>
      <c r="P6" s="3409"/>
      <c r="Q6" s="3410"/>
      <c r="R6" s="3413"/>
      <c r="S6" s="3414"/>
      <c r="T6" s="3415"/>
      <c r="U6" s="3416"/>
      <c r="V6" s="3398"/>
      <c r="W6" s="3398"/>
      <c r="X6" s="1564"/>
      <c r="Y6" s="3415"/>
      <c r="Z6" s="3416"/>
      <c r="AA6" s="3402"/>
      <c r="AB6" s="3402"/>
      <c r="AC6" s="3402"/>
    </row>
    <row r="7" spans="1:29" s="1218" customFormat="1" ht="15.75" thickBot="1">
      <c r="A7" s="2908"/>
      <c r="B7" s="2915" t="s">
        <v>526</v>
      </c>
      <c r="C7" s="517">
        <f>'数据-取费表'!B2</f>
        <v>43447</v>
      </c>
      <c r="D7" s="518">
        <v>100</v>
      </c>
      <c r="E7" s="519"/>
      <c r="F7" s="520">
        <f>SUMIF(52:52,YEAR(E7)&amp;"-"&amp;MONTH(E7),53:53)</f>
        <v>0</v>
      </c>
      <c r="G7" s="519"/>
      <c r="H7" s="518">
        <f>SUMIF(52:52,YEAR(G7)&amp;"-"&amp;MONTH(G7),53:53)</f>
        <v>0</v>
      </c>
      <c r="I7" s="519"/>
      <c r="J7" s="518">
        <f>SUMIF(52:52,YEAR(I7)&amp;"-"&amp;MONTH(I7),53:53)</f>
        <v>0</v>
      </c>
      <c r="K7" s="522"/>
      <c r="L7" s="2131"/>
      <c r="M7" s="2132"/>
      <c r="N7" s="2132"/>
      <c r="O7" s="2132"/>
      <c r="P7" s="3429" t="s">
        <v>527</v>
      </c>
      <c r="Q7" s="3431"/>
      <c r="R7" s="1565" t="s">
        <v>8</v>
      </c>
      <c r="S7" s="1566">
        <f t="shared" ref="S7:S15" si="0">F7</f>
        <v>0</v>
      </c>
      <c r="T7" s="1565" t="s">
        <v>8</v>
      </c>
      <c r="U7" s="1566">
        <f t="shared" ref="U7:U15" si="1">H7</f>
        <v>0</v>
      </c>
      <c r="V7" s="1565" t="s">
        <v>8</v>
      </c>
      <c r="W7" s="1566">
        <f t="shared" ref="W7:W15" si="2">J7</f>
        <v>0</v>
      </c>
      <c r="X7" s="1567"/>
      <c r="Y7" s="3429" t="s">
        <v>527</v>
      </c>
      <c r="Z7" s="3430"/>
      <c r="AA7" s="1568" t="e">
        <f>D7/F7</f>
        <v>#DIV/0!</v>
      </c>
      <c r="AB7" s="1568" t="e">
        <f>D7/H7</f>
        <v>#DIV/0!</v>
      </c>
      <c r="AC7" s="1568" t="e">
        <f>D7/J7</f>
        <v>#DIV/0!</v>
      </c>
    </row>
    <row r="8" spans="1:29" s="1218" customFormat="1" ht="15.75" thickBot="1">
      <c r="A8" s="2909"/>
      <c r="B8" s="2916" t="s">
        <v>528</v>
      </c>
      <c r="C8" s="523" t="s">
        <v>573</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429" t="s">
        <v>530</v>
      </c>
      <c r="Q8" s="3430"/>
      <c r="R8" s="1565" t="s">
        <v>8</v>
      </c>
      <c r="S8" s="1566">
        <f t="shared" si="0"/>
        <v>0</v>
      </c>
      <c r="T8" s="1565" t="s">
        <v>8</v>
      </c>
      <c r="U8" s="1566">
        <f t="shared" si="1"/>
        <v>0</v>
      </c>
      <c r="V8" s="1565" t="s">
        <v>8</v>
      </c>
      <c r="W8" s="1566">
        <f t="shared" si="2"/>
        <v>0</v>
      </c>
      <c r="X8" s="1567"/>
      <c r="Y8" s="3429" t="s">
        <v>530</v>
      </c>
      <c r="Z8" s="3430"/>
      <c r="AA8" s="1568" t="e">
        <f t="shared" ref="AA8:AA40" si="3">D8/F8</f>
        <v>#DIV/0!</v>
      </c>
      <c r="AB8" s="1568" t="e">
        <f t="shared" ref="AB8:AB40" si="4">D8/H8</f>
        <v>#DIV/0!</v>
      </c>
      <c r="AC8" s="1568" t="e">
        <f t="shared" ref="AC8:AC40" si="5">D8/J8</f>
        <v>#DIV/0!</v>
      </c>
    </row>
    <row r="9" spans="1:29" s="1218" customFormat="1" ht="15">
      <c r="A9" s="2910"/>
      <c r="B9" s="2917" t="s">
        <v>2748</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397" t="s">
        <v>532</v>
      </c>
      <c r="Q9" s="1149" t="str">
        <f t="shared" ref="Q9:Q15" si="6">B9</f>
        <v>用途</v>
      </c>
      <c r="R9" s="1565" t="s">
        <v>8</v>
      </c>
      <c r="S9" s="1566">
        <f t="shared" si="0"/>
        <v>100</v>
      </c>
      <c r="T9" s="1565" t="s">
        <v>8</v>
      </c>
      <c r="U9" s="1566">
        <f t="shared" si="1"/>
        <v>100</v>
      </c>
      <c r="V9" s="1565" t="s">
        <v>8</v>
      </c>
      <c r="W9" s="1566">
        <f t="shared" si="2"/>
        <v>100</v>
      </c>
      <c r="X9" s="1567"/>
      <c r="Y9" s="3343" t="s">
        <v>533</v>
      </c>
      <c r="Z9" s="1148" t="str">
        <f t="shared" ref="Z9:Z15" si="7">Q9</f>
        <v>用途</v>
      </c>
      <c r="AA9" s="1568">
        <f t="shared" si="3"/>
        <v>1</v>
      </c>
      <c r="AB9" s="1568">
        <f t="shared" si="4"/>
        <v>1</v>
      </c>
      <c r="AC9" s="1568">
        <f t="shared" si="5"/>
        <v>1</v>
      </c>
    </row>
    <row r="10" spans="1:29" s="1336" customFormat="1" ht="27">
      <c r="A10" s="2911"/>
      <c r="B10" s="2916" t="s">
        <v>2749</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397"/>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37"/>
      <c r="F12" s="253">
        <f>SUMIF(64:64,E12,65:65)-SUMIF(64:64,C12,65:65)+100</f>
        <v>100</v>
      </c>
      <c r="G12" s="918"/>
      <c r="H12" s="253">
        <f>SUMIF(64:64,G12,65:65)-SUMIF(64:64,C12,65:65)+100</f>
        <v>100</v>
      </c>
      <c r="I12" s="878"/>
      <c r="J12" s="253">
        <f>SUMIF(64:64,I12,65:65)-SUMIF(64:64,C12,65:65)+100</f>
        <v>100</v>
      </c>
      <c r="K12" s="579"/>
      <c r="L12" s="2131"/>
      <c r="M12" s="2132"/>
      <c r="N12" s="2132"/>
      <c r="O12" s="2133"/>
      <c r="P12" s="3397"/>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7"/>
      <c r="D13" s="538">
        <v>100</v>
      </c>
      <c r="E13" s="537"/>
      <c r="F13" s="253">
        <f>SUMIF(66:66,E13,67:67)-SUMIF(66:66,C13,67:67)+100</f>
        <v>100</v>
      </c>
      <c r="G13" s="918"/>
      <c r="H13" s="538">
        <f>SUMIF(66:66,G13,67:67)-SUMIF(66:66,C13,67:67)+100</f>
        <v>100</v>
      </c>
      <c r="I13" s="878"/>
      <c r="J13" s="538">
        <f>SUMIF(66:66,I13,67:67)-SUMIF(66:66,C13,67:67)+100</f>
        <v>100</v>
      </c>
      <c r="K13" s="579"/>
      <c r="L13" s="2138"/>
      <c r="M13" s="2130"/>
      <c r="N13" s="2130"/>
      <c r="O13" s="2137"/>
      <c r="P13" s="3397"/>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3"/>
      <c r="D14" s="544">
        <v>100</v>
      </c>
      <c r="E14" s="543"/>
      <c r="F14" s="544">
        <f>SUMIF(68:68,E14,69:69)-SUMIF(68:68,C14,69:69)+100</f>
        <v>100</v>
      </c>
      <c r="G14" s="918"/>
      <c r="H14" s="544">
        <f>SUMIF(68:68,G14,69:69)-SUMIF(68:68,C14,69:69)+100</f>
        <v>100</v>
      </c>
      <c r="I14" s="878"/>
      <c r="J14" s="544">
        <f>SUMIF(68:68,I14,69:69)-SUMIF(68:68,C14,69:69)+100</f>
        <v>100</v>
      </c>
      <c r="K14" s="579"/>
      <c r="L14" s="2138"/>
      <c r="M14" s="2130"/>
      <c r="N14" s="2130"/>
      <c r="O14" s="2137"/>
      <c r="P14" s="3397"/>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57">
      <c r="A15" s="2906" t="s">
        <v>2746</v>
      </c>
      <c r="B15" s="164"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8"/>
      <c r="M15" s="2130"/>
      <c r="N15" s="2130"/>
      <c r="O15" s="2137"/>
      <c r="P15" s="3432" t="s">
        <v>537</v>
      </c>
      <c r="Q15" s="1569" t="str">
        <f t="shared" si="6"/>
        <v>产业集聚程度</v>
      </c>
      <c r="R15" s="1570" t="s">
        <v>8</v>
      </c>
      <c r="S15" s="1571">
        <f t="shared" si="0"/>
        <v>100</v>
      </c>
      <c r="T15" s="1570" t="s">
        <v>8</v>
      </c>
      <c r="U15" s="1571">
        <f t="shared" si="1"/>
        <v>100</v>
      </c>
      <c r="V15" s="1570" t="s">
        <v>8</v>
      </c>
      <c r="W15" s="1571">
        <f t="shared" si="2"/>
        <v>100</v>
      </c>
      <c r="X15" s="1564"/>
      <c r="Y15" s="3432" t="s">
        <v>537</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433"/>
      <c r="Q16" s="1569"/>
      <c r="R16" s="1570"/>
      <c r="S16" s="1571"/>
      <c r="T16" s="1570"/>
      <c r="U16" s="1571"/>
      <c r="V16" s="1570"/>
      <c r="W16" s="1571"/>
      <c r="X16" s="1564"/>
      <c r="Y16" s="3433"/>
      <c r="Z16" s="1572"/>
      <c r="AA16" s="1573">
        <v>1</v>
      </c>
      <c r="AB16" s="1573">
        <v>1</v>
      </c>
      <c r="AC16" s="1573">
        <v>1</v>
      </c>
    </row>
    <row r="17" spans="1:29" ht="85.5">
      <c r="A17" s="530"/>
      <c r="B17" s="869" t="s">
        <v>295</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8"/>
      <c r="M17" s="2130"/>
      <c r="N17" s="2130"/>
      <c r="O17" s="2137"/>
      <c r="P17" s="3433"/>
      <c r="Q17" s="1569" t="str">
        <f>B17</f>
        <v>交通便捷度</v>
      </c>
      <c r="R17" s="1570" t="s">
        <v>8</v>
      </c>
      <c r="S17" s="1571">
        <f>F17</f>
        <v>100</v>
      </c>
      <c r="T17" s="1570" t="s">
        <v>8</v>
      </c>
      <c r="U17" s="1571">
        <f>H17</f>
        <v>100</v>
      </c>
      <c r="V17" s="1570" t="s">
        <v>8</v>
      </c>
      <c r="W17" s="1571">
        <f>J17</f>
        <v>100</v>
      </c>
      <c r="X17" s="1564"/>
      <c r="Y17" s="3433"/>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433"/>
      <c r="Q18" s="1569"/>
      <c r="R18" s="1570"/>
      <c r="S18" s="1571"/>
      <c r="T18" s="1570"/>
      <c r="U18" s="1571"/>
      <c r="V18" s="1570"/>
      <c r="W18" s="1571"/>
      <c r="X18" s="1564"/>
      <c r="Y18" s="3433"/>
      <c r="Z18" s="1572"/>
      <c r="AA18" s="1573">
        <v>1</v>
      </c>
      <c r="AB18" s="1573">
        <v>1</v>
      </c>
      <c r="AC18" s="1573">
        <v>1</v>
      </c>
    </row>
    <row r="19" spans="1:29" ht="42.75">
      <c r="A19" s="530"/>
      <c r="B19" s="2599" t="s">
        <v>2538</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8"/>
      <c r="M19" s="2130"/>
      <c r="N19" s="2130"/>
      <c r="O19" s="2137"/>
      <c r="P19" s="3433"/>
      <c r="Q19" s="1569" t="str">
        <f>B19</f>
        <v>公共配套设施</v>
      </c>
      <c r="R19" s="1570" t="s">
        <v>8</v>
      </c>
      <c r="S19" s="1571">
        <f>F19</f>
        <v>100</v>
      </c>
      <c r="T19" s="1570" t="s">
        <v>8</v>
      </c>
      <c r="U19" s="1571">
        <f>H19</f>
        <v>100</v>
      </c>
      <c r="V19" s="1570" t="s">
        <v>8</v>
      </c>
      <c r="W19" s="1571">
        <f>J19</f>
        <v>100</v>
      </c>
      <c r="X19" s="1564"/>
      <c r="Y19" s="3433"/>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8"/>
      <c r="M20" s="2130"/>
      <c r="N20" s="2130"/>
      <c r="O20" s="2137"/>
      <c r="P20" s="3433"/>
      <c r="Q20" s="1569"/>
      <c r="R20" s="1570"/>
      <c r="S20" s="1571"/>
      <c r="T20" s="1570"/>
      <c r="U20" s="1571"/>
      <c r="V20" s="1570"/>
      <c r="W20" s="1571"/>
      <c r="X20" s="1564"/>
      <c r="Y20" s="3433"/>
      <c r="Z20" s="1572"/>
      <c r="AA20" s="1573">
        <v>1</v>
      </c>
      <c r="AB20" s="1573">
        <v>1</v>
      </c>
      <c r="AC20" s="1573">
        <v>1</v>
      </c>
    </row>
    <row r="21" spans="1:29" ht="28.5">
      <c r="A21" s="530"/>
      <c r="B21" s="2587" t="s">
        <v>2550</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8"/>
      <c r="M21" s="2130"/>
      <c r="N21" s="2130"/>
      <c r="O21" s="2137"/>
      <c r="P21" s="3433"/>
      <c r="Q21" s="2575" t="str">
        <f>B21</f>
        <v>基础设施水平</v>
      </c>
      <c r="R21" s="1570" t="s">
        <v>8</v>
      </c>
      <c r="S21" s="1571">
        <f>F21</f>
        <v>100</v>
      </c>
      <c r="T21" s="1570" t="s">
        <v>8</v>
      </c>
      <c r="U21" s="1571">
        <f>H21</f>
        <v>100</v>
      </c>
      <c r="V21" s="1570" t="s">
        <v>8</v>
      </c>
      <c r="W21" s="1571">
        <f>J21</f>
        <v>100</v>
      </c>
      <c r="X21" s="2577"/>
      <c r="Y21" s="3433"/>
      <c r="Z21" s="2576"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8"/>
      <c r="L22" s="2138"/>
      <c r="M22" s="2130"/>
      <c r="N22" s="2130"/>
      <c r="O22" s="2137"/>
      <c r="P22" s="3433"/>
      <c r="Q22" s="2575"/>
      <c r="R22" s="1570"/>
      <c r="S22" s="1571"/>
      <c r="T22" s="1570"/>
      <c r="U22" s="1571"/>
      <c r="V22" s="1570"/>
      <c r="W22" s="1571"/>
      <c r="X22" s="2577"/>
      <c r="Y22" s="3433"/>
      <c r="Z22" s="2576"/>
      <c r="AA22" s="1573">
        <v>1</v>
      </c>
      <c r="AB22" s="1573">
        <v>1</v>
      </c>
      <c r="AC22" s="1573">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8"/>
      <c r="M23" s="2130"/>
      <c r="N23" s="2130"/>
      <c r="O23" s="2137"/>
      <c r="P23" s="3433"/>
      <c r="Q23" s="1569" t="str">
        <f>B23</f>
        <v>环境质量</v>
      </c>
      <c r="R23" s="1570" t="s">
        <v>8</v>
      </c>
      <c r="S23" s="1571">
        <f>F23</f>
        <v>100</v>
      </c>
      <c r="T23" s="1570" t="s">
        <v>8</v>
      </c>
      <c r="U23" s="1571">
        <f>H23</f>
        <v>100</v>
      </c>
      <c r="V23" s="1570" t="s">
        <v>8</v>
      </c>
      <c r="W23" s="1571">
        <f>J23</f>
        <v>100</v>
      </c>
      <c r="X23" s="1564"/>
      <c r="Y23" s="3433"/>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8"/>
      <c r="M24" s="2130"/>
      <c r="N24" s="2130"/>
      <c r="O24" s="2137"/>
      <c r="P24" s="3433"/>
      <c r="Q24" s="1569"/>
      <c r="R24" s="1570"/>
      <c r="S24" s="1571"/>
      <c r="T24" s="1570"/>
      <c r="U24" s="1571"/>
      <c r="V24" s="1570"/>
      <c r="W24" s="1571"/>
      <c r="X24" s="1564"/>
      <c r="Y24" s="3433"/>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433"/>
      <c r="Q25" s="1569">
        <f>B25</f>
        <v>111</v>
      </c>
      <c r="R25" s="1570" t="s">
        <v>8</v>
      </c>
      <c r="S25" s="1571">
        <f>F25</f>
        <v>100</v>
      </c>
      <c r="T25" s="1570" t="s">
        <v>8</v>
      </c>
      <c r="U25" s="1571">
        <f>H25</f>
        <v>100</v>
      </c>
      <c r="V25" s="1570" t="s">
        <v>8</v>
      </c>
      <c r="W25" s="1571">
        <f>J25</f>
        <v>100</v>
      </c>
      <c r="X25" s="1564"/>
      <c r="Y25" s="3433"/>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433"/>
      <c r="Q26" s="1569">
        <f t="shared" ref="Q26:Q40" si="11">B26</f>
        <v>111</v>
      </c>
      <c r="R26" s="1570" t="s">
        <v>8</v>
      </c>
      <c r="S26" s="1571">
        <f>F26</f>
        <v>100</v>
      </c>
      <c r="T26" s="1570" t="s">
        <v>8</v>
      </c>
      <c r="U26" s="1571">
        <f>H26</f>
        <v>100</v>
      </c>
      <c r="V26" s="1570" t="s">
        <v>8</v>
      </c>
      <c r="W26" s="1571">
        <f>J26</f>
        <v>100</v>
      </c>
      <c r="X26" s="1564"/>
      <c r="Y26" s="3433"/>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433"/>
      <c r="Q27" s="1149">
        <f t="shared" si="11"/>
        <v>111</v>
      </c>
      <c r="R27" s="1565" t="s">
        <v>8</v>
      </c>
      <c r="S27" s="1566">
        <f>F27</f>
        <v>100</v>
      </c>
      <c r="T27" s="1565" t="s">
        <v>8</v>
      </c>
      <c r="U27" s="1566">
        <f>H27</f>
        <v>100</v>
      </c>
      <c r="V27" s="1565" t="s">
        <v>8</v>
      </c>
      <c r="W27" s="1566">
        <f>J27</f>
        <v>100</v>
      </c>
      <c r="X27" s="1567"/>
      <c r="Y27" s="3433"/>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8"/>
      <c r="M28" s="2130"/>
      <c r="N28" s="2130"/>
      <c r="O28" s="2137"/>
      <c r="P28" s="3433"/>
      <c r="Q28" s="1569">
        <f t="shared" si="11"/>
        <v>111</v>
      </c>
      <c r="R28" s="1570" t="s">
        <v>8</v>
      </c>
      <c r="S28" s="1571">
        <f t="shared" ref="S28:S40" si="12">F28</f>
        <v>100</v>
      </c>
      <c r="T28" s="1570" t="s">
        <v>8</v>
      </c>
      <c r="U28" s="1571">
        <f t="shared" ref="U28:U40" si="13">H28</f>
        <v>100</v>
      </c>
      <c r="V28" s="1570" t="s">
        <v>8</v>
      </c>
      <c r="W28" s="1571">
        <f t="shared" ref="W28:W40" si="14">J28</f>
        <v>100</v>
      </c>
      <c r="X28" s="1564"/>
      <c r="Y28" s="3433"/>
      <c r="Z28" s="1572">
        <f t="shared" ref="Z28:Z40" si="15">Q28</f>
        <v>111</v>
      </c>
      <c r="AA28" s="1573">
        <f t="shared" si="3"/>
        <v>1</v>
      </c>
      <c r="AB28" s="1573">
        <f t="shared" si="4"/>
        <v>1</v>
      </c>
      <c r="AC28" s="1573">
        <f t="shared" si="5"/>
        <v>1</v>
      </c>
    </row>
    <row r="29" spans="1:29" ht="15">
      <c r="A29" s="2903" t="s">
        <v>2747</v>
      </c>
      <c r="B29" s="170" t="s">
        <v>777</v>
      </c>
      <c r="C29" s="914"/>
      <c r="D29" s="595">
        <v>100</v>
      </c>
      <c r="E29" s="914"/>
      <c r="F29" s="573">
        <f>SUMIF(88:88,E29,89:89)-SUMIF(88:88,C29,89:89)+100</f>
        <v>100</v>
      </c>
      <c r="G29" s="914"/>
      <c r="H29" s="538">
        <f>SUMIF(88:88,G29,89:89)-SUMIF(88:88,C29,89:89)+100</f>
        <v>100</v>
      </c>
      <c r="I29" s="914"/>
      <c r="J29" s="595">
        <f>SUMIF(88:88,I29,89:89)-SUMIF(88:88,C29,89:89)+100</f>
        <v>100</v>
      </c>
      <c r="K29" s="582"/>
      <c r="L29" s="2138"/>
      <c r="M29" s="2130"/>
      <c r="N29" s="2130"/>
      <c r="O29" s="2137"/>
      <c r="P29" s="3434" t="s">
        <v>547</v>
      </c>
      <c r="Q29" s="1569" t="str">
        <f t="shared" si="11"/>
        <v>建筑类型</v>
      </c>
      <c r="R29" s="1570" t="s">
        <v>8</v>
      </c>
      <c r="S29" s="1571">
        <f t="shared" si="12"/>
        <v>100</v>
      </c>
      <c r="T29" s="1570" t="s">
        <v>8</v>
      </c>
      <c r="U29" s="1571">
        <f t="shared" si="13"/>
        <v>100</v>
      </c>
      <c r="V29" s="1570" t="s">
        <v>8</v>
      </c>
      <c r="W29" s="1571">
        <f t="shared" si="14"/>
        <v>100</v>
      </c>
      <c r="X29" s="1564"/>
      <c r="Y29" s="3435" t="s">
        <v>547</v>
      </c>
      <c r="Z29" s="1572" t="str">
        <f t="shared" si="15"/>
        <v>建筑类型</v>
      </c>
      <c r="AA29" s="1573">
        <f t="shared" si="3"/>
        <v>1</v>
      </c>
      <c r="AB29" s="1573">
        <f t="shared" si="4"/>
        <v>1</v>
      </c>
      <c r="AC29" s="1573">
        <f t="shared" si="5"/>
        <v>1</v>
      </c>
    </row>
    <row r="30" spans="1:29" s="1337"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435"/>
      <c r="Q30" s="1602" t="str">
        <f t="shared" si="11"/>
        <v>项目建筑规模</v>
      </c>
      <c r="R30" s="1574" t="s">
        <v>8</v>
      </c>
      <c r="S30" s="1575" t="e">
        <f t="shared" si="12"/>
        <v>#N/A</v>
      </c>
      <c r="T30" s="1574" t="s">
        <v>8</v>
      </c>
      <c r="U30" s="1575" t="e">
        <f t="shared" si="13"/>
        <v>#N/A</v>
      </c>
      <c r="V30" s="1574" t="s">
        <v>8</v>
      </c>
      <c r="W30" s="1575" t="e">
        <f t="shared" si="14"/>
        <v>#N/A</v>
      </c>
      <c r="X30" s="1576"/>
      <c r="Y30" s="3435"/>
      <c r="Z30" s="1577" t="str">
        <f t="shared" si="15"/>
        <v>项目建筑规模</v>
      </c>
      <c r="AA30" s="1573" t="e">
        <f t="shared" si="3"/>
        <v>#N/A</v>
      </c>
      <c r="AB30" s="1573" t="e">
        <f t="shared" si="4"/>
        <v>#N/A</v>
      </c>
      <c r="AC30" s="1573"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435"/>
      <c r="Q31" s="1569" t="str">
        <f t="shared" si="11"/>
        <v>建筑结构</v>
      </c>
      <c r="R31" s="1570" t="s">
        <v>8</v>
      </c>
      <c r="S31" s="1571">
        <f t="shared" si="12"/>
        <v>100</v>
      </c>
      <c r="T31" s="1570" t="s">
        <v>8</v>
      </c>
      <c r="U31" s="1571">
        <f t="shared" si="13"/>
        <v>100</v>
      </c>
      <c r="V31" s="1570" t="s">
        <v>8</v>
      </c>
      <c r="W31" s="1571">
        <f t="shared" si="14"/>
        <v>100</v>
      </c>
      <c r="X31" s="1564"/>
      <c r="Y31" s="3435"/>
      <c r="Z31" s="1572" t="str">
        <f t="shared" si="15"/>
        <v>建筑结构</v>
      </c>
      <c r="AA31" s="1573">
        <f t="shared" si="3"/>
        <v>1</v>
      </c>
      <c r="AB31" s="1573">
        <f t="shared" si="4"/>
        <v>1</v>
      </c>
      <c r="AC31" s="1573">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435"/>
      <c r="Q32" s="1569" t="str">
        <f t="shared" si="11"/>
        <v>公共部分装修</v>
      </c>
      <c r="R32" s="1570" t="s">
        <v>8</v>
      </c>
      <c r="S32" s="1571">
        <f t="shared" si="12"/>
        <v>100</v>
      </c>
      <c r="T32" s="1570" t="s">
        <v>8</v>
      </c>
      <c r="U32" s="1571">
        <f t="shared" si="13"/>
        <v>100</v>
      </c>
      <c r="V32" s="1570" t="s">
        <v>8</v>
      </c>
      <c r="W32" s="1571">
        <f t="shared" si="14"/>
        <v>100</v>
      </c>
      <c r="X32" s="1564"/>
      <c r="Y32" s="3435"/>
      <c r="Z32" s="1572" t="str">
        <f t="shared" si="15"/>
        <v>公共部分装修</v>
      </c>
      <c r="AA32" s="1573">
        <f t="shared" si="3"/>
        <v>1</v>
      </c>
      <c r="AB32" s="1573">
        <f t="shared" si="4"/>
        <v>1</v>
      </c>
      <c r="AC32" s="1573">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8"/>
      <c r="M33" s="2130"/>
      <c r="N33" s="2130"/>
      <c r="O33" s="2137"/>
      <c r="P33" s="3435"/>
      <c r="Q33" s="1569" t="str">
        <f t="shared" si="11"/>
        <v>成新度</v>
      </c>
      <c r="R33" s="1570" t="s">
        <v>8</v>
      </c>
      <c r="S33" s="1571" t="e">
        <f t="shared" si="12"/>
        <v>#N/A</v>
      </c>
      <c r="T33" s="1570" t="s">
        <v>8</v>
      </c>
      <c r="U33" s="1571" t="e">
        <f t="shared" si="13"/>
        <v>#N/A</v>
      </c>
      <c r="V33" s="1570" t="s">
        <v>8</v>
      </c>
      <c r="W33" s="1571" t="e">
        <f t="shared" si="14"/>
        <v>#N/A</v>
      </c>
      <c r="X33" s="1564"/>
      <c r="Y33" s="3435"/>
      <c r="Z33" s="1572" t="str">
        <f t="shared" si="15"/>
        <v>成新度</v>
      </c>
      <c r="AA33" s="1573" t="e">
        <f t="shared" si="3"/>
        <v>#N/A</v>
      </c>
      <c r="AB33" s="1573" t="e">
        <f t="shared" si="4"/>
        <v>#N/A</v>
      </c>
      <c r="AC33" s="1573" t="e">
        <f t="shared" si="5"/>
        <v>#N/A</v>
      </c>
    </row>
    <row r="34" spans="1:29" s="1218"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435"/>
      <c r="Q34" s="1149" t="str">
        <f t="shared" si="11"/>
        <v>物业管理</v>
      </c>
      <c r="R34" s="1565" t="s">
        <v>8</v>
      </c>
      <c r="S34" s="1566">
        <f t="shared" si="12"/>
        <v>100</v>
      </c>
      <c r="T34" s="1565" t="s">
        <v>8</v>
      </c>
      <c r="U34" s="1566">
        <f t="shared" si="13"/>
        <v>100</v>
      </c>
      <c r="V34" s="1565" t="s">
        <v>8</v>
      </c>
      <c r="W34" s="1566">
        <f t="shared" si="14"/>
        <v>100</v>
      </c>
      <c r="X34" s="1567"/>
      <c r="Y34" s="3435"/>
      <c r="Z34" s="1148" t="str">
        <f t="shared" si="15"/>
        <v>物业管理</v>
      </c>
      <c r="AA34" s="1568">
        <f t="shared" si="3"/>
        <v>1</v>
      </c>
      <c r="AB34" s="1568">
        <f t="shared" si="4"/>
        <v>1</v>
      </c>
      <c r="AC34" s="1568">
        <f t="shared" si="5"/>
        <v>1</v>
      </c>
    </row>
    <row r="35" spans="1:29" ht="15">
      <c r="A35" s="592"/>
      <c r="B35" s="1891" t="s">
        <v>2557</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435" t="s">
        <v>547</v>
      </c>
      <c r="Q35" s="1569" t="str">
        <f t="shared" si="11"/>
        <v>市政基础设施</v>
      </c>
      <c r="R35" s="1570" t="s">
        <v>8</v>
      </c>
      <c r="S35" s="1571">
        <f t="shared" si="12"/>
        <v>100</v>
      </c>
      <c r="T35" s="1570" t="s">
        <v>8</v>
      </c>
      <c r="U35" s="1571">
        <f t="shared" si="13"/>
        <v>100</v>
      </c>
      <c r="V35" s="1570" t="s">
        <v>8</v>
      </c>
      <c r="W35" s="1571">
        <f t="shared" si="14"/>
        <v>100</v>
      </c>
      <c r="X35" s="1564"/>
      <c r="Y35" s="3435" t="s">
        <v>547</v>
      </c>
      <c r="Z35" s="1572" t="str">
        <f t="shared" si="15"/>
        <v>市政基础设施</v>
      </c>
      <c r="AA35" s="1573">
        <f t="shared" si="3"/>
        <v>1</v>
      </c>
      <c r="AB35" s="1573">
        <f t="shared" si="4"/>
        <v>1</v>
      </c>
      <c r="AC35" s="1573">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435"/>
      <c r="Q36" s="1569" t="str">
        <f t="shared" si="11"/>
        <v>内部装修</v>
      </c>
      <c r="R36" s="1570" t="s">
        <v>8</v>
      </c>
      <c r="S36" s="1571">
        <f t="shared" si="12"/>
        <v>100</v>
      </c>
      <c r="T36" s="1570" t="s">
        <v>8</v>
      </c>
      <c r="U36" s="1571">
        <f t="shared" si="13"/>
        <v>100</v>
      </c>
      <c r="V36" s="1570" t="s">
        <v>8</v>
      </c>
      <c r="W36" s="1571">
        <f t="shared" si="14"/>
        <v>100</v>
      </c>
      <c r="X36" s="1564"/>
      <c r="Y36" s="3435"/>
      <c r="Z36" s="1572" t="str">
        <f t="shared" si="15"/>
        <v>内部装修</v>
      </c>
      <c r="AA36" s="1573">
        <f t="shared" si="3"/>
        <v>1</v>
      </c>
      <c r="AB36" s="1573">
        <f t="shared" si="4"/>
        <v>1</v>
      </c>
      <c r="AC36" s="1573">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435"/>
      <c r="Q37" s="1569" t="str">
        <f t="shared" si="11"/>
        <v>内部装修状况</v>
      </c>
      <c r="R37" s="1570" t="s">
        <v>8</v>
      </c>
      <c r="S37" s="1571">
        <f t="shared" si="12"/>
        <v>100</v>
      </c>
      <c r="T37" s="1570" t="s">
        <v>8</v>
      </c>
      <c r="U37" s="1571">
        <f t="shared" si="13"/>
        <v>100</v>
      </c>
      <c r="V37" s="1570" t="s">
        <v>8</v>
      </c>
      <c r="W37" s="1571">
        <f t="shared" si="14"/>
        <v>100</v>
      </c>
      <c r="X37" s="1564"/>
      <c r="Y37" s="3435"/>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6"/>
      <c r="M38" s="2167"/>
      <c r="N38" s="2167"/>
      <c r="O38" s="2139"/>
      <c r="P38" s="3435"/>
      <c r="Q38" s="1602">
        <f t="shared" si="11"/>
        <v>111</v>
      </c>
      <c r="R38" s="1574" t="s">
        <v>8</v>
      </c>
      <c r="S38" s="1575">
        <f t="shared" si="12"/>
        <v>100</v>
      </c>
      <c r="T38" s="1574" t="s">
        <v>8</v>
      </c>
      <c r="U38" s="1575">
        <f t="shared" si="13"/>
        <v>100</v>
      </c>
      <c r="V38" s="1574" t="s">
        <v>8</v>
      </c>
      <c r="W38" s="1575">
        <f t="shared" si="14"/>
        <v>100</v>
      </c>
      <c r="X38" s="1576"/>
      <c r="Y38" s="3435"/>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8"/>
      <c r="M39" s="2130"/>
      <c r="N39" s="2130"/>
      <c r="O39" s="2137"/>
      <c r="P39" s="3435"/>
      <c r="Q39" s="1569">
        <f t="shared" si="11"/>
        <v>111</v>
      </c>
      <c r="R39" s="1570" t="s">
        <v>8</v>
      </c>
      <c r="S39" s="1571">
        <f t="shared" si="12"/>
        <v>100</v>
      </c>
      <c r="T39" s="1570" t="s">
        <v>8</v>
      </c>
      <c r="U39" s="1571">
        <f t="shared" si="13"/>
        <v>100</v>
      </c>
      <c r="V39" s="1570" t="s">
        <v>8</v>
      </c>
      <c r="W39" s="1571">
        <f t="shared" si="14"/>
        <v>100</v>
      </c>
      <c r="X39" s="1564"/>
      <c r="Y39" s="3435"/>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8"/>
      <c r="M40" s="2130"/>
      <c r="N40" s="2130"/>
      <c r="O40" s="2137"/>
      <c r="P40" s="3489"/>
      <c r="Q40" s="1569">
        <f t="shared" si="11"/>
        <v>111</v>
      </c>
      <c r="R40" s="1570" t="s">
        <v>8</v>
      </c>
      <c r="S40" s="1571">
        <f t="shared" si="12"/>
        <v>100</v>
      </c>
      <c r="T40" s="1570" t="s">
        <v>8</v>
      </c>
      <c r="U40" s="1571">
        <f t="shared" si="13"/>
        <v>100</v>
      </c>
      <c r="V40" s="1570" t="s">
        <v>8</v>
      </c>
      <c r="W40" s="1571">
        <f t="shared" si="14"/>
        <v>100</v>
      </c>
      <c r="X40" s="1564"/>
      <c r="Y40" s="3489"/>
      <c r="Z40" s="1572">
        <f t="shared" si="15"/>
        <v>111</v>
      </c>
      <c r="AA40" s="1573">
        <f t="shared" si="3"/>
        <v>1</v>
      </c>
      <c r="AB40" s="1573">
        <f t="shared" si="4"/>
        <v>1</v>
      </c>
      <c r="AC40" s="1573">
        <f t="shared" si="5"/>
        <v>1</v>
      </c>
    </row>
    <row r="41" spans="1:29" ht="15">
      <c r="A41" s="605" t="s">
        <v>733</v>
      </c>
      <c r="B41" s="885"/>
      <c r="C41" s="2623" t="s">
        <v>1</v>
      </c>
      <c r="D41" s="2624"/>
      <c r="E41" s="2625"/>
      <c r="F41" s="2626"/>
      <c r="G41" s="2627"/>
      <c r="H41" s="2628"/>
      <c r="I41" s="2625"/>
      <c r="J41" s="2628"/>
      <c r="K41" s="1608"/>
      <c r="L41" s="2140"/>
      <c r="M41" s="2141"/>
      <c r="N41" s="2130"/>
      <c r="O41" s="2141"/>
      <c r="P41" s="3397" t="str">
        <f>A41</f>
        <v>成交单价（元/平方米）</v>
      </c>
      <c r="Q41" s="3397"/>
      <c r="R41" s="3488">
        <f>E41</f>
        <v>0</v>
      </c>
      <c r="S41" s="3488"/>
      <c r="T41" s="3488">
        <f>G41</f>
        <v>0</v>
      </c>
      <c r="U41" s="3488"/>
      <c r="V41" s="3488">
        <f>I41</f>
        <v>0</v>
      </c>
      <c r="W41" s="3488"/>
      <c r="X41" s="1556"/>
      <c r="Y41" s="1578"/>
      <c r="Z41" s="1556"/>
      <c r="AA41" s="1556"/>
      <c r="AB41" s="1556"/>
      <c r="AC41" s="1556"/>
    </row>
    <row r="42" spans="1:29" ht="15.75" thickBot="1">
      <c r="A42" s="613" t="s">
        <v>2752</v>
      </c>
      <c r="B42" s="886"/>
      <c r="C42" s="2629" t="e">
        <f>R43</f>
        <v>#DIV/0!</v>
      </c>
      <c r="D42" s="2630"/>
      <c r="E42" s="2631" t="e">
        <f>R42</f>
        <v>#DIV/0!</v>
      </c>
      <c r="F42" s="2631"/>
      <c r="G42" s="2629" t="e">
        <f>T42</f>
        <v>#DIV/0!</v>
      </c>
      <c r="H42" s="2630"/>
      <c r="I42" s="2631" t="e">
        <f>V42</f>
        <v>#DIV/0!</v>
      </c>
      <c r="J42" s="2630"/>
      <c r="K42" s="1609"/>
      <c r="L42" s="2140"/>
      <c r="M42" s="2141"/>
      <c r="N42" s="2130"/>
      <c r="O42" s="2141"/>
      <c r="P42" s="3397" t="str">
        <f>A42</f>
        <v>比较价格（元/平方米）</v>
      </c>
      <c r="Q42" s="339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56"/>
      <c r="Y42" s="1556"/>
      <c r="Z42" s="1556"/>
      <c r="AA42" s="1556"/>
      <c r="AB42" s="1556"/>
      <c r="AC42" s="1556"/>
    </row>
    <row r="43" spans="1:29" ht="15.75" thickBot="1">
      <c r="A43" s="619" t="s">
        <v>2921</v>
      </c>
      <c r="B43" s="620"/>
      <c r="C43" s="2632" t="e">
        <f>R43</f>
        <v>#DIV/0!</v>
      </c>
      <c r="D43" s="2632"/>
      <c r="E43" s="2632"/>
      <c r="F43" s="2632"/>
      <c r="G43" s="2632"/>
      <c r="H43" s="2632"/>
      <c r="I43" s="2632"/>
      <c r="J43" s="2632"/>
      <c r="K43" s="1610"/>
      <c r="L43" s="2140"/>
      <c r="M43" s="2141"/>
      <c r="N43" s="2141"/>
      <c r="O43" s="2141"/>
      <c r="P43" s="3394" t="str">
        <f>A43</f>
        <v>估价对象XX用房的比较价格（楼面单价，元/平方米）</v>
      </c>
      <c r="Q43" s="3395"/>
      <c r="R43" s="3487" t="e">
        <f>IF(F1="售价",ROUND(AVERAGE(R42:V42),0),ROUND(AVERAGE(R42:V42),1))</f>
        <v>#DIV/0!</v>
      </c>
      <c r="S43" s="3487"/>
      <c r="T43" s="3487"/>
      <c r="U43" s="3487"/>
      <c r="V43" s="3487"/>
      <c r="W43" s="3487"/>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571</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3" t="s">
        <v>526</v>
      </c>
      <c r="B52" s="644"/>
      <c r="C52" s="2798" t="str">
        <f>YEAR(C7)&amp;"-"&amp;MONTH(C7)</f>
        <v>2018-12</v>
      </c>
      <c r="D52" s="2800">
        <f>EDATE(C52,-1)</f>
        <v>43405</v>
      </c>
      <c r="E52" s="2800">
        <f t="shared" ref="E52:O52" si="16">EDATE(D52,-1)</f>
        <v>43374</v>
      </c>
      <c r="F52" s="2800">
        <f t="shared" si="16"/>
        <v>43344</v>
      </c>
      <c r="G52" s="2800">
        <f t="shared" si="16"/>
        <v>43313</v>
      </c>
      <c r="H52" s="2800">
        <f t="shared" si="16"/>
        <v>43282</v>
      </c>
      <c r="I52" s="2800">
        <f t="shared" si="16"/>
        <v>43252</v>
      </c>
      <c r="J52" s="2800">
        <f t="shared" si="16"/>
        <v>43221</v>
      </c>
      <c r="K52" s="2800">
        <f t="shared" si="16"/>
        <v>43191</v>
      </c>
      <c r="L52" s="2800">
        <f t="shared" si="16"/>
        <v>43160</v>
      </c>
      <c r="M52" s="2800">
        <f t="shared" si="16"/>
        <v>43132</v>
      </c>
      <c r="N52" s="2800">
        <f t="shared" si="16"/>
        <v>43101</v>
      </c>
      <c r="O52" s="2800">
        <f t="shared" si="16"/>
        <v>43070</v>
      </c>
      <c r="P52" s="2156"/>
      <c r="Q52" s="2157"/>
      <c r="R52" s="2157"/>
      <c r="S52" s="2157"/>
      <c r="T52" s="2157"/>
      <c r="U52" s="2157"/>
      <c r="V52" s="2157"/>
      <c r="W52" s="2157"/>
      <c r="X52" s="2157"/>
      <c r="Y52" s="2157"/>
      <c r="Z52" s="2157"/>
      <c r="AA52" s="2157"/>
      <c r="AB52" s="2157"/>
      <c r="AC52" s="2157"/>
    </row>
    <row r="53" spans="1:29" s="1218" customFormat="1" ht="15">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8" customFormat="1" ht="15.75" thickBot="1">
      <c r="A54" s="651" t="s">
        <v>572</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8" customFormat="1" ht="15">
      <c r="A55" s="657" t="s">
        <v>528</v>
      </c>
      <c r="B55" s="646"/>
      <c r="C55" s="658" t="s">
        <v>573</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c r="A57" s="662" t="s">
        <v>574</v>
      </c>
      <c r="B57" s="663" t="s">
        <v>531</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c r="A70" s="662" t="s">
        <v>536</v>
      </c>
      <c r="B70" s="663" t="s">
        <v>582</v>
      </c>
      <c r="C70" s="701" t="s">
        <v>576</v>
      </c>
      <c r="D70" s="701" t="s">
        <v>577</v>
      </c>
      <c r="E70" s="701" t="s">
        <v>578</v>
      </c>
      <c r="F70" s="701" t="s">
        <v>579</v>
      </c>
      <c r="G70" s="701" t="s">
        <v>580</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75" thickTop="1">
      <c r="A72" s="667"/>
      <c r="B72" s="671" t="s">
        <v>583</v>
      </c>
      <c r="C72" s="706" t="s">
        <v>576</v>
      </c>
      <c r="D72" s="706" t="s">
        <v>577</v>
      </c>
      <c r="E72" s="706" t="s">
        <v>578</v>
      </c>
      <c r="F72" s="706" t="s">
        <v>579</v>
      </c>
      <c r="G72" s="706" t="s">
        <v>580</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75" thickTop="1">
      <c r="A74" s="667"/>
      <c r="B74" s="1892" t="s">
        <v>2549</v>
      </c>
      <c r="C74" s="706" t="s">
        <v>576</v>
      </c>
      <c r="D74" s="706" t="s">
        <v>577</v>
      </c>
      <c r="E74" s="706" t="s">
        <v>578</v>
      </c>
      <c r="F74" s="706" t="s">
        <v>579</v>
      </c>
      <c r="G74" s="706" t="s">
        <v>580</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2593" t="s">
        <v>2550</v>
      </c>
      <c r="C76" s="2594" t="s">
        <v>2551</v>
      </c>
      <c r="D76" s="2594" t="s">
        <v>2552</v>
      </c>
      <c r="E76" s="2594" t="s">
        <v>2553</v>
      </c>
      <c r="F76" s="2594" t="s">
        <v>2554</v>
      </c>
      <c r="G76" s="2594" t="s">
        <v>2555</v>
      </c>
      <c r="H76" s="933"/>
      <c r="I76" s="933"/>
      <c r="J76" s="933"/>
      <c r="K76" s="933"/>
      <c r="L76" s="933"/>
      <c r="M76" s="557"/>
      <c r="N76" s="2162"/>
      <c r="O76" s="2162"/>
      <c r="P76" s="2161"/>
      <c r="Q76" s="2154"/>
      <c r="R76" s="2141"/>
      <c r="S76" s="2141"/>
      <c r="T76" s="2141"/>
      <c r="U76" s="2141"/>
      <c r="V76" s="2141"/>
      <c r="W76" s="2141"/>
      <c r="X76" s="2141"/>
      <c r="Y76" s="2141"/>
      <c r="Z76" s="2141"/>
      <c r="AA76" s="2141"/>
      <c r="AB76" s="2141"/>
      <c r="AC76" s="2141"/>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781</v>
      </c>
      <c r="C78" s="706" t="s">
        <v>576</v>
      </c>
      <c r="D78" s="706" t="s">
        <v>577</v>
      </c>
      <c r="E78" s="706" t="s">
        <v>578</v>
      </c>
      <c r="F78" s="706" t="s">
        <v>579</v>
      </c>
      <c r="G78" s="706" t="s">
        <v>580</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7"/>
      <c r="B80" s="671">
        <f>B25</f>
        <v>111</v>
      </c>
      <c r="C80" s="686"/>
      <c r="D80" s="686"/>
      <c r="E80" s="686"/>
      <c r="F80" s="686"/>
      <c r="G80" s="686"/>
      <c r="H80" s="686"/>
      <c r="I80" s="686"/>
      <c r="J80" s="686"/>
      <c r="K80" s="686"/>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7"/>
      <c r="B82" s="671">
        <f>B26</f>
        <v>111</v>
      </c>
      <c r="C82" s="686"/>
      <c r="D82" s="686"/>
      <c r="E82" s="686"/>
      <c r="F82" s="686"/>
      <c r="G82" s="686"/>
      <c r="H82" s="686"/>
      <c r="I82" s="686"/>
      <c r="J82" s="686"/>
      <c r="K82" s="686"/>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5"/>
      <c r="B84" s="671">
        <f>B27</f>
        <v>111</v>
      </c>
      <c r="C84" s="686"/>
      <c r="D84" s="686"/>
      <c r="E84" s="686"/>
      <c r="F84" s="686"/>
      <c r="G84" s="686"/>
      <c r="H84" s="686"/>
      <c r="I84" s="686"/>
      <c r="J84" s="686"/>
      <c r="K84" s="686"/>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5.75"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5.75" thickBot="1">
      <c r="A87" s="891"/>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c r="A88" s="662" t="s">
        <v>548</v>
      </c>
      <c r="B88" s="663" t="s">
        <v>744</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746</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748</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6"/>
      <c r="B100" s="671" t="s">
        <v>750</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2548</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752</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5"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891"/>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1901</v>
      </c>
    </row>
    <row r="2" spans="1:4">
      <c r="A2" s="1775"/>
    </row>
    <row r="3" spans="1:4" ht="18.75">
      <c r="A3" s="1793" t="str">
        <f>项目基本情况!B5&amp;"："</f>
        <v>石家庄安联房地产开发有限公司：</v>
      </c>
    </row>
    <row r="4" spans="1:4" ht="56.25">
      <c r="A4" s="1787" t="str">
        <f>"受贵公司委托，我公司对"&amp;项目基本情况!K2&amp;项目基本情况!B9&amp;"进行了预评估。"</f>
        <v>受贵公司委托，我公司对河北省石家庄市长安区和平东路以北、东二环北路东侧商业、地下车库、地下仓储用地出让国有建设用地使用权出让国有建设用地使用权抵押价格进行了预评估。</v>
      </c>
    </row>
    <row r="5" spans="1:4" ht="18.75">
      <c r="A5" s="1790" t="s">
        <v>1902</v>
      </c>
    </row>
    <row r="6" spans="1:4" ht="131.2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7" spans="1:4" ht="93.75">
      <c r="A7" s="2869" t="s">
        <v>2740</v>
      </c>
    </row>
    <row r="8" spans="1:4" ht="18.75">
      <c r="A8" s="1790" t="s">
        <v>1903</v>
      </c>
    </row>
    <row r="9" spans="1:4" ht="75">
      <c r="A9" s="179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2023</v>
      </c>
    </row>
    <row r="11" spans="1:4" ht="18.75">
      <c r="A11" s="1776" t="str">
        <f>TEXT(项目基本情况!D3,"yyyy年m月d日;;")&amp;IF(项目基本情况!B3=项目基本情况!D3,"（评估专业人员勘察现场之日）","")</f>
        <v>2018年12月13日（评估专业人员勘察现场之日）</v>
      </c>
    </row>
    <row r="12" spans="1:4" ht="18.75">
      <c r="A12" s="1793" t="s">
        <v>2022</v>
      </c>
    </row>
    <row r="13" spans="1:4" ht="18.75">
      <c r="A13" s="1787" t="s">
        <v>2068</v>
      </c>
    </row>
    <row r="14" spans="1:4" ht="37.5">
      <c r="A14" s="1787" t="str">
        <f>"根据"&amp;项目基本情况!F12&amp;"，本次评估估价对象证载（地类）用途为"&amp;项目基本情况!B12&amp;"。"</f>
        <v>根据《国有土地使用证》[长安国用（2014）第00003号]，本次评估估价对象证载（地类）用途为商务金融用地。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本次评估设定用途即为证载用途商业、地下车库及地下仓储。</v>
      </c>
      <c r="C15" s="1777"/>
      <c r="D15" s="1778"/>
    </row>
    <row r="16" spans="1:4" ht="18.75">
      <c r="A16" s="1787" t="s">
        <v>2069</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2070</v>
      </c>
    </row>
    <row r="20" spans="1:1" ht="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安国用（2014）第00003号]，估价对象（分摊）出让国有建设用地使用权面积为32181.54平方米。根据《建设工程规划许可证》[建字第建管130100201800074、130100201800082号]，估价对象规划建筑面积为186890.99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2071</v>
      </c>
    </row>
    <row r="23" spans="1:1" ht="18.75">
      <c r="A23" s="2871" t="s">
        <v>2741</v>
      </c>
    </row>
    <row r="24" spans="1:1" ht="18.75">
      <c r="A24" s="1787" t="s">
        <v>2072</v>
      </c>
    </row>
    <row r="25" spans="1:1" ht="93.75">
      <c r="A25" s="1787" t="str">
        <f>定义!C53</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2024</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921"/>
      <c r="C1" s="502" t="s">
        <v>789</v>
      </c>
      <c r="D1" s="847"/>
      <c r="E1" s="504"/>
      <c r="F1" s="2803"/>
      <c r="G1" s="1598" t="s">
        <v>790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791</v>
      </c>
      <c r="B2" s="848"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792</v>
      </c>
      <c r="B3" s="508" t="e">
        <f>IF(B37="元/平方米",C39,ROUND(B2*10000/D3,0))</f>
        <v>#DIV/0!</v>
      </c>
      <c r="C3" s="850" t="s">
        <v>793</v>
      </c>
      <c r="D3" s="849">
        <f>SUMIF('数据-汇总表'!$C19:$C33,D1,'数据-汇总表'!$E19:$E33)</f>
        <v>0</v>
      </c>
      <c r="E3" s="1844" t="s">
        <v>2073</v>
      </c>
      <c r="F3" s="849">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794</v>
      </c>
      <c r="B4" s="511"/>
      <c r="C4" s="3403" t="s">
        <v>795</v>
      </c>
      <c r="D4" s="3404"/>
      <c r="E4" s="3403" t="s">
        <v>796</v>
      </c>
      <c r="F4" s="3404"/>
      <c r="G4" s="3403" t="s">
        <v>797</v>
      </c>
      <c r="H4" s="3404"/>
      <c r="I4" s="3403" t="s">
        <v>798</v>
      </c>
      <c r="J4" s="3404"/>
      <c r="K4" s="512" t="s">
        <v>799</v>
      </c>
      <c r="L4" s="2129"/>
      <c r="M4" s="2130"/>
      <c r="N4" s="2130"/>
      <c r="O4" s="2130"/>
      <c r="P4" s="3405" t="s">
        <v>800</v>
      </c>
      <c r="Q4" s="3406"/>
      <c r="R4" s="3411" t="s">
        <v>796</v>
      </c>
      <c r="S4" s="3412"/>
      <c r="T4" s="3411" t="s">
        <v>797</v>
      </c>
      <c r="U4" s="3412"/>
      <c r="V4" s="3398" t="s">
        <v>798</v>
      </c>
      <c r="W4" s="3398"/>
      <c r="X4" s="1564"/>
      <c r="Y4" s="3411" t="s">
        <v>800</v>
      </c>
      <c r="Z4" s="3412"/>
      <c r="AA4" s="3400" t="s">
        <v>796</v>
      </c>
      <c r="AB4" s="3401" t="s">
        <v>797</v>
      </c>
      <c r="AC4" s="3400" t="s">
        <v>798</v>
      </c>
    </row>
    <row r="5" spans="1:29" ht="15">
      <c r="A5" s="513"/>
      <c r="B5" s="514"/>
      <c r="C5" s="3419" t="s">
        <v>2915</v>
      </c>
      <c r="D5" s="3420"/>
      <c r="E5" s="3419" t="s">
        <v>2916</v>
      </c>
      <c r="F5" s="3420"/>
      <c r="G5" s="3419" t="s">
        <v>2917</v>
      </c>
      <c r="H5" s="3420"/>
      <c r="I5" s="3419" t="s">
        <v>2918</v>
      </c>
      <c r="J5" s="3420"/>
      <c r="K5" s="512"/>
      <c r="L5" s="2129"/>
      <c r="M5" s="2130"/>
      <c r="N5" s="2130"/>
      <c r="O5" s="2130"/>
      <c r="P5" s="3407"/>
      <c r="Q5" s="3408"/>
      <c r="R5" s="3413"/>
      <c r="S5" s="3414"/>
      <c r="T5" s="3413"/>
      <c r="U5" s="3414"/>
      <c r="V5" s="3398"/>
      <c r="W5" s="3398"/>
      <c r="X5" s="1564"/>
      <c r="Y5" s="3413"/>
      <c r="Z5" s="3414"/>
      <c r="AA5" s="3401"/>
      <c r="AB5" s="3401"/>
      <c r="AC5" s="3401"/>
    </row>
    <row r="6" spans="1:29" ht="15.75" thickBot="1">
      <c r="A6" s="515"/>
      <c r="B6" s="516"/>
      <c r="C6" s="3417" t="s">
        <v>2919</v>
      </c>
      <c r="D6" s="3418"/>
      <c r="E6" s="3421" t="s">
        <v>2919</v>
      </c>
      <c r="F6" s="3422"/>
      <c r="G6" s="3417" t="s">
        <v>2919</v>
      </c>
      <c r="H6" s="3418"/>
      <c r="I6" s="3417" t="s">
        <v>2919</v>
      </c>
      <c r="J6" s="3418"/>
      <c r="K6" s="512" t="s">
        <v>525</v>
      </c>
      <c r="L6" s="2129"/>
      <c r="M6" s="2130"/>
      <c r="N6" s="2130"/>
      <c r="O6" s="2130"/>
      <c r="P6" s="3409"/>
      <c r="Q6" s="3410"/>
      <c r="R6" s="3413"/>
      <c r="S6" s="3414"/>
      <c r="T6" s="3415"/>
      <c r="U6" s="3416"/>
      <c r="V6" s="3398"/>
      <c r="W6" s="3398"/>
      <c r="X6" s="1564"/>
      <c r="Y6" s="3415"/>
      <c r="Z6" s="3416"/>
      <c r="AA6" s="3402"/>
      <c r="AB6" s="3402"/>
      <c r="AC6" s="3402"/>
    </row>
    <row r="7" spans="1:29" s="1218" customFormat="1" ht="15.75" thickBot="1">
      <c r="A7" s="2908"/>
      <c r="B7" s="2915" t="s">
        <v>526</v>
      </c>
      <c r="C7" s="517">
        <f>'数据-取费表'!B2</f>
        <v>43447</v>
      </c>
      <c r="D7" s="518">
        <v>100</v>
      </c>
      <c r="E7" s="519"/>
      <c r="F7" s="520">
        <f>SUMIF(48:48,YEAR(E7)&amp;"-"&amp;MONTH(E7),49:49)</f>
        <v>0</v>
      </c>
      <c r="G7" s="521"/>
      <c r="H7" s="518">
        <f>SUMIF(48:48,YEAR(G7)&amp;"-"&amp;MONTH(G7),49:49)</f>
        <v>0</v>
      </c>
      <c r="I7" s="521"/>
      <c r="J7" s="518">
        <f>SUMIF(48:48,YEAR(I7)&amp;"-"&amp;MONTH(I7),49:49)</f>
        <v>0</v>
      </c>
      <c r="K7" s="522"/>
      <c r="L7" s="2131"/>
      <c r="M7" s="2132"/>
      <c r="N7" s="2132"/>
      <c r="O7" s="2132"/>
      <c r="P7" s="3429" t="s">
        <v>527</v>
      </c>
      <c r="Q7" s="3431"/>
      <c r="R7" s="1565" t="s">
        <v>8</v>
      </c>
      <c r="S7" s="1566">
        <f t="shared" ref="S7:S14" si="0">F7</f>
        <v>0</v>
      </c>
      <c r="T7" s="1565" t="s">
        <v>8</v>
      </c>
      <c r="U7" s="1566">
        <f t="shared" ref="U7:U14" si="1">H7</f>
        <v>0</v>
      </c>
      <c r="V7" s="1565" t="s">
        <v>8</v>
      </c>
      <c r="W7" s="1566">
        <f t="shared" ref="W7:W14" si="2">J7</f>
        <v>0</v>
      </c>
      <c r="X7" s="1567"/>
      <c r="Y7" s="3429" t="s">
        <v>527</v>
      </c>
      <c r="Z7" s="3430"/>
      <c r="AA7" s="1568" t="e">
        <f>D7/F7</f>
        <v>#DIV/0!</v>
      </c>
      <c r="AB7" s="1568" t="e">
        <f>D7/H7</f>
        <v>#DIV/0!</v>
      </c>
      <c r="AC7" s="1568" t="e">
        <f>D7/J7</f>
        <v>#DIV/0!</v>
      </c>
    </row>
    <row r="8" spans="1:29" s="1218" customFormat="1" ht="15.75" thickBot="1">
      <c r="A8" s="2909"/>
      <c r="B8" s="2916" t="s">
        <v>528</v>
      </c>
      <c r="C8" s="523" t="s">
        <v>573</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429" t="s">
        <v>530</v>
      </c>
      <c r="Q8" s="3430"/>
      <c r="R8" s="1565" t="s">
        <v>8</v>
      </c>
      <c r="S8" s="1566">
        <f t="shared" si="0"/>
        <v>0</v>
      </c>
      <c r="T8" s="1565" t="s">
        <v>8</v>
      </c>
      <c r="U8" s="1566">
        <f t="shared" si="1"/>
        <v>0</v>
      </c>
      <c r="V8" s="1565" t="s">
        <v>8</v>
      </c>
      <c r="W8" s="1566">
        <f t="shared" si="2"/>
        <v>0</v>
      </c>
      <c r="X8" s="1567"/>
      <c r="Y8" s="3429" t="s">
        <v>530</v>
      </c>
      <c r="Z8" s="3430"/>
      <c r="AA8" s="1568" t="e">
        <f t="shared" ref="AA8:AA36" si="3">D8/F8</f>
        <v>#DIV/0!</v>
      </c>
      <c r="AB8" s="1568" t="e">
        <f t="shared" ref="AB8:AB36" si="4">D8/H8</f>
        <v>#DIV/0!</v>
      </c>
      <c r="AC8" s="1568" t="e">
        <f t="shared" ref="AC8:AC36" si="5">D8/J8</f>
        <v>#DIV/0!</v>
      </c>
    </row>
    <row r="9" spans="1:29" s="1218" customFormat="1" ht="15">
      <c r="A9" s="2910"/>
      <c r="B9" s="2917" t="s">
        <v>2748</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397" t="s">
        <v>532</v>
      </c>
      <c r="Q9" s="1149" t="str">
        <f t="shared" ref="Q9:Q14" si="6">B9</f>
        <v>用途</v>
      </c>
      <c r="R9" s="1565" t="s">
        <v>8</v>
      </c>
      <c r="S9" s="1566">
        <f t="shared" si="0"/>
        <v>100</v>
      </c>
      <c r="T9" s="1565" t="s">
        <v>8</v>
      </c>
      <c r="U9" s="1566">
        <f t="shared" si="1"/>
        <v>100</v>
      </c>
      <c r="V9" s="1565" t="s">
        <v>8</v>
      </c>
      <c r="W9" s="1566">
        <f t="shared" si="2"/>
        <v>100</v>
      </c>
      <c r="X9" s="1567"/>
      <c r="Y9" s="3343" t="s">
        <v>533</v>
      </c>
      <c r="Z9" s="1148" t="str">
        <f t="shared" ref="Z9:Z14" si="7">Q9</f>
        <v>用途</v>
      </c>
      <c r="AA9" s="1568">
        <f t="shared" si="3"/>
        <v>1</v>
      </c>
      <c r="AB9" s="1568">
        <f t="shared" si="4"/>
        <v>1</v>
      </c>
      <c r="AC9" s="1568">
        <f t="shared" si="5"/>
        <v>1</v>
      </c>
    </row>
    <row r="10" spans="1:29" s="1336" customFormat="1" ht="27">
      <c r="A10" s="2911"/>
      <c r="B10" s="2916" t="s">
        <v>2749</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3"/>
      <c r="B11" s="2919">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397"/>
      <c r="Q11" s="1149">
        <f t="shared" si="6"/>
        <v>111</v>
      </c>
      <c r="R11" s="1565" t="s">
        <v>8</v>
      </c>
      <c r="S11" s="1566">
        <f t="shared" si="0"/>
        <v>100</v>
      </c>
      <c r="T11" s="1565" t="s">
        <v>8</v>
      </c>
      <c r="U11" s="1566">
        <f t="shared" si="1"/>
        <v>100</v>
      </c>
      <c r="V11" s="1565" t="s">
        <v>8</v>
      </c>
      <c r="W11" s="1566">
        <f t="shared" si="2"/>
        <v>100</v>
      </c>
      <c r="X11" s="1567"/>
      <c r="Y11" s="3343"/>
      <c r="Z11" s="1148">
        <f t="shared" si="7"/>
        <v>111</v>
      </c>
      <c r="AA11" s="1568">
        <f t="shared" si="3"/>
        <v>1</v>
      </c>
      <c r="AB11" s="1568">
        <f t="shared" si="4"/>
        <v>1</v>
      </c>
      <c r="AC11" s="1568">
        <f t="shared" si="5"/>
        <v>1</v>
      </c>
    </row>
    <row r="12" spans="1:29" s="1218" customFormat="1" ht="15">
      <c r="A12" s="2913"/>
      <c r="B12" s="2919">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397"/>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75" thickBot="1">
      <c r="A13" s="2914"/>
      <c r="B13" s="2920">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397"/>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14">
      <c r="A14" s="2906" t="s">
        <v>2746</v>
      </c>
      <c r="B14" s="545" t="s">
        <v>540</v>
      </c>
      <c r="C14" s="919" t="str">
        <f>IF(B1="工业",估价对象房地状况!G4,估价对象房地状况!C6)</f>
        <v>周边有4路、45路、98路等多条公交线路，邻近东二环北路，路网密集度一般、停车较便捷，综合评价交通便捷度较好。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8"/>
      <c r="M14" s="2130"/>
      <c r="N14" s="2130"/>
      <c r="O14" s="2137"/>
      <c r="P14" s="3432" t="s">
        <v>537</v>
      </c>
      <c r="Q14" s="1569" t="str">
        <f t="shared" si="6"/>
        <v>交通便捷度</v>
      </c>
      <c r="R14" s="1570" t="s">
        <v>8</v>
      </c>
      <c r="S14" s="1571">
        <f t="shared" si="0"/>
        <v>100</v>
      </c>
      <c r="T14" s="1570" t="s">
        <v>8</v>
      </c>
      <c r="U14" s="1571">
        <f t="shared" si="1"/>
        <v>100</v>
      </c>
      <c r="V14" s="1570" t="s">
        <v>8</v>
      </c>
      <c r="W14" s="1571">
        <f t="shared" si="2"/>
        <v>100</v>
      </c>
      <c r="X14" s="1564"/>
      <c r="Y14" s="3432" t="s">
        <v>537</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8"/>
      <c r="M15" s="2130"/>
      <c r="N15" s="2130"/>
      <c r="O15" s="2137"/>
      <c r="P15" s="3433"/>
      <c r="Q15" s="1569"/>
      <c r="R15" s="1570"/>
      <c r="S15" s="1571"/>
      <c r="T15" s="1570"/>
      <c r="U15" s="1571"/>
      <c r="V15" s="1570"/>
      <c r="W15" s="1571"/>
      <c r="X15" s="1564"/>
      <c r="Y15" s="3433"/>
      <c r="Z15" s="1572"/>
      <c r="AA15" s="1573">
        <v>1</v>
      </c>
      <c r="AB15" s="1573">
        <v>1</v>
      </c>
      <c r="AC15" s="1573">
        <v>1</v>
      </c>
    </row>
    <row r="16" spans="1:29" ht="42.75">
      <c r="A16" s="513"/>
      <c r="B16" s="2599" t="s">
        <v>2538</v>
      </c>
      <c r="C16" s="870" t="str">
        <f>IF(B1="工业",估价对象房地状况!G5,估价对象房地状况!C7)</f>
        <v>所在区域公共配套设施齐备情况较好。</v>
      </c>
      <c r="D16" s="563">
        <v>100</v>
      </c>
      <c r="E16" s="570"/>
      <c r="F16" s="569">
        <f>SUMIF(65:65,E17,66:66)-SUMIF(65:65,C17,66:66)+100</f>
        <v>100</v>
      </c>
      <c r="G16" s="570"/>
      <c r="H16" s="563">
        <f>SUMIF(65:65,G17,66:66)-SUMIF(65:65,C17,66:66)+100</f>
        <v>100</v>
      </c>
      <c r="I16" s="568"/>
      <c r="J16" s="563">
        <f>SUMIF(65:65,I17,66:66)-SUMIF(65:65,C17,66:66)+100</f>
        <v>100</v>
      </c>
      <c r="K16" s="896"/>
      <c r="L16" s="2138"/>
      <c r="M16" s="2130"/>
      <c r="N16" s="2130"/>
      <c r="O16" s="2137"/>
      <c r="P16" s="3433"/>
      <c r="Q16" s="1569" t="str">
        <f>B16</f>
        <v>公共配套设施</v>
      </c>
      <c r="R16" s="1570" t="s">
        <v>8</v>
      </c>
      <c r="S16" s="1571">
        <f>F16</f>
        <v>100</v>
      </c>
      <c r="T16" s="1570" t="s">
        <v>8</v>
      </c>
      <c r="U16" s="1571">
        <f>H16</f>
        <v>100</v>
      </c>
      <c r="V16" s="1570" t="s">
        <v>8</v>
      </c>
      <c r="W16" s="1571">
        <f>J16</f>
        <v>100</v>
      </c>
      <c r="X16" s="1564"/>
      <c r="Y16" s="3433"/>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8"/>
      <c r="M17" s="2130"/>
      <c r="N17" s="2130"/>
      <c r="O17" s="2137"/>
      <c r="P17" s="3433"/>
      <c r="Q17" s="1569"/>
      <c r="R17" s="1570"/>
      <c r="S17" s="1571"/>
      <c r="T17" s="1570"/>
      <c r="U17" s="1571"/>
      <c r="V17" s="1570"/>
      <c r="W17" s="1571"/>
      <c r="X17" s="1564"/>
      <c r="Y17" s="3433"/>
      <c r="Z17" s="1572"/>
      <c r="AA17" s="1573">
        <v>1</v>
      </c>
      <c r="AB17" s="1573">
        <v>1</v>
      </c>
      <c r="AC17" s="1573">
        <v>1</v>
      </c>
    </row>
    <row r="18" spans="1:29" ht="42.75">
      <c r="A18" s="513"/>
      <c r="B18" s="2587" t="s">
        <v>2550</v>
      </c>
      <c r="C18" s="870" t="str">
        <f>IF(B1="工业",估价对象房地状况!G6,估价对象房地状况!C8)</f>
        <v>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6"/>
      <c r="L18" s="2138"/>
      <c r="M18" s="2130"/>
      <c r="N18" s="2130"/>
      <c r="O18" s="2137"/>
      <c r="P18" s="3433"/>
      <c r="Q18" s="2575" t="str">
        <f>B18</f>
        <v>基础设施水平</v>
      </c>
      <c r="R18" s="1570" t="s">
        <v>8</v>
      </c>
      <c r="S18" s="1571">
        <f>F18</f>
        <v>100</v>
      </c>
      <c r="T18" s="1570" t="s">
        <v>8</v>
      </c>
      <c r="U18" s="1571">
        <f>H18</f>
        <v>100</v>
      </c>
      <c r="V18" s="1570" t="s">
        <v>8</v>
      </c>
      <c r="W18" s="1571">
        <f>J18</f>
        <v>100</v>
      </c>
      <c r="X18" s="2577"/>
      <c r="Y18" s="3433"/>
      <c r="Z18" s="2576"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8"/>
      <c r="L19" s="2138"/>
      <c r="M19" s="2130"/>
      <c r="N19" s="2130"/>
      <c r="O19" s="2137"/>
      <c r="P19" s="3433"/>
      <c r="Q19" s="2575"/>
      <c r="R19" s="1570"/>
      <c r="S19" s="1571"/>
      <c r="T19" s="1570"/>
      <c r="U19" s="1571"/>
      <c r="V19" s="1570"/>
      <c r="W19" s="1571"/>
      <c r="X19" s="2577"/>
      <c r="Y19" s="3433"/>
      <c r="Z19" s="2576"/>
      <c r="AA19" s="1573">
        <v>1</v>
      </c>
      <c r="AB19" s="1573">
        <v>1</v>
      </c>
      <c r="AC19" s="1573">
        <v>1</v>
      </c>
    </row>
    <row r="20" spans="1:29" ht="99.75">
      <c r="A20" s="513"/>
      <c r="B20" s="558" t="s">
        <v>801</v>
      </c>
      <c r="C20" s="870" t="str">
        <f>IF(B1="工业",估价对象房地状况!G7,估价对象房地状况!C9)</f>
        <v>所在区域有三角河公园，自然环境一般；无博物馆等人文设施，人文环境差；综合评价环境状况较差。</v>
      </c>
      <c r="D20" s="563">
        <v>100</v>
      </c>
      <c r="E20" s="560"/>
      <c r="F20" s="561">
        <f>SUMIF(69:69,E21,70:70)-SUMIF(69:69,C21,70:70)+100</f>
        <v>100</v>
      </c>
      <c r="G20" s="562"/>
      <c r="H20" s="557">
        <f>SUMIF(69:69,G21,70:70)-SUMIF(69:69,C21,70:70)+100</f>
        <v>100</v>
      </c>
      <c r="I20" s="560"/>
      <c r="J20" s="557">
        <f>SUMIF(69:69,I21,70:70)-SUMIF(69:69,C21,70:70)+100</f>
        <v>100</v>
      </c>
      <c r="K20" s="896"/>
      <c r="L20" s="2138"/>
      <c r="M20" s="2130"/>
      <c r="N20" s="2130"/>
      <c r="O20" s="2137"/>
      <c r="P20" s="3433"/>
      <c r="Q20" s="1569" t="str">
        <f>B20</f>
        <v>自然及人文环境</v>
      </c>
      <c r="R20" s="1570" t="s">
        <v>8</v>
      </c>
      <c r="S20" s="1571">
        <f>F20</f>
        <v>100</v>
      </c>
      <c r="T20" s="1570" t="s">
        <v>8</v>
      </c>
      <c r="U20" s="1571">
        <f>H20</f>
        <v>100</v>
      </c>
      <c r="V20" s="1570" t="s">
        <v>8</v>
      </c>
      <c r="W20" s="1571">
        <f>J20</f>
        <v>100</v>
      </c>
      <c r="X20" s="1564"/>
      <c r="Y20" s="3433"/>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8"/>
      <c r="M21" s="2130"/>
      <c r="N21" s="2130"/>
      <c r="O21" s="2137"/>
      <c r="P21" s="3433"/>
      <c r="Q21" s="1569"/>
      <c r="R21" s="1570"/>
      <c r="S21" s="1571"/>
      <c r="T21" s="1570"/>
      <c r="U21" s="1571"/>
      <c r="V21" s="1570"/>
      <c r="W21" s="1571"/>
      <c r="X21" s="1564"/>
      <c r="Y21" s="3433"/>
      <c r="Z21" s="1572"/>
      <c r="AA21" s="1573">
        <v>1</v>
      </c>
      <c r="AB21" s="1573">
        <v>1</v>
      </c>
      <c r="AC21" s="1573">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433"/>
      <c r="Q22" s="1569" t="str">
        <f>B22</f>
        <v>楼层</v>
      </c>
      <c r="R22" s="1570" t="s">
        <v>8</v>
      </c>
      <c r="S22" s="1571">
        <f>F22</f>
        <v>100</v>
      </c>
      <c r="T22" s="1570" t="s">
        <v>8</v>
      </c>
      <c r="U22" s="1571">
        <f>H22</f>
        <v>100</v>
      </c>
      <c r="V22" s="1570" t="s">
        <v>8</v>
      </c>
      <c r="W22" s="1571">
        <f>J22</f>
        <v>100</v>
      </c>
      <c r="X22" s="1564"/>
      <c r="Y22" s="3433"/>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433"/>
      <c r="Q23" s="1569">
        <f>B23</f>
        <v>111</v>
      </c>
      <c r="R23" s="1570" t="s">
        <v>8</v>
      </c>
      <c r="S23" s="1571">
        <f>F23</f>
        <v>100</v>
      </c>
      <c r="T23" s="1570" t="s">
        <v>8</v>
      </c>
      <c r="U23" s="1571">
        <f>H23</f>
        <v>100</v>
      </c>
      <c r="V23" s="1570" t="s">
        <v>8</v>
      </c>
      <c r="W23" s="1571">
        <f>J23</f>
        <v>100</v>
      </c>
      <c r="X23" s="1564"/>
      <c r="Y23" s="3433"/>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433"/>
      <c r="Q24" s="1569">
        <f t="shared" ref="Q24:Q36" si="11">B24</f>
        <v>111</v>
      </c>
      <c r="R24" s="1570" t="s">
        <v>8</v>
      </c>
      <c r="S24" s="1571">
        <f>F24</f>
        <v>100</v>
      </c>
      <c r="T24" s="1570" t="s">
        <v>8</v>
      </c>
      <c r="U24" s="1571">
        <f>H24</f>
        <v>100</v>
      </c>
      <c r="V24" s="1570" t="s">
        <v>8</v>
      </c>
      <c r="W24" s="1571">
        <f>J24</f>
        <v>100</v>
      </c>
      <c r="X24" s="1564"/>
      <c r="Y24" s="3433"/>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1"/>
      <c r="M25" s="2132"/>
      <c r="N25" s="2132"/>
      <c r="O25" s="2133"/>
      <c r="P25" s="3433"/>
      <c r="Q25" s="1149">
        <f t="shared" si="11"/>
        <v>111</v>
      </c>
      <c r="R25" s="1565" t="s">
        <v>8</v>
      </c>
      <c r="S25" s="1566">
        <f>F25</f>
        <v>100</v>
      </c>
      <c r="T25" s="1565" t="s">
        <v>8</v>
      </c>
      <c r="U25" s="1566">
        <f>H25</f>
        <v>100</v>
      </c>
      <c r="V25" s="1565" t="s">
        <v>8</v>
      </c>
      <c r="W25" s="1566">
        <f>J25</f>
        <v>100</v>
      </c>
      <c r="X25" s="1567"/>
      <c r="Y25" s="3433"/>
      <c r="Z25" s="1148">
        <f>Q25</f>
        <v>111</v>
      </c>
      <c r="AA25" s="1573">
        <f>D25/F25</f>
        <v>1</v>
      </c>
      <c r="AB25" s="1573">
        <f>D25/H25</f>
        <v>1</v>
      </c>
      <c r="AC25" s="1573">
        <f>D25/J25</f>
        <v>1</v>
      </c>
    </row>
    <row r="26" spans="1:29" ht="15">
      <c r="A26" s="2903" t="s">
        <v>2747</v>
      </c>
      <c r="B26" s="168"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434" t="s">
        <v>547</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5" t="s">
        <v>547</v>
      </c>
      <c r="Z26" s="1572" t="str">
        <f t="shared" ref="Z26:Z36" si="15">Q26</f>
        <v>配套类型</v>
      </c>
      <c r="AA26" s="1573">
        <f t="shared" si="3"/>
        <v>1</v>
      </c>
      <c r="AB26" s="1573">
        <f t="shared" si="4"/>
        <v>1</v>
      </c>
      <c r="AC26" s="1573">
        <f t="shared" si="5"/>
        <v>1</v>
      </c>
    </row>
    <row r="27" spans="1:29" s="1337"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36"/>
      <c r="M27" s="2167"/>
      <c r="N27" s="2167"/>
      <c r="O27" s="2139"/>
      <c r="P27" s="3435"/>
      <c r="Q27" s="1602" t="str">
        <f t="shared" si="11"/>
        <v>项目停车位配比</v>
      </c>
      <c r="R27" s="1574" t="s">
        <v>8</v>
      </c>
      <c r="S27" s="1575">
        <f t="shared" si="12"/>
        <v>100</v>
      </c>
      <c r="T27" s="1574" t="s">
        <v>8</v>
      </c>
      <c r="U27" s="1575">
        <f t="shared" si="13"/>
        <v>100</v>
      </c>
      <c r="V27" s="1574" t="s">
        <v>8</v>
      </c>
      <c r="W27" s="1575">
        <f t="shared" si="14"/>
        <v>100</v>
      </c>
      <c r="X27" s="1576"/>
      <c r="Y27" s="3435"/>
      <c r="Z27" s="1577" t="str">
        <f t="shared" si="15"/>
        <v>项目停车位配比</v>
      </c>
      <c r="AA27" s="1573">
        <f t="shared" si="3"/>
        <v>1</v>
      </c>
      <c r="AB27" s="1573">
        <f t="shared" si="4"/>
        <v>1</v>
      </c>
      <c r="AC27" s="1573">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435"/>
      <c r="Q28" s="1569" t="str">
        <f t="shared" si="11"/>
        <v>公共部分装修</v>
      </c>
      <c r="R28" s="1570" t="s">
        <v>8</v>
      </c>
      <c r="S28" s="1571">
        <f t="shared" si="12"/>
        <v>100</v>
      </c>
      <c r="T28" s="1570" t="s">
        <v>8</v>
      </c>
      <c r="U28" s="1571">
        <f t="shared" si="13"/>
        <v>100</v>
      </c>
      <c r="V28" s="1570" t="s">
        <v>8</v>
      </c>
      <c r="W28" s="1571">
        <f t="shared" si="14"/>
        <v>100</v>
      </c>
      <c r="X28" s="1564"/>
      <c r="Y28" s="3435"/>
      <c r="Z28" s="1572" t="str">
        <f t="shared" si="15"/>
        <v>公共部分装修</v>
      </c>
      <c r="AA28" s="1573">
        <f t="shared" si="3"/>
        <v>1</v>
      </c>
      <c r="AB28" s="1573">
        <f t="shared" si="4"/>
        <v>1</v>
      </c>
      <c r="AC28" s="1573">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8"/>
      <c r="M29" s="2130"/>
      <c r="N29" s="2130"/>
      <c r="O29" s="2137"/>
      <c r="P29" s="3435"/>
      <c r="Q29" s="1569" t="str">
        <f t="shared" si="11"/>
        <v>成新率</v>
      </c>
      <c r="R29" s="1570" t="s">
        <v>8</v>
      </c>
      <c r="S29" s="1571" t="e">
        <f t="shared" si="12"/>
        <v>#N/A</v>
      </c>
      <c r="T29" s="1570" t="s">
        <v>8</v>
      </c>
      <c r="U29" s="1571" t="e">
        <f t="shared" si="13"/>
        <v>#N/A</v>
      </c>
      <c r="V29" s="1570" t="s">
        <v>8</v>
      </c>
      <c r="W29" s="1571" t="e">
        <f t="shared" si="14"/>
        <v>#N/A</v>
      </c>
      <c r="X29" s="1564"/>
      <c r="Y29" s="3435"/>
      <c r="Z29" s="1572" t="str">
        <f t="shared" si="15"/>
        <v>成新率</v>
      </c>
      <c r="AA29" s="1573" t="e">
        <f t="shared" si="3"/>
        <v>#N/A</v>
      </c>
      <c r="AB29" s="1573" t="e">
        <f t="shared" si="4"/>
        <v>#N/A</v>
      </c>
      <c r="AC29" s="1573"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38"/>
      <c r="M30" s="2130"/>
      <c r="N30" s="2130"/>
      <c r="O30" s="2137"/>
      <c r="P30" s="3435"/>
      <c r="Q30" s="1569" t="str">
        <f t="shared" si="11"/>
        <v>物业等级</v>
      </c>
      <c r="R30" s="1570" t="s">
        <v>8</v>
      </c>
      <c r="S30" s="1571">
        <f t="shared" si="12"/>
        <v>100</v>
      </c>
      <c r="T30" s="1570" t="s">
        <v>8</v>
      </c>
      <c r="U30" s="1571">
        <f t="shared" si="13"/>
        <v>100</v>
      </c>
      <c r="V30" s="1570" t="s">
        <v>8</v>
      </c>
      <c r="W30" s="1571">
        <f t="shared" si="14"/>
        <v>100</v>
      </c>
      <c r="X30" s="1564"/>
      <c r="Y30" s="3435"/>
      <c r="Z30" s="1572" t="str">
        <f t="shared" si="15"/>
        <v>物业等级</v>
      </c>
      <c r="AA30" s="1573">
        <f t="shared" si="3"/>
        <v>1</v>
      </c>
      <c r="AB30" s="1573">
        <f t="shared" si="4"/>
        <v>1</v>
      </c>
      <c r="AC30" s="1573">
        <f t="shared" si="5"/>
        <v>1</v>
      </c>
    </row>
    <row r="31" spans="1:29" s="1218"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1"/>
      <c r="M31" s="2132"/>
      <c r="N31" s="2132"/>
      <c r="O31" s="2133"/>
      <c r="P31" s="3435"/>
      <c r="Q31" s="1149" t="str">
        <f t="shared" si="11"/>
        <v>停车位面积</v>
      </c>
      <c r="R31" s="1565" t="s">
        <v>8</v>
      </c>
      <c r="S31" s="1566" t="e">
        <f t="shared" si="12"/>
        <v>#N/A</v>
      </c>
      <c r="T31" s="1565" t="s">
        <v>8</v>
      </c>
      <c r="U31" s="1566" t="e">
        <f t="shared" si="13"/>
        <v>#N/A</v>
      </c>
      <c r="V31" s="1565" t="s">
        <v>8</v>
      </c>
      <c r="W31" s="1566" t="e">
        <f t="shared" si="14"/>
        <v>#N/A</v>
      </c>
      <c r="X31" s="1567"/>
      <c r="Y31" s="3435"/>
      <c r="Z31" s="1148" t="str">
        <f t="shared" si="15"/>
        <v>停车位面积</v>
      </c>
      <c r="AA31" s="1568" t="e">
        <f t="shared" si="3"/>
        <v>#N/A</v>
      </c>
      <c r="AB31" s="1568" t="e">
        <f t="shared" si="4"/>
        <v>#N/A</v>
      </c>
      <c r="AC31" s="1568"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435" t="s">
        <v>547</v>
      </c>
      <c r="Q32" s="1569" t="str">
        <f t="shared" si="11"/>
        <v>车位类型</v>
      </c>
      <c r="R32" s="1570" t="s">
        <v>8</v>
      </c>
      <c r="S32" s="1571">
        <f t="shared" si="12"/>
        <v>100</v>
      </c>
      <c r="T32" s="1570" t="s">
        <v>8</v>
      </c>
      <c r="U32" s="1571">
        <f t="shared" si="13"/>
        <v>100</v>
      </c>
      <c r="V32" s="1570" t="s">
        <v>8</v>
      </c>
      <c r="W32" s="1571">
        <f t="shared" si="14"/>
        <v>100</v>
      </c>
      <c r="X32" s="1564"/>
      <c r="Y32" s="3435" t="s">
        <v>547</v>
      </c>
      <c r="Z32" s="1572" t="str">
        <f t="shared" si="15"/>
        <v>车位类型</v>
      </c>
      <c r="AA32" s="1573">
        <f t="shared" si="3"/>
        <v>1</v>
      </c>
      <c r="AB32" s="1573">
        <f t="shared" si="4"/>
        <v>1</v>
      </c>
      <c r="AC32" s="1573">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435"/>
      <c r="Q33" s="1569" t="str">
        <f t="shared" si="11"/>
        <v>是否直接入户</v>
      </c>
      <c r="R33" s="1570" t="s">
        <v>8</v>
      </c>
      <c r="S33" s="1571">
        <f t="shared" si="12"/>
        <v>100</v>
      </c>
      <c r="T33" s="1570" t="s">
        <v>8</v>
      </c>
      <c r="U33" s="1571">
        <f t="shared" si="13"/>
        <v>100</v>
      </c>
      <c r="V33" s="1570" t="s">
        <v>8</v>
      </c>
      <c r="W33" s="1571">
        <f t="shared" si="14"/>
        <v>100</v>
      </c>
      <c r="X33" s="1564"/>
      <c r="Y33" s="3435"/>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435"/>
      <c r="Q34" s="1569">
        <f t="shared" si="11"/>
        <v>111</v>
      </c>
      <c r="R34" s="1570" t="s">
        <v>8</v>
      </c>
      <c r="S34" s="1571">
        <f t="shared" si="12"/>
        <v>100</v>
      </c>
      <c r="T34" s="1570" t="s">
        <v>8</v>
      </c>
      <c r="U34" s="1571">
        <f t="shared" si="13"/>
        <v>100</v>
      </c>
      <c r="V34" s="1570" t="s">
        <v>8</v>
      </c>
      <c r="W34" s="1571">
        <f t="shared" si="14"/>
        <v>100</v>
      </c>
      <c r="X34" s="1564"/>
      <c r="Y34" s="3435"/>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435"/>
      <c r="Q35" s="1602">
        <f t="shared" si="11"/>
        <v>111</v>
      </c>
      <c r="R35" s="1574" t="s">
        <v>8</v>
      </c>
      <c r="S35" s="1575">
        <f t="shared" si="12"/>
        <v>100</v>
      </c>
      <c r="T35" s="1574" t="s">
        <v>8</v>
      </c>
      <c r="U35" s="1575">
        <f t="shared" si="13"/>
        <v>100</v>
      </c>
      <c r="V35" s="1574" t="s">
        <v>8</v>
      </c>
      <c r="W35" s="1575">
        <f t="shared" si="14"/>
        <v>100</v>
      </c>
      <c r="X35" s="1576"/>
      <c r="Y35" s="3435"/>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435"/>
      <c r="Q36" s="1569">
        <f t="shared" si="11"/>
        <v>111</v>
      </c>
      <c r="R36" s="1570" t="s">
        <v>8</v>
      </c>
      <c r="S36" s="1571">
        <f t="shared" si="12"/>
        <v>100</v>
      </c>
      <c r="T36" s="1570" t="s">
        <v>8</v>
      </c>
      <c r="U36" s="1571">
        <f t="shared" si="13"/>
        <v>100</v>
      </c>
      <c r="V36" s="1570" t="s">
        <v>8</v>
      </c>
      <c r="W36" s="1571">
        <f t="shared" si="14"/>
        <v>100</v>
      </c>
      <c r="X36" s="1564"/>
      <c r="Y36" s="3435"/>
      <c r="Z36" s="1572">
        <f t="shared" si="15"/>
        <v>111</v>
      </c>
      <c r="AA36" s="1573">
        <f t="shared" si="3"/>
        <v>1</v>
      </c>
      <c r="AB36" s="1573">
        <f t="shared" si="4"/>
        <v>1</v>
      </c>
      <c r="AC36" s="1573">
        <f t="shared" si="5"/>
        <v>1</v>
      </c>
    </row>
    <row r="37" spans="1:29" ht="15">
      <c r="A37" s="1842" t="s">
        <v>2074</v>
      </c>
      <c r="B37" s="1843" t="s">
        <v>2075</v>
      </c>
      <c r="C37" s="2623" t="s">
        <v>1</v>
      </c>
      <c r="D37" s="2624"/>
      <c r="E37" s="2625"/>
      <c r="F37" s="2626"/>
      <c r="G37" s="2627"/>
      <c r="H37" s="2628"/>
      <c r="I37" s="2625"/>
      <c r="J37" s="2628"/>
      <c r="K37" s="1608"/>
      <c r="L37" s="2140"/>
      <c r="M37" s="2141"/>
      <c r="N37" s="2130"/>
      <c r="O37" s="2141"/>
      <c r="P37" s="3397" t="str">
        <f>A37</f>
        <v>成交单价</v>
      </c>
      <c r="Q37" s="3397"/>
      <c r="R37" s="3488">
        <f>E37</f>
        <v>0</v>
      </c>
      <c r="S37" s="3488"/>
      <c r="T37" s="3488">
        <f>G37</f>
        <v>0</v>
      </c>
      <c r="U37" s="3488"/>
      <c r="V37" s="3488">
        <f>I37</f>
        <v>0</v>
      </c>
      <c r="W37" s="3488"/>
      <c r="X37" s="1556"/>
      <c r="Y37" s="1578"/>
      <c r="Z37" s="1556"/>
      <c r="AA37" s="1556"/>
      <c r="AB37" s="1556"/>
      <c r="AC37" s="1556"/>
    </row>
    <row r="38" spans="1:29" ht="15.75" thickBot="1">
      <c r="A38" s="613" t="s">
        <v>2752</v>
      </c>
      <c r="B38" s="886"/>
      <c r="C38" s="2629" t="e">
        <f>R39</f>
        <v>#DIV/0!</v>
      </c>
      <c r="D38" s="2630"/>
      <c r="E38" s="2631" t="e">
        <f>R38</f>
        <v>#DIV/0!</v>
      </c>
      <c r="F38" s="2631"/>
      <c r="G38" s="2629" t="e">
        <f>T38</f>
        <v>#DIV/0!</v>
      </c>
      <c r="H38" s="2630"/>
      <c r="I38" s="2631" t="e">
        <f>V38</f>
        <v>#DIV/0!</v>
      </c>
      <c r="J38" s="2630"/>
      <c r="K38" s="1609"/>
      <c r="L38" s="2140"/>
      <c r="M38" s="2141"/>
      <c r="N38" s="2141"/>
      <c r="O38" s="2141"/>
      <c r="P38" s="3397" t="str">
        <f>A38</f>
        <v>比较价格（元/平方米）</v>
      </c>
      <c r="Q38" s="339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56"/>
      <c r="Y38" s="1556"/>
      <c r="Z38" s="1556"/>
      <c r="AA38" s="1556"/>
      <c r="AB38" s="1556"/>
      <c r="AC38" s="1556"/>
    </row>
    <row r="39" spans="1:29" ht="15.75" thickBot="1">
      <c r="A39" s="619" t="s">
        <v>2921</v>
      </c>
      <c r="B39" s="620"/>
      <c r="C39" s="2632" t="e">
        <f>R39</f>
        <v>#DIV/0!</v>
      </c>
      <c r="D39" s="2632"/>
      <c r="E39" s="2632"/>
      <c r="F39" s="2632"/>
      <c r="G39" s="2632"/>
      <c r="H39" s="2632"/>
      <c r="I39" s="2632"/>
      <c r="J39" s="2632"/>
      <c r="K39" s="1610"/>
      <c r="L39" s="2140"/>
      <c r="M39" s="2141"/>
      <c r="N39" s="2141"/>
      <c r="O39" s="2141"/>
      <c r="P39" s="3394" t="str">
        <f>A39</f>
        <v>估价对象XX用房的比较价格（楼面单价，元/平方米）</v>
      </c>
      <c r="Q39" s="3395"/>
      <c r="R39" s="3487" t="e">
        <f>IF(F1="售价",ROUND(AVERAGE(R38:V38),0),ROUND(AVERAGE(R38:V38),1))</f>
        <v>#DIV/0!</v>
      </c>
      <c r="S39" s="3487"/>
      <c r="T39" s="3487"/>
      <c r="U39" s="3487"/>
      <c r="V39" s="3487"/>
      <c r="W39" s="3487"/>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571</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3" t="s">
        <v>526</v>
      </c>
      <c r="B48" s="644"/>
      <c r="C48" s="2798" t="str">
        <f>YEAR(C7)&amp;"-"&amp;MONTH(C7)</f>
        <v>2018-12</v>
      </c>
      <c r="D48" s="2800">
        <f>EDATE(C48,-1)</f>
        <v>43405</v>
      </c>
      <c r="E48" s="2800">
        <f t="shared" ref="E48:O48" si="16">EDATE(D48,-1)</f>
        <v>43374</v>
      </c>
      <c r="F48" s="2800">
        <f t="shared" si="16"/>
        <v>43344</v>
      </c>
      <c r="G48" s="2800">
        <f t="shared" si="16"/>
        <v>43313</v>
      </c>
      <c r="H48" s="2800">
        <f t="shared" si="16"/>
        <v>43282</v>
      </c>
      <c r="I48" s="2800">
        <f t="shared" si="16"/>
        <v>43252</v>
      </c>
      <c r="J48" s="2800">
        <f t="shared" si="16"/>
        <v>43221</v>
      </c>
      <c r="K48" s="2800">
        <f t="shared" si="16"/>
        <v>43191</v>
      </c>
      <c r="L48" s="2800">
        <f t="shared" si="16"/>
        <v>43160</v>
      </c>
      <c r="M48" s="2800">
        <f t="shared" si="16"/>
        <v>43132</v>
      </c>
      <c r="N48" s="2800">
        <f t="shared" si="16"/>
        <v>43101</v>
      </c>
      <c r="O48" s="2800">
        <f t="shared" si="16"/>
        <v>43070</v>
      </c>
      <c r="P48" s="2156"/>
      <c r="Q48" s="2157"/>
      <c r="R48" s="2157"/>
      <c r="S48" s="2157"/>
      <c r="T48" s="2157"/>
      <c r="U48" s="2157"/>
      <c r="V48" s="2157"/>
      <c r="W48" s="2157"/>
      <c r="X48" s="2157"/>
      <c r="Y48" s="2157"/>
      <c r="Z48" s="2157"/>
      <c r="AA48" s="2157"/>
      <c r="AB48" s="2157"/>
      <c r="AC48" s="2157"/>
    </row>
    <row r="49" spans="1:29" s="1218" customFormat="1" ht="15">
      <c r="A49" s="645"/>
      <c r="B49" s="646"/>
      <c r="C49" s="2799">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8" customFormat="1" ht="15.75" thickBot="1">
      <c r="A50" s="651" t="s">
        <v>572</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8" customFormat="1" ht="15">
      <c r="A51" s="657" t="s">
        <v>528</v>
      </c>
      <c r="B51" s="646"/>
      <c r="C51" s="658" t="s">
        <v>573</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c r="A53" s="662" t="s">
        <v>574</v>
      </c>
      <c r="B53" s="663" t="s">
        <v>531</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5.75"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5.75" thickTop="1">
      <c r="A57" s="667"/>
      <c r="B57" s="933">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1892" t="s">
        <v>2549</v>
      </c>
      <c r="C65" s="706" t="s">
        <v>576</v>
      </c>
      <c r="D65" s="706" t="s">
        <v>577</v>
      </c>
      <c r="E65" s="706" t="s">
        <v>578</v>
      </c>
      <c r="F65" s="706" t="s">
        <v>579</v>
      </c>
      <c r="G65" s="706" t="s">
        <v>580</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2593" t="s">
        <v>2550</v>
      </c>
      <c r="C67" s="2594" t="s">
        <v>2551</v>
      </c>
      <c r="D67" s="2594" t="s">
        <v>2552</v>
      </c>
      <c r="E67" s="2594" t="s">
        <v>2553</v>
      </c>
      <c r="F67" s="2594" t="s">
        <v>2554</v>
      </c>
      <c r="G67" s="2594" t="s">
        <v>2555</v>
      </c>
      <c r="H67" s="672"/>
      <c r="I67" s="672"/>
      <c r="J67" s="672"/>
      <c r="K67" s="672"/>
      <c r="L67" s="672"/>
      <c r="M67" s="2597"/>
      <c r="N67" s="2162"/>
      <c r="O67" s="2162"/>
      <c r="P67" s="2161"/>
      <c r="Q67" s="2154"/>
      <c r="R67" s="2141"/>
      <c r="S67" s="2141"/>
      <c r="T67" s="2141"/>
      <c r="U67" s="2141"/>
      <c r="V67" s="2141"/>
      <c r="W67" s="2141"/>
      <c r="X67" s="2141"/>
      <c r="Y67" s="2141"/>
      <c r="Z67" s="2141"/>
      <c r="AA67" s="2141"/>
      <c r="AB67" s="2141"/>
      <c r="AC67" s="2141"/>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741</v>
      </c>
      <c r="C69" s="706" t="s">
        <v>576</v>
      </c>
      <c r="D69" s="706" t="s">
        <v>577</v>
      </c>
      <c r="E69" s="706" t="s">
        <v>578</v>
      </c>
      <c r="F69" s="706" t="s">
        <v>579</v>
      </c>
      <c r="G69" s="706" t="s">
        <v>580</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75" thickTop="1">
      <c r="A71" s="667"/>
      <c r="B71" s="671" t="s">
        <v>742</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7"/>
      <c r="B73" s="671">
        <f>B23</f>
        <v>111</v>
      </c>
      <c r="C73" s="539"/>
      <c r="D73" s="539"/>
      <c r="E73" s="539"/>
      <c r="F73" s="539"/>
      <c r="G73" s="686"/>
      <c r="H73" s="686"/>
      <c r="I73" s="686"/>
      <c r="J73" s="686"/>
      <c r="K73" s="686"/>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7"/>
      <c r="B75" s="671">
        <f>B24</f>
        <v>111</v>
      </c>
      <c r="C75" s="539"/>
      <c r="D75" s="539"/>
      <c r="E75" s="539"/>
      <c r="F75" s="539"/>
      <c r="G75" s="686"/>
      <c r="H75" s="686"/>
      <c r="I75" s="686"/>
      <c r="J75" s="686"/>
      <c r="K75" s="686"/>
      <c r="L75" s="686"/>
      <c r="M75" s="889"/>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7.75" thickTop="1">
      <c r="A79" s="662" t="s">
        <v>548</v>
      </c>
      <c r="B79" s="663" t="s">
        <v>811</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7"/>
      <c r="B81" s="671" t="s">
        <v>812</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748</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814</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816</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817</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5" thickTop="1">
      <c r="A97" s="733"/>
      <c r="B97" s="915">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5.75"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7" customFormat="1" ht="15"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5"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921"/>
      <c r="C1" s="502" t="s">
        <v>789</v>
      </c>
      <c r="D1" s="847"/>
      <c r="E1" s="504"/>
      <c r="F1" s="2803"/>
      <c r="G1" s="1598" t="s">
        <v>790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791</v>
      </c>
      <c r="B2" s="848"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792</v>
      </c>
      <c r="B3" s="508" t="e">
        <f>C37</f>
        <v>#DIV/0!</v>
      </c>
      <c r="C3" s="850" t="s">
        <v>793</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794</v>
      </c>
      <c r="B4" s="511"/>
      <c r="C4" s="3403" t="s">
        <v>795</v>
      </c>
      <c r="D4" s="3404"/>
      <c r="E4" s="3438" t="s">
        <v>796</v>
      </c>
      <c r="F4" s="3439"/>
      <c r="G4" s="3403" t="s">
        <v>797</v>
      </c>
      <c r="H4" s="3404"/>
      <c r="I4" s="3403" t="s">
        <v>798</v>
      </c>
      <c r="J4" s="3404"/>
      <c r="K4" s="512" t="s">
        <v>799</v>
      </c>
      <c r="L4" s="2129"/>
      <c r="M4" s="2130"/>
      <c r="N4" s="2130"/>
      <c r="O4" s="2130"/>
      <c r="P4" s="3405" t="s">
        <v>800</v>
      </c>
      <c r="Q4" s="3406"/>
      <c r="R4" s="3411" t="s">
        <v>796</v>
      </c>
      <c r="S4" s="3412"/>
      <c r="T4" s="3411" t="s">
        <v>797</v>
      </c>
      <c r="U4" s="3412"/>
      <c r="V4" s="3398" t="s">
        <v>798</v>
      </c>
      <c r="W4" s="3398"/>
      <c r="X4" s="1564"/>
      <c r="Y4" s="3411" t="s">
        <v>800</v>
      </c>
      <c r="Z4" s="3412"/>
      <c r="AA4" s="3400" t="s">
        <v>796</v>
      </c>
      <c r="AB4" s="3401" t="s">
        <v>797</v>
      </c>
      <c r="AC4" s="3400" t="s">
        <v>798</v>
      </c>
    </row>
    <row r="5" spans="1:29" ht="15">
      <c r="A5" s="513"/>
      <c r="B5" s="514"/>
      <c r="C5" s="3419" t="s">
        <v>2915</v>
      </c>
      <c r="D5" s="3420"/>
      <c r="E5" s="3440" t="s">
        <v>2916</v>
      </c>
      <c r="F5" s="3441"/>
      <c r="G5" s="3419" t="s">
        <v>2917</v>
      </c>
      <c r="H5" s="3420"/>
      <c r="I5" s="3419" t="s">
        <v>2918</v>
      </c>
      <c r="J5" s="3420"/>
      <c r="K5" s="512"/>
      <c r="L5" s="2129"/>
      <c r="M5" s="2130"/>
      <c r="N5" s="2130"/>
      <c r="O5" s="2130"/>
      <c r="P5" s="3407"/>
      <c r="Q5" s="3408"/>
      <c r="R5" s="3413"/>
      <c r="S5" s="3414"/>
      <c r="T5" s="3413"/>
      <c r="U5" s="3414"/>
      <c r="V5" s="3398"/>
      <c r="W5" s="3398"/>
      <c r="X5" s="1564"/>
      <c r="Y5" s="3413"/>
      <c r="Z5" s="3414"/>
      <c r="AA5" s="3401"/>
      <c r="AB5" s="3401"/>
      <c r="AC5" s="3401"/>
    </row>
    <row r="6" spans="1:29" ht="15.75" thickBot="1">
      <c r="A6" s="515"/>
      <c r="B6" s="516"/>
      <c r="C6" s="3417" t="s">
        <v>2919</v>
      </c>
      <c r="D6" s="3418"/>
      <c r="E6" s="3436" t="s">
        <v>2919</v>
      </c>
      <c r="F6" s="3437"/>
      <c r="G6" s="3417" t="s">
        <v>2919</v>
      </c>
      <c r="H6" s="3418"/>
      <c r="I6" s="3417" t="s">
        <v>2919</v>
      </c>
      <c r="J6" s="3418"/>
      <c r="K6" s="512" t="s">
        <v>525</v>
      </c>
      <c r="L6" s="2129"/>
      <c r="M6" s="2130"/>
      <c r="N6" s="2130"/>
      <c r="O6" s="2130"/>
      <c r="P6" s="3409"/>
      <c r="Q6" s="3410"/>
      <c r="R6" s="3413"/>
      <c r="S6" s="3414"/>
      <c r="T6" s="3415"/>
      <c r="U6" s="3416"/>
      <c r="V6" s="3398"/>
      <c r="W6" s="3398"/>
      <c r="X6" s="1564"/>
      <c r="Y6" s="3415"/>
      <c r="Z6" s="3416"/>
      <c r="AA6" s="3402"/>
      <c r="AB6" s="3402"/>
      <c r="AC6" s="3402"/>
    </row>
    <row r="7" spans="1:29" s="1218" customFormat="1" ht="15.75" thickBot="1">
      <c r="A7" s="2908"/>
      <c r="B7" s="2915" t="s">
        <v>526</v>
      </c>
      <c r="C7" s="517">
        <f>'数据-取费表'!B2</f>
        <v>43447</v>
      </c>
      <c r="D7" s="518">
        <v>100</v>
      </c>
      <c r="E7" s="519"/>
      <c r="F7" s="520">
        <f>SUMIF(46:46,YEAR(E7)&amp;"-"&amp;MONTH(E7),47:47)</f>
        <v>0</v>
      </c>
      <c r="G7" s="521"/>
      <c r="H7" s="518">
        <f>SUMIF(46:46,YEAR(G7)&amp;"-"&amp;MONTH(G7),47:47)</f>
        <v>0</v>
      </c>
      <c r="I7" s="521"/>
      <c r="J7" s="518">
        <f>SUMIF(46:46,YEAR(I7)&amp;"-"&amp;MONTH(I7),47:47)</f>
        <v>0</v>
      </c>
      <c r="K7" s="522"/>
      <c r="L7" s="2131"/>
      <c r="M7" s="2132"/>
      <c r="N7" s="2132"/>
      <c r="O7" s="2132"/>
      <c r="P7" s="3429" t="s">
        <v>527</v>
      </c>
      <c r="Q7" s="3431"/>
      <c r="R7" s="1565" t="s">
        <v>8</v>
      </c>
      <c r="S7" s="1566">
        <f t="shared" ref="S7:S14" si="0">F7</f>
        <v>0</v>
      </c>
      <c r="T7" s="1565" t="s">
        <v>8</v>
      </c>
      <c r="U7" s="1566">
        <f t="shared" ref="U7:U14" si="1">H7</f>
        <v>0</v>
      </c>
      <c r="V7" s="1565" t="s">
        <v>8</v>
      </c>
      <c r="W7" s="1566">
        <f t="shared" ref="W7:W14" si="2">J7</f>
        <v>0</v>
      </c>
      <c r="X7" s="1567"/>
      <c r="Y7" s="3429" t="s">
        <v>527</v>
      </c>
      <c r="Z7" s="3430"/>
      <c r="AA7" s="1568" t="e">
        <f>D7/F7</f>
        <v>#DIV/0!</v>
      </c>
      <c r="AB7" s="1568" t="e">
        <f>D7/H7</f>
        <v>#DIV/0!</v>
      </c>
      <c r="AC7" s="1568" t="e">
        <f>D7/J7</f>
        <v>#DIV/0!</v>
      </c>
    </row>
    <row r="8" spans="1:29" s="1218" customFormat="1" ht="15.75" thickBot="1">
      <c r="A8" s="2909"/>
      <c r="B8" s="2916" t="s">
        <v>528</v>
      </c>
      <c r="C8" s="523" t="s">
        <v>573</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429" t="s">
        <v>530</v>
      </c>
      <c r="Q8" s="3430"/>
      <c r="R8" s="1565" t="s">
        <v>8</v>
      </c>
      <c r="S8" s="1566">
        <f t="shared" si="0"/>
        <v>0</v>
      </c>
      <c r="T8" s="1565" t="s">
        <v>8</v>
      </c>
      <c r="U8" s="1566">
        <f t="shared" si="1"/>
        <v>0</v>
      </c>
      <c r="V8" s="1565" t="s">
        <v>8</v>
      </c>
      <c r="W8" s="1566">
        <f t="shared" si="2"/>
        <v>0</v>
      </c>
      <c r="X8" s="1567"/>
      <c r="Y8" s="3429" t="s">
        <v>530</v>
      </c>
      <c r="Z8" s="3430"/>
      <c r="AA8" s="1568" t="e">
        <f t="shared" ref="AA8:AA34" si="3">D8/F8</f>
        <v>#DIV/0!</v>
      </c>
      <c r="AB8" s="1568" t="e">
        <f t="shared" ref="AB8:AB34" si="4">D8/H8</f>
        <v>#DIV/0!</v>
      </c>
      <c r="AC8" s="1568" t="e">
        <f t="shared" ref="AC8:AC34" si="5">D8/J8</f>
        <v>#DIV/0!</v>
      </c>
    </row>
    <row r="9" spans="1:29" s="1218" customFormat="1" ht="15">
      <c r="A9" s="2910"/>
      <c r="B9" s="2917" t="s">
        <v>2748</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397" t="s">
        <v>532</v>
      </c>
      <c r="Q9" s="1149" t="str">
        <f t="shared" ref="Q9:Q14" si="6">B9</f>
        <v>用途</v>
      </c>
      <c r="R9" s="1565" t="s">
        <v>8</v>
      </c>
      <c r="S9" s="1566">
        <f t="shared" si="0"/>
        <v>100</v>
      </c>
      <c r="T9" s="1565" t="s">
        <v>8</v>
      </c>
      <c r="U9" s="1566">
        <f t="shared" si="1"/>
        <v>100</v>
      </c>
      <c r="V9" s="1565" t="s">
        <v>8</v>
      </c>
      <c r="W9" s="1566">
        <f t="shared" si="2"/>
        <v>100</v>
      </c>
      <c r="X9" s="1567"/>
      <c r="Y9" s="3343" t="s">
        <v>533</v>
      </c>
      <c r="Z9" s="1148" t="str">
        <f t="shared" ref="Z9:Z14" si="7">Q9</f>
        <v>用途</v>
      </c>
      <c r="AA9" s="1568">
        <f t="shared" si="3"/>
        <v>1</v>
      </c>
      <c r="AB9" s="1568">
        <f t="shared" si="4"/>
        <v>1</v>
      </c>
      <c r="AC9" s="1568">
        <f t="shared" si="5"/>
        <v>1</v>
      </c>
    </row>
    <row r="10" spans="1:29" s="1336" customFormat="1" ht="27">
      <c r="A10" s="2911"/>
      <c r="B10" s="2916" t="s">
        <v>2749</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397"/>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3"/>
      <c r="B11" s="2919">
        <v>111</v>
      </c>
      <c r="C11" s="526"/>
      <c r="D11" s="253">
        <v>100</v>
      </c>
      <c r="E11" s="878"/>
      <c r="F11" s="253">
        <f>SUMIF(55:55,E11,56:56)-SUMIF(55:55,C11,56:56)+100</f>
        <v>100</v>
      </c>
      <c r="G11" s="878"/>
      <c r="H11" s="253">
        <f>SUMIF(55:55,G11,56:56)-SUMIF(55:55,C11,56:56)+100</f>
        <v>100</v>
      </c>
      <c r="I11" s="878"/>
      <c r="J11" s="253">
        <f>SUMIF(55:55,I11,56:56)-SUMIF(55:55,C11,56:56)+100</f>
        <v>100</v>
      </c>
      <c r="K11" s="579"/>
      <c r="L11" s="2136"/>
      <c r="M11" s="2130"/>
      <c r="N11" s="2130"/>
      <c r="O11" s="2137"/>
      <c r="P11" s="3397"/>
      <c r="Q11" s="1149">
        <f t="shared" si="6"/>
        <v>111</v>
      </c>
      <c r="R11" s="1565" t="s">
        <v>8</v>
      </c>
      <c r="S11" s="1566">
        <f t="shared" si="0"/>
        <v>100</v>
      </c>
      <c r="T11" s="1565" t="s">
        <v>8</v>
      </c>
      <c r="U11" s="1566">
        <f t="shared" si="1"/>
        <v>100</v>
      </c>
      <c r="V11" s="1565" t="s">
        <v>8</v>
      </c>
      <c r="W11" s="1566">
        <f t="shared" si="2"/>
        <v>100</v>
      </c>
      <c r="X11" s="1567"/>
      <c r="Y11" s="3343"/>
      <c r="Z11" s="1148">
        <f t="shared" si="7"/>
        <v>111</v>
      </c>
      <c r="AA11" s="1568">
        <f t="shared" si="3"/>
        <v>1</v>
      </c>
      <c r="AB11" s="1568">
        <f t="shared" si="4"/>
        <v>1</v>
      </c>
      <c r="AC11" s="1568">
        <f t="shared" si="5"/>
        <v>1</v>
      </c>
    </row>
    <row r="12" spans="1:29" s="1218" customFormat="1" ht="15">
      <c r="A12" s="2913"/>
      <c r="B12" s="2919">
        <v>111</v>
      </c>
      <c r="C12" s="526"/>
      <c r="D12" s="536">
        <v>100</v>
      </c>
      <c r="E12" s="878"/>
      <c r="F12" s="253">
        <f>SUMIF(57:57,E12,58:58)-SUMIF(57:57,C12,58:58)+100</f>
        <v>100</v>
      </c>
      <c r="G12" s="878"/>
      <c r="H12" s="253">
        <f>SUMIF(57:57,G12,58:58)-SUMIF(57:57,C12,58:58)+100</f>
        <v>100</v>
      </c>
      <c r="I12" s="878"/>
      <c r="J12" s="253">
        <f>SUMIF(57:57,I12,58:58)-SUMIF(57:57,C12,58:58)+100</f>
        <v>100</v>
      </c>
      <c r="K12" s="579"/>
      <c r="L12" s="2131"/>
      <c r="M12" s="2132"/>
      <c r="N12" s="2132"/>
      <c r="O12" s="2133"/>
      <c r="P12" s="3397"/>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75" thickBot="1">
      <c r="A13" s="2914"/>
      <c r="B13" s="2920">
        <v>111</v>
      </c>
      <c r="C13" s="537"/>
      <c r="D13" s="538">
        <v>100</v>
      </c>
      <c r="E13" s="878"/>
      <c r="F13" s="253">
        <f>SUMIF(59:59,E13,60:60)-SUMIF(59:59,C13,60:60)+100</f>
        <v>100</v>
      </c>
      <c r="G13" s="878"/>
      <c r="H13" s="538">
        <f>SUMIF(59:59,G13,60:60)-SUMIF(59:59,C13,60:60)+100</f>
        <v>100</v>
      </c>
      <c r="I13" s="878"/>
      <c r="J13" s="538">
        <f>SUMIF(59:59,I13,60:60)-SUMIF(59:59,C13,60:60)+100</f>
        <v>100</v>
      </c>
      <c r="K13" s="579"/>
      <c r="L13" s="2138"/>
      <c r="M13" s="2130"/>
      <c r="N13" s="2130"/>
      <c r="O13" s="2137"/>
      <c r="P13" s="3397"/>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14">
      <c r="A14" s="2906" t="s">
        <v>2746</v>
      </c>
      <c r="B14" s="164" t="s">
        <v>540</v>
      </c>
      <c r="C14" s="919" t="str">
        <f>IF(B1="工业",估价对象房地状况!G4,估价对象房地状况!C6)</f>
        <v>周边有4路、45路、98路等多条公交线路，邻近东二环北路，路网密集度一般、停车较便捷，综合评价交通便捷度较好。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8"/>
      <c r="M14" s="2130"/>
      <c r="N14" s="2130"/>
      <c r="O14" s="2137"/>
      <c r="P14" s="3432" t="s">
        <v>537</v>
      </c>
      <c r="Q14" s="1569" t="str">
        <f t="shared" si="6"/>
        <v>交通便捷度</v>
      </c>
      <c r="R14" s="1570" t="s">
        <v>8</v>
      </c>
      <c r="S14" s="1571">
        <f t="shared" si="0"/>
        <v>100</v>
      </c>
      <c r="T14" s="1570" t="s">
        <v>8</v>
      </c>
      <c r="U14" s="1571">
        <f t="shared" si="1"/>
        <v>100</v>
      </c>
      <c r="V14" s="1570" t="s">
        <v>8</v>
      </c>
      <c r="W14" s="1571">
        <f t="shared" si="2"/>
        <v>100</v>
      </c>
      <c r="X14" s="1564"/>
      <c r="Y14" s="3432" t="s">
        <v>537</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8"/>
      <c r="M15" s="2130"/>
      <c r="N15" s="2130"/>
      <c r="O15" s="2137"/>
      <c r="P15" s="3433"/>
      <c r="Q15" s="1569"/>
      <c r="R15" s="1570"/>
      <c r="S15" s="1571"/>
      <c r="T15" s="1570"/>
      <c r="U15" s="1571"/>
      <c r="V15" s="1570"/>
      <c r="W15" s="1571"/>
      <c r="X15" s="1564"/>
      <c r="Y15" s="3433"/>
      <c r="Z15" s="1572"/>
      <c r="AA15" s="1573">
        <v>1</v>
      </c>
      <c r="AB15" s="1573">
        <v>1</v>
      </c>
      <c r="AC15" s="1573">
        <v>1</v>
      </c>
    </row>
    <row r="16" spans="1:29" ht="42.75">
      <c r="A16" s="530"/>
      <c r="B16" s="2599" t="s">
        <v>2538</v>
      </c>
      <c r="C16" s="870" t="str">
        <f>IF(B1="工业",估价对象房地状况!G5,估价对象房地状况!C7)</f>
        <v>所在区域公共配套设施齐备情况较好。</v>
      </c>
      <c r="D16" s="563">
        <v>100</v>
      </c>
      <c r="E16" s="568"/>
      <c r="F16" s="569">
        <f>SUMIF(63:63,E17,64:64)-SUMIF(63:63,C17,64:64)+100</f>
        <v>100</v>
      </c>
      <c r="G16" s="570"/>
      <c r="H16" s="563">
        <f>SUMIF(63:63,G17,64:64)-SUMIF(63:63,C17,64:64)+100</f>
        <v>100</v>
      </c>
      <c r="I16" s="568"/>
      <c r="J16" s="563">
        <f>SUMIF(63:63,I17,64:64)-SUMIF(63:63,C17,64:64)+100</f>
        <v>100</v>
      </c>
      <c r="K16" s="896"/>
      <c r="L16" s="2138"/>
      <c r="M16" s="2130"/>
      <c r="N16" s="2130"/>
      <c r="O16" s="2137"/>
      <c r="P16" s="3433"/>
      <c r="Q16" s="1569" t="str">
        <f>B16</f>
        <v>公共配套设施</v>
      </c>
      <c r="R16" s="1570" t="s">
        <v>8</v>
      </c>
      <c r="S16" s="1571">
        <f>F16</f>
        <v>100</v>
      </c>
      <c r="T16" s="1570" t="s">
        <v>8</v>
      </c>
      <c r="U16" s="1571">
        <f>H16</f>
        <v>100</v>
      </c>
      <c r="V16" s="1570" t="s">
        <v>8</v>
      </c>
      <c r="W16" s="1571">
        <f>J16</f>
        <v>100</v>
      </c>
      <c r="X16" s="1564"/>
      <c r="Y16" s="3433"/>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8"/>
      <c r="M17" s="2130"/>
      <c r="N17" s="2130"/>
      <c r="O17" s="2137"/>
      <c r="P17" s="3433"/>
      <c r="Q17" s="1569"/>
      <c r="R17" s="1570"/>
      <c r="S17" s="1571"/>
      <c r="T17" s="1570"/>
      <c r="U17" s="1571"/>
      <c r="V17" s="1570"/>
      <c r="W17" s="1571"/>
      <c r="X17" s="1564"/>
      <c r="Y17" s="3433"/>
      <c r="Z17" s="1572"/>
      <c r="AA17" s="1573">
        <v>1</v>
      </c>
      <c r="AB17" s="1573">
        <v>1</v>
      </c>
      <c r="AC17" s="1573">
        <v>1</v>
      </c>
    </row>
    <row r="18" spans="1:29" ht="42.75">
      <c r="A18" s="530"/>
      <c r="B18" s="2587" t="s">
        <v>2550</v>
      </c>
      <c r="C18" s="870" t="str">
        <f>IF(B1="工业",估价对象房地状况!G6,估价对象房地状况!C8)</f>
        <v>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6"/>
      <c r="L18" s="2138"/>
      <c r="M18" s="2130"/>
      <c r="N18" s="2130"/>
      <c r="O18" s="2137"/>
      <c r="P18" s="3433"/>
      <c r="Q18" s="2575" t="str">
        <f>B18</f>
        <v>基础设施水平</v>
      </c>
      <c r="R18" s="1570" t="s">
        <v>8</v>
      </c>
      <c r="S18" s="1571">
        <f>F18</f>
        <v>100</v>
      </c>
      <c r="T18" s="1570" t="s">
        <v>8</v>
      </c>
      <c r="U18" s="1571">
        <f>H18</f>
        <v>100</v>
      </c>
      <c r="V18" s="1570" t="s">
        <v>8</v>
      </c>
      <c r="W18" s="1571">
        <f>J18</f>
        <v>100</v>
      </c>
      <c r="X18" s="2577"/>
      <c r="Y18" s="3433"/>
      <c r="Z18" s="2576"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8"/>
      <c r="L19" s="2138"/>
      <c r="M19" s="2130"/>
      <c r="N19" s="2130"/>
      <c r="O19" s="2137"/>
      <c r="P19" s="3433"/>
      <c r="Q19" s="2575"/>
      <c r="R19" s="1570"/>
      <c r="S19" s="1571"/>
      <c r="T19" s="1570"/>
      <c r="U19" s="1571"/>
      <c r="V19" s="1570"/>
      <c r="W19" s="1571"/>
      <c r="X19" s="2577"/>
      <c r="Y19" s="3433"/>
      <c r="Z19" s="2576"/>
      <c r="AA19" s="1573">
        <v>1</v>
      </c>
      <c r="AB19" s="1573">
        <v>1</v>
      </c>
      <c r="AC19" s="1573">
        <v>1</v>
      </c>
    </row>
    <row r="20" spans="1:29" ht="99.75">
      <c r="A20" s="530"/>
      <c r="B20" s="869" t="s">
        <v>801</v>
      </c>
      <c r="C20" s="870" t="str">
        <f>IF(B1="工业",估价对象房地状况!G7,估价对象房地状况!C9)</f>
        <v>所在区域有三角河公园，自然环境一般；无博物馆等人文设施，人文环境差；综合评价环境状况较差。</v>
      </c>
      <c r="D20" s="563">
        <v>100</v>
      </c>
      <c r="E20" s="568"/>
      <c r="F20" s="569">
        <f>SUMIF(67:67,E21,68:68)-SUMIF(67:67,C21,68:68)+100</f>
        <v>100</v>
      </c>
      <c r="G20" s="570"/>
      <c r="H20" s="557">
        <f>SUMIF(67:67,G21,68:68)-SUMIF(67:67,C21,68:68)+100</f>
        <v>100</v>
      </c>
      <c r="I20" s="560"/>
      <c r="J20" s="557">
        <f>SUMIF(67:67,I21,68:68)-SUMIF(67:67,C21,68:68)+100</f>
        <v>100</v>
      </c>
      <c r="K20" s="896"/>
      <c r="L20" s="2138"/>
      <c r="M20" s="2130"/>
      <c r="N20" s="2130"/>
      <c r="O20" s="2137"/>
      <c r="P20" s="3433"/>
      <c r="Q20" s="1569" t="str">
        <f>B20</f>
        <v>自然及人文环境</v>
      </c>
      <c r="R20" s="1570" t="s">
        <v>8</v>
      </c>
      <c r="S20" s="1571">
        <f>F20</f>
        <v>100</v>
      </c>
      <c r="T20" s="1570" t="s">
        <v>8</v>
      </c>
      <c r="U20" s="1571">
        <f>H20</f>
        <v>100</v>
      </c>
      <c r="V20" s="1570" t="s">
        <v>8</v>
      </c>
      <c r="W20" s="1571">
        <f>J20</f>
        <v>100</v>
      </c>
      <c r="X20" s="1564"/>
      <c r="Y20" s="3433"/>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8"/>
      <c r="M21" s="2130"/>
      <c r="N21" s="2130"/>
      <c r="O21" s="2137"/>
      <c r="P21" s="3433"/>
      <c r="Q21" s="1569"/>
      <c r="R21" s="1570"/>
      <c r="S21" s="1571"/>
      <c r="T21" s="1570"/>
      <c r="U21" s="1571"/>
      <c r="V21" s="1570"/>
      <c r="W21" s="1571"/>
      <c r="X21" s="1564"/>
      <c r="Y21" s="3433"/>
      <c r="Z21" s="1572"/>
      <c r="AA21" s="1573">
        <v>1</v>
      </c>
      <c r="AB21" s="1573">
        <v>1</v>
      </c>
      <c r="AC21" s="1573">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433"/>
      <c r="Q22" s="1569" t="str">
        <f>B22</f>
        <v>楼层</v>
      </c>
      <c r="R22" s="1570" t="s">
        <v>8</v>
      </c>
      <c r="S22" s="1571">
        <f>F22</f>
        <v>100</v>
      </c>
      <c r="T22" s="1570" t="s">
        <v>8</v>
      </c>
      <c r="U22" s="1571">
        <f>H22</f>
        <v>100</v>
      </c>
      <c r="V22" s="1570" t="s">
        <v>8</v>
      </c>
      <c r="W22" s="1571">
        <f>J22</f>
        <v>100</v>
      </c>
      <c r="X22" s="1564"/>
      <c r="Y22" s="3433"/>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433"/>
      <c r="Q23" s="1569">
        <f>B23</f>
        <v>111</v>
      </c>
      <c r="R23" s="1570" t="s">
        <v>8</v>
      </c>
      <c r="S23" s="1571">
        <f>F23</f>
        <v>100</v>
      </c>
      <c r="T23" s="1570" t="s">
        <v>8</v>
      </c>
      <c r="U23" s="1571">
        <f>H23</f>
        <v>100</v>
      </c>
      <c r="V23" s="1570" t="s">
        <v>8</v>
      </c>
      <c r="W23" s="1571">
        <f>J23</f>
        <v>100</v>
      </c>
      <c r="X23" s="1564"/>
      <c r="Y23" s="3433"/>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433"/>
      <c r="Q24" s="1569">
        <f t="shared" ref="Q24:Q34" si="11">B24</f>
        <v>111</v>
      </c>
      <c r="R24" s="1570" t="s">
        <v>8</v>
      </c>
      <c r="S24" s="1571">
        <f>F24</f>
        <v>100</v>
      </c>
      <c r="T24" s="1570" t="s">
        <v>8</v>
      </c>
      <c r="U24" s="1571">
        <f>H24</f>
        <v>100</v>
      </c>
      <c r="V24" s="1570" t="s">
        <v>8</v>
      </c>
      <c r="W24" s="1571">
        <f>J24</f>
        <v>100</v>
      </c>
      <c r="X24" s="1564"/>
      <c r="Y24" s="3433"/>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1"/>
      <c r="M25" s="2132"/>
      <c r="N25" s="2132"/>
      <c r="O25" s="2133"/>
      <c r="P25" s="3433"/>
      <c r="Q25" s="1149">
        <f t="shared" si="11"/>
        <v>111</v>
      </c>
      <c r="R25" s="1565" t="s">
        <v>8</v>
      </c>
      <c r="S25" s="1566">
        <f>F25</f>
        <v>100</v>
      </c>
      <c r="T25" s="1565" t="s">
        <v>8</v>
      </c>
      <c r="U25" s="1566">
        <f>H25</f>
        <v>100</v>
      </c>
      <c r="V25" s="1565" t="s">
        <v>8</v>
      </c>
      <c r="W25" s="1566">
        <f>J25</f>
        <v>100</v>
      </c>
      <c r="X25" s="1567"/>
      <c r="Y25" s="3433"/>
      <c r="Z25" s="1148">
        <f>Q25</f>
        <v>111</v>
      </c>
      <c r="AA25" s="1573">
        <f>D25/F25</f>
        <v>1</v>
      </c>
      <c r="AB25" s="1573">
        <f>D25/H25</f>
        <v>1</v>
      </c>
      <c r="AC25" s="1573">
        <f>D25/J25</f>
        <v>1</v>
      </c>
    </row>
    <row r="26" spans="1:29" ht="15">
      <c r="A26" s="2903" t="s">
        <v>2747</v>
      </c>
      <c r="B26" s="170" t="s">
        <v>805</v>
      </c>
      <c r="C26" s="914"/>
      <c r="D26" s="595">
        <v>100</v>
      </c>
      <c r="E26" s="914"/>
      <c r="F26" s="941">
        <f>SUMIF(77:77,E26,78:78)-SUMIF(77:77,C26,78:78)+100</f>
        <v>100</v>
      </c>
      <c r="G26" s="914"/>
      <c r="H26" s="595">
        <f>SUMIF(77:77,G26,78:78)-SUMIF(77:77,C26,78:78)+100</f>
        <v>100</v>
      </c>
      <c r="I26" s="914"/>
      <c r="J26" s="595">
        <f>SUMIF(77:77,I26,78:78)-SUMIF(77:77,C26,78:78)+100</f>
        <v>100</v>
      </c>
      <c r="K26" s="582"/>
      <c r="L26" s="2138"/>
      <c r="M26" s="2130"/>
      <c r="N26" s="2130"/>
      <c r="O26" s="2137"/>
      <c r="P26" s="3434" t="s">
        <v>818</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5" t="s">
        <v>818</v>
      </c>
      <c r="Z26" s="1572" t="str">
        <f t="shared" ref="Z26:Z34" si="15">Q26</f>
        <v>公共部分装修</v>
      </c>
      <c r="AA26" s="1573">
        <f t="shared" si="3"/>
        <v>1</v>
      </c>
      <c r="AB26" s="1573">
        <f t="shared" si="4"/>
        <v>1</v>
      </c>
      <c r="AC26" s="1573">
        <f t="shared" si="5"/>
        <v>1</v>
      </c>
    </row>
    <row r="27" spans="1:29" s="1337"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6"/>
      <c r="M27" s="2167"/>
      <c r="N27" s="2167"/>
      <c r="O27" s="2139"/>
      <c r="P27" s="3435"/>
      <c r="Q27" s="1602" t="str">
        <f t="shared" si="11"/>
        <v>成新率</v>
      </c>
      <c r="R27" s="1574" t="s">
        <v>8</v>
      </c>
      <c r="S27" s="1575" t="e">
        <f t="shared" si="12"/>
        <v>#N/A</v>
      </c>
      <c r="T27" s="1574" t="s">
        <v>8</v>
      </c>
      <c r="U27" s="1575" t="e">
        <f t="shared" si="13"/>
        <v>#N/A</v>
      </c>
      <c r="V27" s="1574" t="s">
        <v>8</v>
      </c>
      <c r="W27" s="1575" t="e">
        <f t="shared" si="14"/>
        <v>#N/A</v>
      </c>
      <c r="X27" s="1576"/>
      <c r="Y27" s="3435"/>
      <c r="Z27" s="1577" t="str">
        <f t="shared" si="15"/>
        <v>成新率</v>
      </c>
      <c r="AA27" s="1573" t="e">
        <f t="shared" si="3"/>
        <v>#N/A</v>
      </c>
      <c r="AB27" s="1573" t="e">
        <f t="shared" si="4"/>
        <v>#N/A</v>
      </c>
      <c r="AC27" s="1573"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435"/>
      <c r="Q28" s="1569" t="str">
        <f t="shared" si="11"/>
        <v>物业等级</v>
      </c>
      <c r="R28" s="1570" t="s">
        <v>8</v>
      </c>
      <c r="S28" s="1571">
        <f t="shared" si="12"/>
        <v>100</v>
      </c>
      <c r="T28" s="1570" t="s">
        <v>8</v>
      </c>
      <c r="U28" s="1571">
        <f t="shared" si="13"/>
        <v>100</v>
      </c>
      <c r="V28" s="1570" t="s">
        <v>8</v>
      </c>
      <c r="W28" s="1571">
        <f t="shared" si="14"/>
        <v>100</v>
      </c>
      <c r="X28" s="1564"/>
      <c r="Y28" s="3435"/>
      <c r="Z28" s="1572" t="str">
        <f t="shared" si="15"/>
        <v>物业等级</v>
      </c>
      <c r="AA28" s="1573">
        <f t="shared" si="3"/>
        <v>1</v>
      </c>
      <c r="AB28" s="1573">
        <f t="shared" si="4"/>
        <v>1</v>
      </c>
      <c r="AC28" s="1573">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38"/>
      <c r="M29" s="2130"/>
      <c r="N29" s="2130"/>
      <c r="O29" s="2137"/>
      <c r="P29" s="3435"/>
      <c r="Q29" s="1569" t="str">
        <f t="shared" si="11"/>
        <v>有无电梯</v>
      </c>
      <c r="R29" s="1570" t="s">
        <v>8</v>
      </c>
      <c r="S29" s="1571">
        <f t="shared" si="12"/>
        <v>100</v>
      </c>
      <c r="T29" s="1570" t="s">
        <v>8</v>
      </c>
      <c r="U29" s="1571">
        <f t="shared" si="13"/>
        <v>100</v>
      </c>
      <c r="V29" s="1570" t="s">
        <v>8</v>
      </c>
      <c r="W29" s="1571">
        <f t="shared" si="14"/>
        <v>100</v>
      </c>
      <c r="X29" s="1564"/>
      <c r="Y29" s="3435"/>
      <c r="Z29" s="1572" t="str">
        <f t="shared" si="15"/>
        <v>有无电梯</v>
      </c>
      <c r="AA29" s="1573">
        <f t="shared" si="3"/>
        <v>1</v>
      </c>
      <c r="AB29" s="1573">
        <f t="shared" si="4"/>
        <v>1</v>
      </c>
      <c r="AC29" s="1573">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8"/>
      <c r="M30" s="2130"/>
      <c r="N30" s="2130"/>
      <c r="O30" s="2137"/>
      <c r="P30" s="3435"/>
      <c r="Q30" s="1569" t="str">
        <f t="shared" si="11"/>
        <v>建筑面积</v>
      </c>
      <c r="R30" s="1570" t="s">
        <v>8</v>
      </c>
      <c r="S30" s="1571" t="e">
        <f t="shared" si="12"/>
        <v>#N/A</v>
      </c>
      <c r="T30" s="1570" t="s">
        <v>8</v>
      </c>
      <c r="U30" s="1571" t="e">
        <f t="shared" si="13"/>
        <v>#N/A</v>
      </c>
      <c r="V30" s="1570" t="s">
        <v>8</v>
      </c>
      <c r="W30" s="1571" t="e">
        <f t="shared" si="14"/>
        <v>#N/A</v>
      </c>
      <c r="X30" s="1564"/>
      <c r="Y30" s="3435"/>
      <c r="Z30" s="1572" t="str">
        <f t="shared" si="15"/>
        <v>建筑面积</v>
      </c>
      <c r="AA30" s="1573" t="e">
        <f t="shared" si="3"/>
        <v>#N/A</v>
      </c>
      <c r="AB30" s="1573" t="e">
        <f t="shared" si="4"/>
        <v>#N/A</v>
      </c>
      <c r="AC30" s="1573" t="e">
        <f t="shared" si="5"/>
        <v>#N/A</v>
      </c>
    </row>
    <row r="31" spans="1:29" s="1218"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31"/>
      <c r="M31" s="2132"/>
      <c r="N31" s="2132"/>
      <c r="O31" s="2133"/>
      <c r="P31" s="3435"/>
      <c r="Q31" s="1149" t="str">
        <f t="shared" si="11"/>
        <v>是否封闭</v>
      </c>
      <c r="R31" s="1565" t="s">
        <v>8</v>
      </c>
      <c r="S31" s="1566">
        <f t="shared" si="12"/>
        <v>100</v>
      </c>
      <c r="T31" s="1565" t="s">
        <v>8</v>
      </c>
      <c r="U31" s="1566">
        <f t="shared" si="13"/>
        <v>100</v>
      </c>
      <c r="V31" s="1565" t="s">
        <v>8</v>
      </c>
      <c r="W31" s="1566">
        <f t="shared" si="14"/>
        <v>100</v>
      </c>
      <c r="X31" s="1567"/>
      <c r="Y31" s="3435"/>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8"/>
      <c r="M32" s="2130"/>
      <c r="N32" s="2130"/>
      <c r="O32" s="2137"/>
      <c r="P32" s="3435" t="s">
        <v>547</v>
      </c>
      <c r="Q32" s="1569">
        <f t="shared" si="11"/>
        <v>111</v>
      </c>
      <c r="R32" s="1570" t="s">
        <v>8</v>
      </c>
      <c r="S32" s="1571">
        <f t="shared" si="12"/>
        <v>100</v>
      </c>
      <c r="T32" s="1570" t="s">
        <v>8</v>
      </c>
      <c r="U32" s="1571">
        <f t="shared" si="13"/>
        <v>100</v>
      </c>
      <c r="V32" s="1570" t="s">
        <v>8</v>
      </c>
      <c r="W32" s="1571">
        <f t="shared" si="14"/>
        <v>100</v>
      </c>
      <c r="X32" s="1564"/>
      <c r="Y32" s="3435" t="s">
        <v>547</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8"/>
      <c r="M33" s="2130"/>
      <c r="N33" s="2130"/>
      <c r="O33" s="2137"/>
      <c r="P33" s="3435"/>
      <c r="Q33" s="1569">
        <f t="shared" si="11"/>
        <v>111</v>
      </c>
      <c r="R33" s="1570" t="s">
        <v>8</v>
      </c>
      <c r="S33" s="1571">
        <f t="shared" si="12"/>
        <v>100</v>
      </c>
      <c r="T33" s="1570" t="s">
        <v>8</v>
      </c>
      <c r="U33" s="1571">
        <f t="shared" si="13"/>
        <v>100</v>
      </c>
      <c r="V33" s="1570" t="s">
        <v>8</v>
      </c>
      <c r="W33" s="1571">
        <f t="shared" si="14"/>
        <v>100</v>
      </c>
      <c r="X33" s="1564"/>
      <c r="Y33" s="3435"/>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8"/>
      <c r="M34" s="2130"/>
      <c r="N34" s="2130"/>
      <c r="O34" s="2137"/>
      <c r="P34" s="3435"/>
      <c r="Q34" s="1569">
        <f t="shared" si="11"/>
        <v>111</v>
      </c>
      <c r="R34" s="1570" t="s">
        <v>8</v>
      </c>
      <c r="S34" s="1571">
        <f t="shared" si="12"/>
        <v>100</v>
      </c>
      <c r="T34" s="1570" t="s">
        <v>8</v>
      </c>
      <c r="U34" s="1571">
        <f t="shared" si="13"/>
        <v>100</v>
      </c>
      <c r="V34" s="1570" t="s">
        <v>8</v>
      </c>
      <c r="W34" s="1571">
        <f t="shared" si="14"/>
        <v>100</v>
      </c>
      <c r="X34" s="1564"/>
      <c r="Y34" s="3435"/>
      <c r="Z34" s="1572">
        <f t="shared" si="15"/>
        <v>111</v>
      </c>
      <c r="AA34" s="1573">
        <f t="shared" si="3"/>
        <v>1</v>
      </c>
      <c r="AB34" s="1573">
        <f t="shared" si="4"/>
        <v>1</v>
      </c>
      <c r="AC34" s="1573">
        <f t="shared" si="5"/>
        <v>1</v>
      </c>
    </row>
    <row r="35" spans="1:29" ht="15">
      <c r="A35" s="605" t="s">
        <v>733</v>
      </c>
      <c r="B35" s="885"/>
      <c r="C35" s="2623" t="s">
        <v>1</v>
      </c>
      <c r="D35" s="2624"/>
      <c r="E35" s="2625"/>
      <c r="F35" s="2626"/>
      <c r="G35" s="2627"/>
      <c r="H35" s="2628"/>
      <c r="I35" s="2625"/>
      <c r="J35" s="2628"/>
      <c r="K35" s="1608"/>
      <c r="L35" s="2140"/>
      <c r="M35" s="2141"/>
      <c r="N35" s="2130"/>
      <c r="O35" s="2141"/>
      <c r="P35" s="3397" t="str">
        <f>A35</f>
        <v>成交单价（元/平方米）</v>
      </c>
      <c r="Q35" s="3397"/>
      <c r="R35" s="3488">
        <f>E35</f>
        <v>0</v>
      </c>
      <c r="S35" s="3488"/>
      <c r="T35" s="3488">
        <f>G35</f>
        <v>0</v>
      </c>
      <c r="U35" s="3488"/>
      <c r="V35" s="3488">
        <f>I35</f>
        <v>0</v>
      </c>
      <c r="W35" s="3488"/>
      <c r="X35" s="1556"/>
      <c r="Y35" s="1578"/>
      <c r="Z35" s="1556"/>
      <c r="AA35" s="1556"/>
      <c r="AB35" s="1556"/>
      <c r="AC35" s="1556"/>
    </row>
    <row r="36" spans="1:29" ht="15.75" thickBot="1">
      <c r="A36" s="613" t="s">
        <v>2752</v>
      </c>
      <c r="B36" s="886"/>
      <c r="C36" s="2629" t="e">
        <f>R37</f>
        <v>#DIV/0!</v>
      </c>
      <c r="D36" s="2630"/>
      <c r="E36" s="2631" t="e">
        <f>R36</f>
        <v>#DIV/0!</v>
      </c>
      <c r="F36" s="2631"/>
      <c r="G36" s="2629" t="e">
        <f>T36</f>
        <v>#DIV/0!</v>
      </c>
      <c r="H36" s="2630"/>
      <c r="I36" s="2631" t="e">
        <f>V36</f>
        <v>#DIV/0!</v>
      </c>
      <c r="J36" s="2630"/>
      <c r="K36" s="1609"/>
      <c r="L36" s="2140"/>
      <c r="M36" s="2141"/>
      <c r="N36" s="2130"/>
      <c r="O36" s="2141"/>
      <c r="P36" s="3397" t="str">
        <f>A36</f>
        <v>比较价格（元/平方米）</v>
      </c>
      <c r="Q36" s="339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56"/>
      <c r="Y36" s="1556"/>
      <c r="Z36" s="1556"/>
      <c r="AA36" s="1556"/>
      <c r="AB36" s="1556"/>
      <c r="AC36" s="1556"/>
    </row>
    <row r="37" spans="1:29" ht="15.75" thickBot="1">
      <c r="A37" s="619" t="s">
        <v>2921</v>
      </c>
      <c r="B37" s="620"/>
      <c r="C37" s="2632" t="e">
        <f>R37</f>
        <v>#DIV/0!</v>
      </c>
      <c r="D37" s="2632"/>
      <c r="E37" s="2632"/>
      <c r="F37" s="2632"/>
      <c r="G37" s="2632"/>
      <c r="H37" s="2632"/>
      <c r="I37" s="2632"/>
      <c r="J37" s="2632"/>
      <c r="K37" s="1610"/>
      <c r="L37" s="2140"/>
      <c r="M37" s="2141"/>
      <c r="N37" s="2141"/>
      <c r="O37" s="2141"/>
      <c r="P37" s="3394" t="str">
        <f>A37</f>
        <v>估价对象XX用房的比较价格（楼面单价，元/平方米）</v>
      </c>
      <c r="Q37" s="3395"/>
      <c r="R37" s="3487" t="e">
        <f>IF(F1="售价",ROUND(AVERAGE(R36:V36),0),ROUND(AVERAGE(R36:V36),1))</f>
        <v>#DIV/0!</v>
      </c>
      <c r="S37" s="3487"/>
      <c r="T37" s="3487"/>
      <c r="U37" s="3487"/>
      <c r="V37" s="3487"/>
      <c r="W37" s="3487"/>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571</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3" t="s">
        <v>526</v>
      </c>
      <c r="B46" s="644"/>
      <c r="C46" s="2798" t="str">
        <f>YEAR(C7)&amp;"-"&amp;MONTH(C7)</f>
        <v>2018-12</v>
      </c>
      <c r="D46" s="2800">
        <f>EDATE(C46,-1)</f>
        <v>43405</v>
      </c>
      <c r="E46" s="2800">
        <f t="shared" ref="E46:O46" si="16">EDATE(D46,-1)</f>
        <v>43374</v>
      </c>
      <c r="F46" s="2800">
        <f t="shared" si="16"/>
        <v>43344</v>
      </c>
      <c r="G46" s="2800">
        <f t="shared" si="16"/>
        <v>43313</v>
      </c>
      <c r="H46" s="2800">
        <f t="shared" si="16"/>
        <v>43282</v>
      </c>
      <c r="I46" s="2800">
        <f t="shared" si="16"/>
        <v>43252</v>
      </c>
      <c r="J46" s="2800">
        <f t="shared" si="16"/>
        <v>43221</v>
      </c>
      <c r="K46" s="2800">
        <f t="shared" si="16"/>
        <v>43191</v>
      </c>
      <c r="L46" s="2800">
        <f t="shared" si="16"/>
        <v>43160</v>
      </c>
      <c r="M46" s="2800">
        <f t="shared" si="16"/>
        <v>43132</v>
      </c>
      <c r="N46" s="2800">
        <f t="shared" si="16"/>
        <v>43101</v>
      </c>
      <c r="O46" s="2800">
        <f t="shared" si="16"/>
        <v>43070</v>
      </c>
      <c r="P46" s="2156"/>
      <c r="Q46" s="2157"/>
      <c r="R46" s="2157"/>
      <c r="S46" s="2157"/>
      <c r="T46" s="2157"/>
      <c r="U46" s="2157"/>
      <c r="V46" s="2157"/>
      <c r="W46" s="2157"/>
      <c r="X46" s="2157"/>
      <c r="Y46" s="2157"/>
      <c r="Z46" s="2157"/>
      <c r="AA46" s="2157"/>
      <c r="AB46" s="2157"/>
      <c r="AC46" s="2157"/>
    </row>
    <row r="47" spans="1:29" s="1218" customFormat="1" ht="15">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8" customFormat="1" ht="15.75" thickBot="1">
      <c r="A48" s="651" t="s">
        <v>572</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8" customFormat="1" ht="15">
      <c r="A49" s="657" t="s">
        <v>528</v>
      </c>
      <c r="B49" s="646"/>
      <c r="C49" s="658" t="s">
        <v>573</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c r="A51" s="662" t="s">
        <v>574</v>
      </c>
      <c r="B51" s="663" t="s">
        <v>531</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5.75"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5.75" thickTop="1">
      <c r="A55" s="667"/>
      <c r="B55" s="933">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5.75"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75" thickTop="1">
      <c r="A63" s="667"/>
      <c r="B63" s="1892" t="s">
        <v>2549</v>
      </c>
      <c r="C63" s="706" t="s">
        <v>576</v>
      </c>
      <c r="D63" s="706" t="s">
        <v>577</v>
      </c>
      <c r="E63" s="706" t="s">
        <v>578</v>
      </c>
      <c r="F63" s="706" t="s">
        <v>579</v>
      </c>
      <c r="G63" s="706" t="s">
        <v>580</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2593" t="s">
        <v>2550</v>
      </c>
      <c r="C65" s="2594" t="s">
        <v>2551</v>
      </c>
      <c r="D65" s="2594" t="s">
        <v>2552</v>
      </c>
      <c r="E65" s="2594" t="s">
        <v>2553</v>
      </c>
      <c r="F65" s="2594" t="s">
        <v>2554</v>
      </c>
      <c r="G65" s="2594" t="s">
        <v>2555</v>
      </c>
      <c r="H65" s="672"/>
      <c r="I65" s="672"/>
      <c r="J65" s="672"/>
      <c r="K65" s="672"/>
      <c r="L65" s="672"/>
      <c r="M65" s="2597"/>
      <c r="N65" s="2162"/>
      <c r="O65" s="2162"/>
      <c r="P65" s="2161"/>
      <c r="Q65" s="2154"/>
      <c r="R65" s="2141"/>
      <c r="S65" s="2141"/>
      <c r="T65" s="2141"/>
      <c r="U65" s="2141"/>
      <c r="V65" s="2141"/>
      <c r="W65" s="2141"/>
      <c r="X65" s="2141"/>
      <c r="Y65" s="2141"/>
      <c r="Z65" s="2141"/>
      <c r="AA65" s="2141"/>
      <c r="AB65" s="2141"/>
      <c r="AC65" s="2141"/>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2"/>
      <c r="O66" s="2162"/>
      <c r="P66" s="2161"/>
      <c r="Q66" s="2154"/>
      <c r="R66" s="2141"/>
      <c r="S66" s="2141"/>
      <c r="T66" s="2141"/>
      <c r="U66" s="2141"/>
      <c r="V66" s="2141"/>
      <c r="W66" s="2141"/>
      <c r="X66" s="2141"/>
      <c r="Y66" s="2141"/>
      <c r="Z66" s="2141"/>
      <c r="AA66" s="2141"/>
      <c r="AB66" s="2141"/>
      <c r="AC66" s="2141"/>
    </row>
    <row r="67" spans="1:29" ht="15.75" thickTop="1">
      <c r="A67" s="667"/>
      <c r="B67" s="671" t="s">
        <v>741</v>
      </c>
      <c r="C67" s="706" t="s">
        <v>576</v>
      </c>
      <c r="D67" s="706" t="s">
        <v>577</v>
      </c>
      <c r="E67" s="706" t="s">
        <v>578</v>
      </c>
      <c r="F67" s="706" t="s">
        <v>579</v>
      </c>
      <c r="G67" s="706" t="s">
        <v>580</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742</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7"/>
      <c r="B71" s="671">
        <f>B23</f>
        <v>111</v>
      </c>
      <c r="C71" s="539"/>
      <c r="D71" s="539"/>
      <c r="E71" s="539"/>
      <c r="F71" s="539"/>
      <c r="G71" s="686"/>
      <c r="H71" s="686"/>
      <c r="I71" s="686"/>
      <c r="J71" s="686"/>
      <c r="K71" s="686"/>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7"/>
      <c r="B73" s="671">
        <f>B24</f>
        <v>111</v>
      </c>
      <c r="C73" s="539"/>
      <c r="D73" s="539"/>
      <c r="E73" s="539"/>
      <c r="F73" s="539"/>
      <c r="G73" s="686"/>
      <c r="H73" s="686"/>
      <c r="I73" s="686"/>
      <c r="J73" s="686"/>
      <c r="K73" s="686"/>
      <c r="L73" s="686"/>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548</v>
      </c>
      <c r="B77" s="663" t="s">
        <v>748</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ht="15">
      <c r="A80" s="667"/>
      <c r="B80" s="679"/>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814</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822</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7" customFormat="1" ht="15" thickTop="1">
      <c r="A89" s="726"/>
      <c r="B89" s="671" t="s">
        <v>824</v>
      </c>
      <c r="C89" s="686"/>
      <c r="D89" s="686"/>
      <c r="E89" s="686"/>
      <c r="F89" s="686"/>
      <c r="G89" s="686"/>
      <c r="H89" s="686"/>
      <c r="I89" s="686"/>
      <c r="J89" s="686"/>
      <c r="K89" s="686"/>
      <c r="L89" s="686"/>
      <c r="M89" s="889"/>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5"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5.75"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5"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5" thickTop="1">
      <c r="A95" s="733"/>
      <c r="B95" s="915">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5.75"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0" t="s">
        <v>2299</v>
      </c>
      <c r="C1" s="3524" t="s">
        <v>2300</v>
      </c>
      <c r="D1" s="3525"/>
      <c r="E1" s="3525"/>
      <c r="F1" s="3525"/>
      <c r="G1" s="3525"/>
      <c r="H1" s="3525"/>
      <c r="I1" s="3525"/>
      <c r="J1" s="3525"/>
      <c r="K1" s="3525"/>
      <c r="L1" s="3525"/>
      <c r="M1" s="3525"/>
      <c r="N1" s="3525"/>
      <c r="O1" s="3525"/>
      <c r="P1" s="3525"/>
      <c r="Q1" s="3525"/>
      <c r="R1" s="3525"/>
      <c r="S1" s="3526"/>
      <c r="T1" s="2230" t="s">
        <v>2301</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79" t="s">
        <v>2914</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1" t="s">
        <v>2913</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1" t="s">
        <v>2912</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0"/>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79" t="s">
        <v>2927</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79" t="s">
        <v>2911</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79" t="s">
        <v>2910</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2303</v>
      </c>
      <c r="B17" s="2274" t="s">
        <v>2304</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6"/>
      <c r="C19" s="1986"/>
      <c r="D19" s="1986"/>
      <c r="E19" s="1986"/>
      <c r="F19" s="1986"/>
      <c r="G19" s="1986"/>
      <c r="H19" s="1986"/>
      <c r="I19" s="1986"/>
      <c r="J19" s="1986"/>
      <c r="K19" s="1986"/>
      <c r="L19" s="1986"/>
      <c r="M19" s="1986"/>
      <c r="N19" s="1986"/>
      <c r="O19" s="1986"/>
      <c r="P19" s="1986"/>
      <c r="Q19" s="1986"/>
      <c r="R19" s="2221"/>
      <c r="S19" s="2024"/>
    </row>
    <row r="20" spans="1:45" ht="15.75">
      <c r="A20" s="958" t="s">
        <v>825</v>
      </c>
      <c r="B20" s="773">
        <f>S22</f>
        <v>0</v>
      </c>
      <c r="C20" s="1986"/>
      <c r="D20" s="1986"/>
      <c r="E20" s="1986"/>
      <c r="F20" s="1986"/>
      <c r="G20" s="1986"/>
      <c r="H20" s="1986"/>
      <c r="I20" s="1986"/>
      <c r="J20" s="1986"/>
      <c r="K20" s="1986"/>
      <c r="L20" s="1986"/>
      <c r="M20" s="1986"/>
      <c r="N20" s="1986"/>
      <c r="O20" s="1986"/>
      <c r="P20" s="1986"/>
      <c r="Q20" s="1986"/>
      <c r="R20" s="2221"/>
      <c r="S20" s="2024"/>
    </row>
    <row r="21" spans="1:45" ht="15.75">
      <c r="A21" s="958" t="s">
        <v>826</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827</v>
      </c>
      <c r="B22" s="53">
        <f>SUM(B24:B10000)</f>
        <v>0</v>
      </c>
      <c r="C22" s="3521" t="s">
        <v>20</v>
      </c>
      <c r="D22" s="3522"/>
      <c r="E22" s="3522"/>
      <c r="F22" s="3522"/>
      <c r="G22" s="3522"/>
      <c r="H22" s="3522"/>
      <c r="I22" s="3522"/>
      <c r="J22" s="3522"/>
      <c r="K22" s="3522"/>
      <c r="L22" s="3522"/>
      <c r="M22" s="3522"/>
      <c r="N22" s="3522"/>
      <c r="O22" s="3522"/>
      <c r="P22" s="3522"/>
      <c r="Q22" s="3523"/>
      <c r="R22" s="488" t="e">
        <f>ROUND(S22*10000/B22,0)</f>
        <v>#DIV/0!</v>
      </c>
      <c r="S22" s="53">
        <f>SUM(S24:S10000)</f>
        <v>0</v>
      </c>
    </row>
    <row r="23" spans="1:45" s="1611"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612"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2780</v>
      </c>
      <c r="C1" s="3000">
        <f>项目基本情况!D3</f>
        <v>43447</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2811</v>
      </c>
      <c r="C2" s="3001">
        <f>'数据-取费表'!B22</f>
        <v>2</v>
      </c>
      <c r="D2" s="2996" t="s">
        <v>2781</v>
      </c>
      <c r="E2" s="2999">
        <f ca="1">INDIRECT("I"&amp;$I$1)/100</f>
        <v>4.7500000000000001E-2</v>
      </c>
      <c r="G2" s="2936"/>
      <c r="H2" s="2936"/>
      <c r="I2" s="2936" t="s">
        <v>2782</v>
      </c>
      <c r="K2" s="2936"/>
      <c r="L2" s="2936"/>
      <c r="M2" s="2936"/>
      <c r="N2" s="2936" t="s">
        <v>2783</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2813</v>
      </c>
      <c r="C3" s="2998">
        <f>'数据-取费表'!B19</f>
        <v>0</v>
      </c>
      <c r="D3" s="2996" t="s">
        <v>2781</v>
      </c>
      <c r="E3" s="2999">
        <f ca="1">INDIRECT("J"&amp;$J$1)/100</f>
        <v>0</v>
      </c>
      <c r="G3" s="2938" t="s">
        <v>2784</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2812</v>
      </c>
      <c r="C4" s="2999">
        <f ca="1">N4/100</f>
        <v>1.4999999999999999E-2</v>
      </c>
      <c r="G4" s="2944" t="s">
        <v>2785</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2786</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2787</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2788</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2789</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2790</v>
      </c>
      <c r="C10" s="2963"/>
      <c r="D10" s="2963"/>
      <c r="E10" s="2963"/>
      <c r="F10" s="2963"/>
      <c r="G10" s="2963"/>
      <c r="H10" s="2963"/>
      <c r="I10" s="2937"/>
      <c r="J10" s="2937"/>
      <c r="K10" s="2963"/>
      <c r="L10" s="2964" t="s">
        <v>2791</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2792</v>
      </c>
      <c r="C11" s="2968" t="s">
        <v>2793</v>
      </c>
      <c r="D11" s="2969" t="s">
        <v>2794</v>
      </c>
      <c r="E11" s="2970"/>
      <c r="F11" s="2969" t="s">
        <v>2795</v>
      </c>
      <c r="G11" s="2971"/>
      <c r="H11" s="2970"/>
      <c r="I11" s="2969" t="s">
        <v>2796</v>
      </c>
      <c r="J11" s="2970"/>
      <c r="K11" s="2966"/>
      <c r="L11" s="2967" t="s">
        <v>2792</v>
      </c>
      <c r="M11" s="2968" t="s">
        <v>2793</v>
      </c>
      <c r="N11" s="2967" t="s">
        <v>2797</v>
      </c>
      <c r="O11" s="2969" t="s">
        <v>2798</v>
      </c>
      <c r="P11" s="2971"/>
      <c r="Q11" s="2971"/>
      <c r="R11" s="2971"/>
      <c r="S11" s="2971"/>
      <c r="T11" s="2970"/>
      <c r="U11" s="2969" t="s">
        <v>2799</v>
      </c>
      <c r="V11" s="2971"/>
      <c r="W11" s="2970"/>
      <c r="X11" s="2967" t="s">
        <v>2800</v>
      </c>
      <c r="Y11" s="2967" t="s">
        <v>2801</v>
      </c>
      <c r="Z11" s="2967" t="s">
        <v>2802</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2803</v>
      </c>
      <c r="E12" s="2976" t="s">
        <v>2804</v>
      </c>
      <c r="F12" s="2976" t="s">
        <v>2805</v>
      </c>
      <c r="G12" s="2976" t="s">
        <v>2806</v>
      </c>
      <c r="H12" s="2976" t="s">
        <v>2788</v>
      </c>
      <c r="I12" s="2977" t="s">
        <v>2807</v>
      </c>
      <c r="J12" s="2977" t="s">
        <v>2807</v>
      </c>
      <c r="K12" s="2973"/>
      <c r="L12" s="2974"/>
      <c r="M12" s="2975"/>
      <c r="N12" s="2974"/>
      <c r="O12" s="2977" t="s">
        <v>2808</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2809</v>
      </c>
      <c r="C13" s="2981">
        <v>42301</v>
      </c>
      <c r="D13" s="2982">
        <v>4.3499999999999996</v>
      </c>
      <c r="E13" s="2982">
        <v>4.3499999999999996</v>
      </c>
      <c r="F13" s="2982">
        <v>4.75</v>
      </c>
      <c r="G13" s="2982">
        <v>4.75</v>
      </c>
      <c r="H13" s="2982">
        <v>4.9000000000000004</v>
      </c>
      <c r="I13" s="2982">
        <v>2.75</v>
      </c>
      <c r="J13" s="2982">
        <v>3.25</v>
      </c>
      <c r="K13" s="2979"/>
      <c r="L13" s="2980" t="s">
        <v>2809</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2810</v>
      </c>
      <c r="Y42" s="2986" t="s">
        <v>2810</v>
      </c>
      <c r="Z42" s="2986" t="s">
        <v>2810</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2810</v>
      </c>
      <c r="Y43" s="2986" t="s">
        <v>2810</v>
      </c>
      <c r="Z43" s="2986" t="s">
        <v>2810</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2810</v>
      </c>
      <c r="Y44" s="2986" t="s">
        <v>2810</v>
      </c>
      <c r="Z44" s="2986" t="s">
        <v>2810</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2810</v>
      </c>
      <c r="Y45" s="2986" t="s">
        <v>2810</v>
      </c>
      <c r="Z45" s="2986" t="s">
        <v>2810</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2810</v>
      </c>
      <c r="Y46" s="2986" t="s">
        <v>2810</v>
      </c>
      <c r="Z46" s="2986" t="s">
        <v>2810</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2810</v>
      </c>
      <c r="Y47" s="2986" t="s">
        <v>2810</v>
      </c>
      <c r="Z47" s="2986" t="s">
        <v>2810</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2810</v>
      </c>
      <c r="Y48" s="2986" t="s">
        <v>2810</v>
      </c>
      <c r="Z48" s="2986" t="s">
        <v>2810</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2810</v>
      </c>
      <c r="Y49" s="2986" t="s">
        <v>2810</v>
      </c>
      <c r="Z49" s="2986" t="s">
        <v>2810</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2810</v>
      </c>
      <c r="Y50" s="2986" t="s">
        <v>2810</v>
      </c>
      <c r="Z50" s="2986" t="s">
        <v>2810</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2810</v>
      </c>
      <c r="V51" s="2986" t="s">
        <v>2810</v>
      </c>
      <c r="W51" s="2986" t="s">
        <v>2810</v>
      </c>
      <c r="X51" s="2986" t="s">
        <v>2810</v>
      </c>
      <c r="Y51" s="2986" t="s">
        <v>2810</v>
      </c>
      <c r="Z51" s="2986" t="s">
        <v>2810</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2810</v>
      </c>
      <c r="J55" s="2986" t="s">
        <v>2810</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5" zoomScaleNormal="85" workbookViewId="0">
      <selection activeCell="F41" sqref="F4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1722</v>
      </c>
      <c r="B1" s="736"/>
      <c r="C1" s="771" t="s">
        <v>3135</v>
      </c>
      <c r="D1" s="3115" t="s">
        <v>3068</v>
      </c>
      <c r="E1" s="2383" t="s">
        <v>867</v>
      </c>
      <c r="F1" s="2384">
        <f ca="1">J53</f>
        <v>43.03</v>
      </c>
      <c r="G1" s="772">
        <f>MATCH(C1,'数据-取费表'!A6:A16,0)+5</f>
        <v>12</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464</v>
      </c>
      <c r="B2" s="773">
        <f ca="1">C40+J29+L46</f>
        <v>2120</v>
      </c>
      <c r="C2" s="2053"/>
      <c r="D2" s="2051"/>
      <c r="E2" s="2052"/>
      <c r="F2" s="2052"/>
      <c r="G2" s="1587"/>
      <c r="H2" s="2053"/>
      <c r="I2" s="2053"/>
      <c r="J2" s="2053"/>
      <c r="K2" s="2054"/>
      <c r="L2" s="2053"/>
      <c r="M2" s="2053"/>
    </row>
    <row r="3" spans="1:33" ht="18" customHeight="1" thickBot="1">
      <c r="A3" s="831" t="s">
        <v>516</v>
      </c>
      <c r="B3" s="832">
        <f ca="1">IF(ISERROR(B2*10000/F43),0,ROUND(B2*10000/F43,0))</f>
        <v>3188</v>
      </c>
      <c r="C3" s="2053"/>
      <c r="D3" s="2051"/>
      <c r="E3" s="2052"/>
      <c r="F3" s="2052"/>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1725</v>
      </c>
      <c r="I4" s="776" t="s">
        <v>1726</v>
      </c>
      <c r="J4" s="776" t="s">
        <v>1727</v>
      </c>
      <c r="K4" s="776" t="s">
        <v>1732</v>
      </c>
      <c r="L4" s="777" t="s">
        <v>1728</v>
      </c>
      <c r="M4" s="778"/>
    </row>
    <row r="5" spans="1:33" ht="18" customHeight="1">
      <c r="A5" s="779">
        <v>1</v>
      </c>
      <c r="B5" s="780" t="s">
        <v>2450</v>
      </c>
      <c r="C5" s="55">
        <f ca="1">C6+C10+C12</f>
        <v>153</v>
      </c>
      <c r="D5" s="2492" t="s">
        <v>2453</v>
      </c>
      <c r="E5" s="2486"/>
      <c r="F5" s="2487"/>
      <c r="G5" s="1589"/>
      <c r="H5" s="779">
        <v>1</v>
      </c>
      <c r="I5" s="780" t="s">
        <v>2450</v>
      </c>
      <c r="J5" s="55">
        <f ca="1">J6+J10+J12</f>
        <v>0</v>
      </c>
      <c r="K5" s="2492" t="s">
        <v>2453</v>
      </c>
      <c r="L5" s="2486"/>
      <c r="M5" s="2487"/>
    </row>
    <row r="6" spans="1:33" ht="18" customHeight="1">
      <c r="A6" s="1826" t="s">
        <v>1821</v>
      </c>
      <c r="B6" s="3471" t="s">
        <v>2455</v>
      </c>
      <c r="C6" s="781">
        <f ca="1">ROUND(F6*F8*F7*(1-F9)/10000,0)</f>
        <v>153</v>
      </c>
      <c r="D6" s="2493" t="s">
        <v>2454</v>
      </c>
      <c r="E6" s="782" t="s">
        <v>1735</v>
      </c>
      <c r="F6" s="783">
        <f ca="1">INDIRECT("'数据-取费表'!u"&amp;$G$1)</f>
        <v>0.7</v>
      </c>
      <c r="G6" s="1589"/>
      <c r="H6" s="2500" t="s">
        <v>1821</v>
      </c>
      <c r="I6" s="3471" t="s">
        <v>2455</v>
      </c>
      <c r="J6" s="781">
        <f ca="1">ROUND(M6*M8*M7*(1-M9)/10000,0)</f>
        <v>0</v>
      </c>
      <c r="K6" s="339" t="s">
        <v>1734</v>
      </c>
      <c r="L6" s="782" t="s">
        <v>1735</v>
      </c>
      <c r="M6" s="783">
        <f ca="1">INDIRECT("'数据-取费表'!z"&amp;$G$1)</f>
        <v>0</v>
      </c>
    </row>
    <row r="7" spans="1:33" ht="18" customHeight="1">
      <c r="A7" s="2496"/>
      <c r="B7" s="3472"/>
      <c r="C7" s="786"/>
      <c r="D7" s="787"/>
      <c r="E7" s="782" t="s">
        <v>1736</v>
      </c>
      <c r="F7" s="783">
        <f ca="1">IF(INDIRECT("'数据-取费表'!ah"&amp;$G$1)="",INDIRECT("'数据-取费表'!k"&amp;$G$1),INDIRECT("'数据-取费表'!ah"&amp;$G$1))</f>
        <v>6650.08</v>
      </c>
      <c r="G7" s="1589"/>
      <c r="H7" s="2485"/>
      <c r="I7" s="3472"/>
      <c r="J7" s="786"/>
      <c r="K7" s="787"/>
      <c r="L7" s="782" t="s">
        <v>1736</v>
      </c>
      <c r="M7" s="783">
        <f ca="1">F7</f>
        <v>6650.08</v>
      </c>
    </row>
    <row r="8" spans="1:33" ht="18" customHeight="1">
      <c r="A8" s="2489"/>
      <c r="B8" s="3473"/>
      <c r="C8" s="786"/>
      <c r="D8" s="787"/>
      <c r="E8" s="782" t="s">
        <v>1737</v>
      </c>
      <c r="F8" s="783">
        <f ca="1">INDIRECT("'数据-取费表'!ai"&amp;$G$1)</f>
        <v>365</v>
      </c>
      <c r="G8" s="1589"/>
      <c r="H8" s="2485"/>
      <c r="I8" s="3473"/>
      <c r="J8" s="786"/>
      <c r="K8" s="787"/>
      <c r="L8" s="782" t="s">
        <v>1737</v>
      </c>
      <c r="M8" s="783">
        <f ca="1">INDIRECT("'数据-取费表'!ai"&amp;$G$1)</f>
        <v>365</v>
      </c>
    </row>
    <row r="9" spans="1:33" ht="18" customHeight="1">
      <c r="A9" s="784"/>
      <c r="B9" s="3474"/>
      <c r="C9" s="786"/>
      <c r="D9" s="787"/>
      <c r="E9" s="782" t="s">
        <v>1738</v>
      </c>
      <c r="F9" s="792">
        <f ca="1">INDIRECT("'数据-取费表'!w"&amp;$G$1)</f>
        <v>0.1</v>
      </c>
      <c r="G9" s="1589"/>
      <c r="H9" s="2501"/>
      <c r="I9" s="3473"/>
      <c r="J9" s="786"/>
      <c r="K9" s="787"/>
      <c r="L9" s="793" t="s">
        <v>1738</v>
      </c>
      <c r="M9" s="794">
        <f ca="1">INDIRECT("'数据-取费表'!ab"&amp;$G$1)</f>
        <v>0</v>
      </c>
    </row>
    <row r="10" spans="1:33" ht="18" customHeight="1">
      <c r="A10" s="1826" t="s">
        <v>1822</v>
      </c>
      <c r="B10" s="2490" t="s">
        <v>2451</v>
      </c>
      <c r="C10" s="797">
        <f ca="1">ROUND(IF(F10="押一",C6/12*F11,IF(F10="押二",C6/12*2*F11,IF(F10="押三",C6/12*3*F11,C11*F11))),0)</f>
        <v>0</v>
      </c>
      <c r="D10" s="2497" t="s">
        <v>2961</v>
      </c>
      <c r="E10" s="2494" t="s">
        <v>2456</v>
      </c>
      <c r="F10" s="2617" t="s">
        <v>3042</v>
      </c>
      <c r="G10" s="1589"/>
      <c r="H10" s="2557" t="s">
        <v>1822</v>
      </c>
      <c r="I10" s="2562" t="s">
        <v>2451</v>
      </c>
      <c r="J10" s="781">
        <f ca="1">ROUND(IF(M10="押一",J6/12*M11,IF(M10="押二",J6/12*2*M11,IF(M10="押三",J6/12*3*M11,J11*M11))),0)</f>
        <v>0</v>
      </c>
      <c r="K10" s="2497" t="s">
        <v>2961</v>
      </c>
      <c r="L10" s="2494" t="s">
        <v>2456</v>
      </c>
      <c r="M10" s="2617"/>
    </row>
    <row r="11" spans="1:33" ht="18" customHeight="1">
      <c r="A11" s="788"/>
      <c r="B11" s="2491" t="s">
        <v>2565</v>
      </c>
      <c r="C11" s="2495"/>
      <c r="D11" s="787"/>
      <c r="E11" s="2494" t="s">
        <v>2448</v>
      </c>
      <c r="F11" s="794">
        <f ca="1">'数据-取费表'!B39</f>
        <v>1.4999999999999999E-2</v>
      </c>
      <c r="G11" s="1589"/>
      <c r="H11" s="2558"/>
      <c r="I11" s="2491" t="s">
        <v>2565</v>
      </c>
      <c r="J11" s="2495"/>
      <c r="K11" s="2559"/>
      <c r="L11" s="2494" t="s">
        <v>2448</v>
      </c>
      <c r="M11" s="2488">
        <f ca="1">'数据-取费表'!B39</f>
        <v>1.4999999999999999E-2</v>
      </c>
    </row>
    <row r="12" spans="1:33" ht="18" customHeight="1" thickBot="1">
      <c r="A12" s="2533" t="s">
        <v>2459</v>
      </c>
      <c r="B12" s="2534" t="s">
        <v>2452</v>
      </c>
      <c r="C12" s="2535"/>
      <c r="D12" s="2536"/>
      <c r="E12" s="2537"/>
      <c r="F12" s="2538"/>
      <c r="G12" s="1589"/>
      <c r="H12" s="2547" t="s">
        <v>2459</v>
      </c>
      <c r="I12" s="2560" t="s">
        <v>2452</v>
      </c>
      <c r="J12" s="2561"/>
      <c r="K12" s="2536"/>
      <c r="L12" s="2537"/>
      <c r="M12" s="2550"/>
    </row>
    <row r="13" spans="1:33" ht="18" customHeight="1" thickTop="1">
      <c r="A13" s="1825">
        <v>2</v>
      </c>
      <c r="B13" s="1823" t="s">
        <v>1739</v>
      </c>
      <c r="C13" s="790">
        <f ca="1">ROUND(C29*F13,0)</f>
        <v>1965</v>
      </c>
      <c r="D13" s="1830" t="s">
        <v>2293</v>
      </c>
      <c r="E13" s="1830" t="s">
        <v>1741</v>
      </c>
      <c r="F13" s="2532">
        <f ca="1">INDIRECT("'数据-取费表'!y"&amp;$G$1)</f>
        <v>1</v>
      </c>
      <c r="G13" s="1589"/>
      <c r="H13" s="1825">
        <v>2</v>
      </c>
      <c r="I13" s="1823" t="s">
        <v>1739</v>
      </c>
      <c r="J13" s="1815">
        <f ca="1">ROUND(J14*J15,0)</f>
        <v>0</v>
      </c>
      <c r="K13" s="1817" t="s">
        <v>1740</v>
      </c>
      <c r="L13" s="2548"/>
      <c r="M13" s="2549"/>
    </row>
    <row r="14" spans="1:33" ht="18" customHeight="1">
      <c r="A14" s="1645" t="s">
        <v>1828</v>
      </c>
      <c r="B14" s="782" t="s">
        <v>642</v>
      </c>
      <c r="C14" s="802">
        <f ca="1">INDIRECT("'数据-取费表'!m"&amp;$G$1)+INDIRECT("'数据-取费表'!t"&amp;$G$1)</f>
        <v>1343</v>
      </c>
      <c r="D14" s="3198" t="s">
        <v>1742</v>
      </c>
      <c r="E14" s="3197"/>
      <c r="F14" s="803"/>
      <c r="G14" s="1589"/>
      <c r="H14" s="1646" t="s">
        <v>1821</v>
      </c>
      <c r="I14" s="2227" t="s">
        <v>2817</v>
      </c>
      <c r="J14" s="53">
        <f ca="1">C29</f>
        <v>1965</v>
      </c>
      <c r="K14" s="26"/>
      <c r="L14" s="799"/>
      <c r="M14" s="800"/>
    </row>
    <row r="15" spans="1:33" s="2060" customFormat="1" ht="18" customHeight="1" thickBot="1">
      <c r="A15" s="1645" t="s">
        <v>1829</v>
      </c>
      <c r="B15" s="782" t="s">
        <v>644</v>
      </c>
      <c r="C15" s="53">
        <f ca="1">ROUND(C14*F15,0)</f>
        <v>54</v>
      </c>
      <c r="D15" s="804" t="s">
        <v>1743</v>
      </c>
      <c r="E15" s="804" t="s">
        <v>1744</v>
      </c>
      <c r="F15" s="805">
        <f>'数据-取费表'!B33</f>
        <v>0.04</v>
      </c>
      <c r="G15" s="1590"/>
      <c r="H15" s="2547" t="s">
        <v>1886</v>
      </c>
      <c r="I15" s="2542" t="s">
        <v>1741</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1830</v>
      </c>
      <c r="B16" s="782" t="s">
        <v>647</v>
      </c>
      <c r="C16" s="53">
        <f ca="1">ROUND(INDIRECT("'数据-取费表'!m"&amp;$G$1)*F16,0)</f>
        <v>0</v>
      </c>
      <c r="D16" s="782" t="s">
        <v>1743</v>
      </c>
      <c r="E16" s="782" t="s">
        <v>1744</v>
      </c>
      <c r="F16" s="807">
        <f ca="1">IF(INDIRECT("'数据-取费表'!c"&amp;$G$1)="住宅",'数据-取费表'!B34,0)</f>
        <v>0</v>
      </c>
      <c r="G16" s="1589"/>
      <c r="H16" s="1825" t="s">
        <v>1745</v>
      </c>
      <c r="I16" s="1823" t="s">
        <v>1746</v>
      </c>
      <c r="J16" s="790">
        <f ca="1">ROUND(J17+J22+J23+J24,0)</f>
        <v>196</v>
      </c>
      <c r="K16" s="1817" t="s">
        <v>1747</v>
      </c>
      <c r="L16" s="3200"/>
      <c r="M16" s="2487"/>
    </row>
    <row r="17" spans="1:33" s="2060" customFormat="1" ht="18" customHeight="1">
      <c r="A17" s="1645" t="s">
        <v>1884</v>
      </c>
      <c r="B17" s="782" t="s">
        <v>650</v>
      </c>
      <c r="C17" s="53">
        <f ca="1">ROUND(F17*(F43+INDIRECT("'数据-取费表'!S"&amp;$G$1))/10000,0)</f>
        <v>134</v>
      </c>
      <c r="D17" s="782" t="s">
        <v>1748</v>
      </c>
      <c r="E17" s="782" t="s">
        <v>1749</v>
      </c>
      <c r="F17" s="56">
        <f>'数据-取费表'!B35</f>
        <v>200</v>
      </c>
      <c r="G17" s="1590"/>
      <c r="H17" s="1646" t="s">
        <v>1821</v>
      </c>
      <c r="I17" s="782" t="s">
        <v>653</v>
      </c>
      <c r="J17" s="53">
        <f ca="1">ROUND(IF(项目基本情况!B11="自然人",J5*M17,J18+J19+J20),0)</f>
        <v>167</v>
      </c>
      <c r="K17" s="3198" t="s">
        <v>1750</v>
      </c>
      <c r="L17" s="3199" t="s">
        <v>1751</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1885</v>
      </c>
      <c r="B18" s="782" t="s">
        <v>656</v>
      </c>
      <c r="C18" s="53">
        <f ca="1">ROUND(C14*F18,0)</f>
        <v>20</v>
      </c>
      <c r="D18" s="782" t="s">
        <v>1743</v>
      </c>
      <c r="E18" s="782" t="s">
        <v>1744</v>
      </c>
      <c r="F18" s="807">
        <f>'数据-取费表'!B36</f>
        <v>1.4999999999999999E-2</v>
      </c>
      <c r="G18" s="1590"/>
      <c r="H18" s="1645" t="s">
        <v>1828</v>
      </c>
      <c r="I18" s="782" t="s">
        <v>1752</v>
      </c>
      <c r="J18" s="53">
        <f ca="1">ROUND(J5*M18/1.05,1)</f>
        <v>0</v>
      </c>
      <c r="K18" s="3199" t="s">
        <v>1753</v>
      </c>
      <c r="L18" s="782" t="s">
        <v>1744</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1821</v>
      </c>
      <c r="B19" s="782" t="s">
        <v>659</v>
      </c>
      <c r="C19" s="53">
        <f ca="1">SUM(C14:C18)</f>
        <v>1551</v>
      </c>
      <c r="D19" s="259" t="s">
        <v>1754</v>
      </c>
      <c r="E19" s="3201"/>
      <c r="F19" s="56"/>
      <c r="G19" s="1589"/>
      <c r="H19" s="1645" t="s">
        <v>1829</v>
      </c>
      <c r="I19" s="782" t="s">
        <v>1755</v>
      </c>
      <c r="J19" s="53">
        <f ca="1">IF(K19="按租金收入计税",ROUND(J5*M19,1),ROUND(C29*F33*0.7,1))</f>
        <v>165.1</v>
      </c>
      <c r="K19" s="809" t="s">
        <v>662</v>
      </c>
      <c r="L19" s="782" t="s">
        <v>1744</v>
      </c>
      <c r="M19" s="807">
        <f>IF(K19="按租金收入计税",'数据-取费表'!B51,'数据-取费表'!B50)</f>
        <v>1.2E-2</v>
      </c>
    </row>
    <row r="20" spans="1:33" s="2060" customFormat="1" ht="18" customHeight="1">
      <c r="A20" s="1646" t="s">
        <v>1886</v>
      </c>
      <c r="B20" s="782" t="s">
        <v>663</v>
      </c>
      <c r="C20" s="53">
        <f ca="1">ROUND(C19*F20,0)</f>
        <v>31</v>
      </c>
      <c r="D20" s="810" t="s">
        <v>1756</v>
      </c>
      <c r="E20" s="782" t="s">
        <v>1744</v>
      </c>
      <c r="F20" s="807">
        <f>'数据-取费表'!B37</f>
        <v>0.02</v>
      </c>
      <c r="G20" s="1590"/>
      <c r="H20" s="1648" t="s">
        <v>1830</v>
      </c>
      <c r="I20" s="339" t="s">
        <v>1757</v>
      </c>
      <c r="J20" s="54">
        <f ca="1">ROUND(M20*M21/10000,0)</f>
        <v>2</v>
      </c>
      <c r="K20" s="812" t="s">
        <v>1758</v>
      </c>
      <c r="L20" s="782" t="s">
        <v>1759</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1887</v>
      </c>
      <c r="B21" s="782" t="s">
        <v>1760</v>
      </c>
      <c r="C21" s="53" t="s">
        <v>1761</v>
      </c>
      <c r="D21" s="810" t="s">
        <v>2294</v>
      </c>
      <c r="E21" s="782" t="s">
        <v>1762</v>
      </c>
      <c r="F21" s="807">
        <f>'数据-取费表'!B38</f>
        <v>0.02</v>
      </c>
      <c r="G21" s="1590"/>
      <c r="H21" s="2502"/>
      <c r="I21" s="791"/>
      <c r="J21" s="69"/>
      <c r="K21" s="814"/>
      <c r="L21" s="782" t="s">
        <v>1763</v>
      </c>
      <c r="M21" s="783">
        <f ca="1">INDIRECT("'数据-取费表'!r"&amp;$G$1)</f>
        <v>1156.4799999999998</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1888</v>
      </c>
      <c r="B22" s="782" t="s">
        <v>1764</v>
      </c>
      <c r="C22" s="53"/>
      <c r="D22" s="2568" t="str">
        <f>IF(F23&lt;=1,"单利计息。","复利计息。")&amp;"建造成本、管理费用、销售费用产生的利息。"</f>
        <v>复利计息。建造成本、管理费用、销售费用产生的利息。</v>
      </c>
      <c r="E22" s="3201"/>
      <c r="F22" s="56"/>
      <c r="G22" s="1589"/>
      <c r="H22" s="1646" t="s">
        <v>1886</v>
      </c>
      <c r="I22" s="782" t="s">
        <v>1765</v>
      </c>
      <c r="J22" s="53">
        <f ca="1">ROUND(J14*M22,0)</f>
        <v>29</v>
      </c>
      <c r="K22" s="3199" t="s">
        <v>1766</v>
      </c>
      <c r="L22" s="782" t="s">
        <v>1744</v>
      </c>
      <c r="M22" s="815">
        <f ca="1">INDIRECT("'数据-取费表'!Ak"&amp;$G$1)</f>
        <v>1.4999999999999999E-2</v>
      </c>
    </row>
    <row r="23" spans="1:33" s="2060" customFormat="1" ht="18" customHeight="1">
      <c r="A23" s="1645" t="s">
        <v>1828</v>
      </c>
      <c r="B23" s="782" t="s">
        <v>2431</v>
      </c>
      <c r="C23" s="53">
        <f ca="1">ROUND(IF('数据-取费表'!B22&lt;=1,(C19+C20)*F24*F23/2,(C19+C20)*(POWER((1+F24),F23/2)-1)),0)</f>
        <v>75</v>
      </c>
      <c r="D23" s="2567"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f ca="1">ROUND(J13*M23,0)</f>
        <v>0</v>
      </c>
      <c r="K23" s="3199" t="s">
        <v>1768</v>
      </c>
      <c r="L23" s="782" t="s">
        <v>1744</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1829</v>
      </c>
      <c r="B24" s="782" t="s">
        <v>1769</v>
      </c>
      <c r="C24" s="53">
        <f ca="1">ROUND(IF('数据-取费表'!B22&lt;=1,F21*F24*F23/2,F21*(POWER((1+F24),F23/2)-1)),4)</f>
        <v>1E-3</v>
      </c>
      <c r="D24" s="2567" t="str">
        <f>IF(F23&lt;=1,"销售费用×利率×(建设周期÷2)","销售费用×((1+利率)^(建设周期÷2)-1)")</f>
        <v>销售费用×((1+利率)^(建设周期÷2)-1)</v>
      </c>
      <c r="E24" s="782" t="s">
        <v>1770</v>
      </c>
      <c r="F24" s="817">
        <f ca="1">'数据-取费表'!B40</f>
        <v>4.7500000000000001E-2</v>
      </c>
      <c r="G24" s="1590"/>
      <c r="H24" s="2547" t="s">
        <v>1888</v>
      </c>
      <c r="I24" s="2542" t="s">
        <v>663</v>
      </c>
      <c r="J24" s="2540">
        <f ca="1">ROUND(J5*M24,0)</f>
        <v>0</v>
      </c>
      <c r="K24" s="2541" t="s">
        <v>1771</v>
      </c>
      <c r="L24" s="2542" t="s">
        <v>1744</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1837</v>
      </c>
      <c r="B25" s="782" t="s">
        <v>681</v>
      </c>
      <c r="C25" s="53"/>
      <c r="D25" s="259" t="s">
        <v>1772</v>
      </c>
      <c r="E25" s="3201"/>
      <c r="F25" s="56"/>
      <c r="G25" s="1589"/>
      <c r="H25" s="1825" t="s">
        <v>1773</v>
      </c>
      <c r="I25" s="3006" t="s">
        <v>2814</v>
      </c>
      <c r="J25" s="790">
        <f ca="1">J5-J16</f>
        <v>-196</v>
      </c>
      <c r="K25" s="2544" t="s">
        <v>1774</v>
      </c>
      <c r="L25" s="2545"/>
      <c r="M25" s="2546"/>
    </row>
    <row r="26" spans="1:33" ht="18" customHeight="1">
      <c r="A26" s="1645" t="s">
        <v>1828</v>
      </c>
      <c r="B26" s="782" t="s">
        <v>2432</v>
      </c>
      <c r="C26" s="53">
        <f ca="1">ROUND((C19+C20)*F26,0)</f>
        <v>158</v>
      </c>
      <c r="D26" s="810" t="s">
        <v>1775</v>
      </c>
      <c r="E26" s="793" t="s">
        <v>1776</v>
      </c>
      <c r="F26" s="792">
        <f ca="1">INDIRECT("'数据-取费表'!q"&amp;$G$1)</f>
        <v>0.1</v>
      </c>
      <c r="G26" s="1589"/>
      <c r="H26" s="2498" t="s">
        <v>1777</v>
      </c>
      <c r="I26" s="2228" t="s">
        <v>2819</v>
      </c>
      <c r="J26" s="781">
        <f ca="1">IF(J5&lt;&gt;0,ROUND(J25*(1-((1+M28)/(1+M26))^M27)/(M26-M28),0),0)</f>
        <v>0</v>
      </c>
      <c r="K26" s="812" t="s">
        <v>1778</v>
      </c>
      <c r="L26" s="782" t="s">
        <v>2413</v>
      </c>
      <c r="M26" s="792">
        <f ca="1">INDIRECT("'数据-取费表'!I"&amp;$G$1)</f>
        <v>4.4999999999999998E-2</v>
      </c>
    </row>
    <row r="27" spans="1:33" ht="18" customHeight="1">
      <c r="A27" s="1645" t="s">
        <v>1829</v>
      </c>
      <c r="B27" s="782" t="s">
        <v>683</v>
      </c>
      <c r="C27" s="53">
        <f ca="1">ROUND(F21*F26,4)</f>
        <v>2E-3</v>
      </c>
      <c r="D27" s="810" t="s">
        <v>1779</v>
      </c>
      <c r="E27" s="804"/>
      <c r="F27" s="805"/>
      <c r="G27" s="1589"/>
      <c r="H27" s="2499"/>
      <c r="I27" s="785"/>
      <c r="J27" s="786"/>
      <c r="K27" s="819" t="s">
        <v>1780</v>
      </c>
      <c r="L27" s="782" t="s">
        <v>1781</v>
      </c>
      <c r="M27" s="820">
        <f ca="1">INDIRECT("'数据-取费表'!ag"&amp;$G$1)</f>
        <v>0</v>
      </c>
    </row>
    <row r="28" spans="1:33" s="2060" customFormat="1" ht="18" customHeight="1">
      <c r="A28" s="1647" t="s">
        <v>1838</v>
      </c>
      <c r="B28" s="782" t="s">
        <v>684</v>
      </c>
      <c r="C28" s="53">
        <f>ROUND(F28/(1+'数据-取费表'!C42),4)</f>
        <v>5.33E-2</v>
      </c>
      <c r="D28" s="810" t="s">
        <v>2295</v>
      </c>
      <c r="E28" s="782" t="s">
        <v>1744</v>
      </c>
      <c r="F28" s="807">
        <f>'数据-取费表'!B41</f>
        <v>5.6000000000000001E-2</v>
      </c>
      <c r="G28" s="1590"/>
      <c r="H28" s="1825"/>
      <c r="I28" s="789"/>
      <c r="J28" s="790"/>
      <c r="K28" s="814"/>
      <c r="L28" s="782" t="s">
        <v>1783</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1889</v>
      </c>
      <c r="B29" s="2537" t="s">
        <v>2296</v>
      </c>
      <c r="C29" s="2540">
        <f ca="1">ROUND((C19+C20+C23+C26)/(1-F21-C24-C27-C28),0)</f>
        <v>1965</v>
      </c>
      <c r="D29" s="2541"/>
      <c r="E29" s="2542"/>
      <c r="F29" s="2543"/>
      <c r="G29" s="1590"/>
      <c r="H29" s="821" t="s">
        <v>1784</v>
      </c>
      <c r="I29" s="822" t="s">
        <v>1785</v>
      </c>
      <c r="J29" s="823">
        <f ca="1">ROUND(J26/(1+F40)^F41,0)</f>
        <v>0</v>
      </c>
      <c r="K29" s="824" t="s">
        <v>1786</v>
      </c>
      <c r="L29" s="825"/>
      <c r="M29" s="826">
        <f ca="1">INDIRECT("'数据-取费表'!k"&amp;$G$1)</f>
        <v>6650.08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1745</v>
      </c>
      <c r="B30" s="1823" t="s">
        <v>1746</v>
      </c>
      <c r="C30" s="790">
        <f ca="1">ROUND(C31+C36+C37+C38,0)</f>
        <v>64</v>
      </c>
      <c r="D30" s="1817" t="s">
        <v>1747</v>
      </c>
      <c r="E30" s="3200"/>
      <c r="F30" s="2487"/>
      <c r="G30" s="2058"/>
      <c r="H30" s="2061"/>
      <c r="I30" s="2062"/>
      <c r="J30" s="2063"/>
      <c r="K30" s="2064"/>
      <c r="L30" s="2065"/>
      <c r="M30" s="2066"/>
    </row>
    <row r="31" spans="1:33" ht="18" customHeight="1">
      <c r="A31" s="1646" t="s">
        <v>1821</v>
      </c>
      <c r="B31" s="782" t="s">
        <v>653</v>
      </c>
      <c r="C31" s="53">
        <f ca="1">ROUND(IF(项目基本情况!B11="自然人",C5*F31,C32+C33+C34),1)</f>
        <v>28.9</v>
      </c>
      <c r="D31" s="3198" t="s">
        <v>1750</v>
      </c>
      <c r="E31" s="3199" t="s">
        <v>1790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1828</v>
      </c>
      <c r="B32" s="782" t="s">
        <v>1752</v>
      </c>
      <c r="C32" s="53">
        <f ca="1">ROUND(C5*F32/1.05,1)</f>
        <v>8.1999999999999993</v>
      </c>
      <c r="D32" s="3199" t="s">
        <v>1753</v>
      </c>
      <c r="E32" s="782" t="s">
        <v>1744</v>
      </c>
      <c r="F32" s="807">
        <f>'数据-取费表'!B41</f>
        <v>5.6000000000000001E-2</v>
      </c>
      <c r="G32" s="2058"/>
      <c r="H32" s="2067"/>
      <c r="I32" s="2068"/>
      <c r="J32" s="2069"/>
      <c r="K32" s="2070"/>
      <c r="L32" s="2071"/>
      <c r="M32" s="2072"/>
    </row>
    <row r="33" spans="1:18" ht="18" customHeight="1">
      <c r="A33" s="1645" t="s">
        <v>1829</v>
      </c>
      <c r="B33" s="782" t="s">
        <v>1755</v>
      </c>
      <c r="C33" s="53">
        <f ca="1">IF(D33="按租金收入计税",ROUND(C5*F33,1),IF(D33="按房产原值计税",ROUND(C29*F33*0.7,1),INDIRECT("'数据-取费表'!Aj"&amp;$G$1)))</f>
        <v>18.399999999999999</v>
      </c>
      <c r="D33" s="809" t="s">
        <v>3026</v>
      </c>
      <c r="E33" s="782" t="s">
        <v>1744</v>
      </c>
      <c r="F33" s="807">
        <f>IF(D33="按租金收入计税",'数据-取费表'!B51,'数据-取费表'!B50)</f>
        <v>0.12</v>
      </c>
      <c r="G33" s="2058"/>
      <c r="H33" s="2073"/>
      <c r="I33" s="2073"/>
      <c r="J33" s="2073"/>
      <c r="K33" s="2074"/>
      <c r="L33" s="2073"/>
      <c r="M33" s="2073"/>
    </row>
    <row r="34" spans="1:18" ht="18" customHeight="1">
      <c r="A34" s="1648" t="s">
        <v>1830</v>
      </c>
      <c r="B34" s="339" t="s">
        <v>1757</v>
      </c>
      <c r="C34" s="54">
        <f ca="1">ROUND(F34*F35/10000,1)</f>
        <v>2.2999999999999998</v>
      </c>
      <c r="D34" s="812" t="s">
        <v>1758</v>
      </c>
      <c r="E34" s="782" t="s">
        <v>1759</v>
      </c>
      <c r="F34" s="638">
        <f>'数据-取费表'!B52</f>
        <v>20</v>
      </c>
      <c r="G34" s="2058"/>
      <c r="H34" s="2061"/>
      <c r="I34" s="833" t="s">
        <v>1810</v>
      </c>
      <c r="J34" s="834"/>
      <c r="K34" s="2076"/>
      <c r="L34" s="2075"/>
      <c r="M34" s="2075"/>
    </row>
    <row r="35" spans="1:18" ht="18" customHeight="1">
      <c r="A35" s="813"/>
      <c r="B35" s="791"/>
      <c r="C35" s="69"/>
      <c r="D35" s="814"/>
      <c r="E35" s="782" t="s">
        <v>1763</v>
      </c>
      <c r="F35" s="783">
        <f ca="1">INDIRECT("'数据-取费表'!r"&amp;$G$1)</f>
        <v>1156.4799999999998</v>
      </c>
      <c r="G35" s="2058"/>
      <c r="H35" s="2061"/>
      <c r="I35" s="835" t="s">
        <v>1811</v>
      </c>
      <c r="J35" s="836">
        <f ca="1">ROUND(C13*J36,0)</f>
        <v>167</v>
      </c>
      <c r="K35" s="2074"/>
      <c r="L35" s="2073"/>
      <c r="M35" s="2073"/>
    </row>
    <row r="36" spans="1:18" ht="18" customHeight="1">
      <c r="A36" s="1646" t="s">
        <v>1886</v>
      </c>
      <c r="B36" s="782" t="s">
        <v>1765</v>
      </c>
      <c r="C36" s="53">
        <f ca="1">ROUND(C29*F36,1)</f>
        <v>29.5</v>
      </c>
      <c r="D36" s="3199" t="s">
        <v>1800</v>
      </c>
      <c r="E36" s="782" t="s">
        <v>1744</v>
      </c>
      <c r="F36" s="815">
        <f ca="1">INDIRECT("'数据-取费表'!Ak"&amp;$G$1)</f>
        <v>1.4999999999999999E-2</v>
      </c>
      <c r="G36" s="2058"/>
      <c r="H36" s="2073"/>
      <c r="I36" s="837" t="s">
        <v>1812</v>
      </c>
      <c r="J36" s="838">
        <f ca="1">INDIRECT("'数据-取费表'!j"&amp;$G$1)</f>
        <v>8.5000000000000006E-2</v>
      </c>
      <c r="K36" s="2078"/>
      <c r="L36" s="2073"/>
      <c r="M36" s="2073"/>
    </row>
    <row r="37" spans="1:18" ht="18" customHeight="1">
      <c r="A37" s="1646" t="s">
        <v>1887</v>
      </c>
      <c r="B37" s="782" t="s">
        <v>676</v>
      </c>
      <c r="C37" s="53">
        <f ca="1">ROUND(C13*F37,1)</f>
        <v>2.9</v>
      </c>
      <c r="D37" s="3199" t="s">
        <v>1768</v>
      </c>
      <c r="E37" s="782" t="s">
        <v>1744</v>
      </c>
      <c r="F37" s="816">
        <f ca="1">INDIRECT("'数据-取费表'!Al"&amp;$G$1)</f>
        <v>1.5E-3</v>
      </c>
      <c r="G37" s="2058"/>
      <c r="H37" s="2073"/>
      <c r="I37" s="839" t="s">
        <v>1813</v>
      </c>
      <c r="J37" s="840"/>
      <c r="K37" s="2078"/>
      <c r="L37" s="2073"/>
      <c r="M37" s="2073"/>
    </row>
    <row r="38" spans="1:18" ht="18" customHeight="1" thickBot="1">
      <c r="A38" s="2547" t="s">
        <v>1888</v>
      </c>
      <c r="B38" s="2542" t="s">
        <v>663</v>
      </c>
      <c r="C38" s="2540">
        <f ca="1">ROUND(C5*F38,1)</f>
        <v>2.2999999999999998</v>
      </c>
      <c r="D38" s="2541" t="s">
        <v>1771</v>
      </c>
      <c r="E38" s="2542" t="s">
        <v>1744</v>
      </c>
      <c r="F38" s="2538">
        <f ca="1">INDIRECT("'数据-取费表'!Am"&amp;$G$1)</f>
        <v>1.4999999999999999E-2</v>
      </c>
      <c r="G38" s="2058"/>
      <c r="H38" s="2073"/>
      <c r="I38" s="841" t="s">
        <v>1814</v>
      </c>
      <c r="J38" s="842"/>
      <c r="K38" s="2079"/>
      <c r="L38" s="2073"/>
      <c r="M38" s="2073"/>
    </row>
    <row r="39" spans="1:18" ht="24.6" customHeight="1" thickTop="1">
      <c r="A39" s="1825" t="s">
        <v>1773</v>
      </c>
      <c r="B39" s="3006" t="s">
        <v>2814</v>
      </c>
      <c r="C39" s="790">
        <f ca="1">C5-C30</f>
        <v>89</v>
      </c>
      <c r="D39" s="2544" t="s">
        <v>1774</v>
      </c>
      <c r="E39" s="2545"/>
      <c r="F39" s="2546"/>
      <c r="G39" s="2058"/>
      <c r="H39" s="2073"/>
      <c r="I39" s="835" t="s">
        <v>1815</v>
      </c>
      <c r="J39" s="843">
        <f ca="1">ROUND(J35/C39,3)</f>
        <v>1.8759999999999999</v>
      </c>
      <c r="K39" s="2079"/>
      <c r="L39" s="2073"/>
      <c r="M39" s="2073"/>
    </row>
    <row r="40" spans="1:18" ht="18" customHeight="1">
      <c r="A40" s="779" t="s">
        <v>1777</v>
      </c>
      <c r="B40" s="2228" t="s">
        <v>2297</v>
      </c>
      <c r="C40" s="781">
        <f ca="1">ROUND(C39*(1-((1+F42)/(1+F40))^F41)/(F40-F42),0)</f>
        <v>2120</v>
      </c>
      <c r="D40" s="812" t="s">
        <v>1778</v>
      </c>
      <c r="E40" s="782" t="s">
        <v>2413</v>
      </c>
      <c r="F40" s="792">
        <f ca="1">INDIRECT("'数据-取费表'!I"&amp;$G$1)</f>
        <v>4.4999999999999998E-2</v>
      </c>
      <c r="G40" s="2058"/>
      <c r="H40" s="2058"/>
      <c r="I40" s="835" t="s">
        <v>1816</v>
      </c>
      <c r="J40" s="843">
        <f ca="1">1-J39</f>
        <v>-0.87599999999999989</v>
      </c>
      <c r="K40" s="2079"/>
      <c r="L40" s="2058"/>
      <c r="M40" s="2058"/>
    </row>
    <row r="41" spans="1:18" ht="18" customHeight="1">
      <c r="A41" s="784"/>
      <c r="B41" s="785"/>
      <c r="C41" s="786"/>
      <c r="D41" s="819" t="s">
        <v>1805</v>
      </c>
      <c r="E41" s="782" t="s">
        <v>1781</v>
      </c>
      <c r="F41" s="820">
        <f ca="1">IF(INDIRECT("'数据-取费表'!af"&amp;$G$1)=0,INDIRECT("'数据-取费表'!ae"&amp;$G$1),INDIRECT("'数据-取费表'!af"&amp;$G$1))</f>
        <v>43.03</v>
      </c>
      <c r="G41" s="2058"/>
      <c r="H41" s="1984"/>
      <c r="I41" s="841" t="s">
        <v>1817</v>
      </c>
      <c r="J41" s="844"/>
      <c r="K41" s="2078"/>
      <c r="L41" s="1984"/>
      <c r="M41" s="1984"/>
    </row>
    <row r="42" spans="1:18" ht="18" customHeight="1">
      <c r="A42" s="788"/>
      <c r="B42" s="789"/>
      <c r="C42" s="790"/>
      <c r="D42" s="814"/>
      <c r="E42" s="782" t="s">
        <v>1783</v>
      </c>
      <c r="F42" s="792">
        <f ca="1">INDIRECT("'数据-取费表'!v"&amp;$G$1)</f>
        <v>1.4999999999999999E-2</v>
      </c>
      <c r="G42" s="2058"/>
      <c r="H42" s="1984"/>
      <c r="I42" s="845" t="s">
        <v>1818</v>
      </c>
      <c r="J42" s="843">
        <f ca="1">ROUND(C13/C40,3)</f>
        <v>0.92700000000000005</v>
      </c>
      <c r="K42" s="2078"/>
      <c r="L42" s="1984"/>
      <c r="M42" s="1984"/>
    </row>
    <row r="43" spans="1:18" ht="18" customHeight="1" thickBot="1">
      <c r="A43" s="821" t="s">
        <v>1784</v>
      </c>
      <c r="B43" s="822" t="s">
        <v>1807</v>
      </c>
      <c r="C43" s="823">
        <f ca="1">ROUND(C40*10000/F43,0)</f>
        <v>3188</v>
      </c>
      <c r="D43" s="824" t="s">
        <v>1808</v>
      </c>
      <c r="E43" s="825" t="s">
        <v>1809</v>
      </c>
      <c r="F43" s="826">
        <f ca="1">INDIRECT("'数据-取费表'!k"&amp;$G$1)</f>
        <v>6650.08</v>
      </c>
      <c r="G43" s="2058"/>
      <c r="H43" s="1984"/>
      <c r="I43" s="845" t="s">
        <v>1819</v>
      </c>
      <c r="J43" s="846">
        <f ca="1">1-J42</f>
        <v>7.2999999999999954E-2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2291</v>
      </c>
      <c r="B46" s="2081"/>
      <c r="C46" s="2570">
        <f ca="1">C67-C40</f>
        <v>-2781</v>
      </c>
      <c r="D46" s="2081"/>
      <c r="E46" s="2081"/>
      <c r="F46" s="2081"/>
      <c r="I46" s="2374" t="s">
        <v>2337</v>
      </c>
      <c r="J46" s="2375"/>
      <c r="K46" s="2376"/>
      <c r="L46" s="3150">
        <f>IF(OR(M47="住宅",D1="土地（套用方法）"),0,IF(L48&gt;J51,L60,J60))</f>
        <v>0</v>
      </c>
      <c r="O46" s="2390" t="s">
        <v>2404</v>
      </c>
      <c r="P46" s="1589"/>
      <c r="Q46" s="1601"/>
      <c r="R46" s="1589"/>
    </row>
    <row r="47" spans="1:18" s="2055" customFormat="1" ht="18" customHeight="1" thickBot="1">
      <c r="A47" s="2368">
        <v>1</v>
      </c>
      <c r="B47" s="2369" t="s">
        <v>632</v>
      </c>
      <c r="C47" s="2570">
        <f ca="1">C48+C52+C54</f>
        <v>0</v>
      </c>
      <c r="D47" s="2081"/>
      <c r="E47" s="2081"/>
      <c r="F47" s="2081"/>
      <c r="I47" s="3140" t="s">
        <v>2338</v>
      </c>
      <c r="J47" s="2377" t="s">
        <v>3027</v>
      </c>
      <c r="K47" s="3147" t="s">
        <v>2343</v>
      </c>
      <c r="L47" s="3151">
        <f ca="1">INDIRECT("'数据-取费表'!d"&amp;$G$1)</f>
        <v>50</v>
      </c>
      <c r="M47" s="1601" t="str">
        <f>IF(ISNUMBER(FIND("住宅",C1)),"住宅","非住宅")</f>
        <v>非住宅</v>
      </c>
      <c r="O47" s="2391" t="s">
        <v>2369</v>
      </c>
      <c r="P47" s="2392" t="s">
        <v>2370</v>
      </c>
      <c r="Q47" s="2393" t="s">
        <v>2371</v>
      </c>
      <c r="R47" s="2392" t="s">
        <v>2372</v>
      </c>
    </row>
    <row r="48" spans="1:18" s="2055" customFormat="1" ht="18" customHeight="1" thickBot="1">
      <c r="A48" s="2638" t="s">
        <v>1867</v>
      </c>
      <c r="B48" s="2639" t="s">
        <v>2530</v>
      </c>
      <c r="C48" s="2370">
        <f ca="1">ROUND(F48*F50*F49*(1-F51)/10000,0)</f>
        <v>0</v>
      </c>
      <c r="D48" s="2371" t="s">
        <v>633</v>
      </c>
      <c r="E48" s="2372" t="s">
        <v>2292</v>
      </c>
      <c r="F48" s="2373"/>
      <c r="G48" s="2086"/>
      <c r="I48" s="3116" t="s">
        <v>2339</v>
      </c>
      <c r="J48" s="2378" t="s">
        <v>2344</v>
      </c>
      <c r="K48" s="3148" t="s">
        <v>2345</v>
      </c>
      <c r="L48" s="1904">
        <f ca="1">INDIRECT("'数据-取费表'!f"&amp;$G$1)</f>
        <v>45.03</v>
      </c>
      <c r="O48" s="2394" t="s">
        <v>2373</v>
      </c>
      <c r="P48" s="2395" t="s">
        <v>2399</v>
      </c>
      <c r="Q48" s="2396">
        <f ca="1">C40+J29</f>
        <v>2120</v>
      </c>
      <c r="R48" s="2395" t="s">
        <v>2374</v>
      </c>
    </row>
    <row r="49" spans="1:18" s="2055" customFormat="1" ht="18" customHeight="1" thickBot="1">
      <c r="A49" s="784"/>
      <c r="B49" s="785"/>
      <c r="C49" s="786"/>
      <c r="D49" s="787"/>
      <c r="E49" s="782" t="s">
        <v>1736</v>
      </c>
      <c r="F49" s="783">
        <f ca="1">F7</f>
        <v>6650.08</v>
      </c>
      <c r="G49" s="2086"/>
      <c r="H49" s="2089"/>
      <c r="I49" s="3116" t="s">
        <v>2340</v>
      </c>
      <c r="J49" s="2379">
        <v>2021</v>
      </c>
      <c r="K49" s="3149" t="s">
        <v>2346</v>
      </c>
      <c r="L49" s="2380"/>
      <c r="O49" s="2394" t="s">
        <v>2375</v>
      </c>
      <c r="P49" s="2395" t="s">
        <v>2400</v>
      </c>
      <c r="Q49" s="2396" t="str">
        <f ca="1">J60</f>
        <v>0</v>
      </c>
      <c r="R49" s="2395" t="s">
        <v>2376</v>
      </c>
    </row>
    <row r="50" spans="1:18" s="2055" customFormat="1" ht="18" customHeight="1" thickBot="1">
      <c r="A50" s="784"/>
      <c r="B50" s="785"/>
      <c r="C50" s="786"/>
      <c r="D50" s="787"/>
      <c r="E50" s="782" t="s">
        <v>1737</v>
      </c>
      <c r="F50" s="783">
        <f ca="1">F8</f>
        <v>365</v>
      </c>
      <c r="G50" s="2091"/>
      <c r="H50" s="2089"/>
      <c r="I50" s="3116" t="s">
        <v>2341</v>
      </c>
      <c r="J50" s="3144">
        <f>SUMPRODUCT((I63:I65=J47)*(J62:L62=J48)*(J63:L65))</f>
        <v>60</v>
      </c>
      <c r="K50" s="3149" t="s">
        <v>2347</v>
      </c>
      <c r="L50" s="2380"/>
      <c r="O50" s="2397" t="s">
        <v>2377</v>
      </c>
      <c r="P50" s="2395" t="s">
        <v>2401</v>
      </c>
      <c r="Q50" s="2396">
        <f ca="1">C29</f>
        <v>1965</v>
      </c>
      <c r="R50" s="2395" t="s">
        <v>2374</v>
      </c>
    </row>
    <row r="51" spans="1:18" s="2055" customFormat="1" ht="18" customHeight="1" thickBot="1">
      <c r="A51" s="784"/>
      <c r="B51" s="785"/>
      <c r="C51" s="786"/>
      <c r="D51" s="787"/>
      <c r="E51" s="782" t="s">
        <v>637</v>
      </c>
      <c r="F51" s="2367"/>
      <c r="H51" s="2089"/>
      <c r="I51" s="3141" t="s">
        <v>2342</v>
      </c>
      <c r="J51" s="3145">
        <f>IF(J49="",J50,J49+J50-YEAR('数据-取费表'!B2))</f>
        <v>63</v>
      </c>
      <c r="K51" s="3116" t="s">
        <v>2348</v>
      </c>
      <c r="L51" s="3152">
        <f ca="1">ROUND(-PV(INDIRECT("'数据-取费表'!h"&amp;$G$1),L48,(C39-C13*J36),0),0)</f>
        <v>-1617</v>
      </c>
      <c r="O51" s="2397" t="s">
        <v>2378</v>
      </c>
      <c r="P51" s="2395" t="s">
        <v>2379</v>
      </c>
      <c r="Q51" s="2398" t="e">
        <f ca="1">J58</f>
        <v>#VALUE!</v>
      </c>
      <c r="R51" s="2399"/>
    </row>
    <row r="52" spans="1:18" s="2055" customFormat="1" ht="18" customHeight="1" thickBot="1">
      <c r="A52" s="779" t="s">
        <v>2528</v>
      </c>
      <c r="B52" s="2490" t="s">
        <v>2451</v>
      </c>
      <c r="C52" s="797">
        <f ca="1">ROUND(IF(F52="押一",C48/12*F11,IF(F52="押二",C48/12*2*F11,IF(F52="押三",C48/12*3*F11,C53*F11))),0)</f>
        <v>0</v>
      </c>
      <c r="D52" s="2497" t="s">
        <v>2961</v>
      </c>
      <c r="E52" s="2494" t="s">
        <v>2456</v>
      </c>
      <c r="F52" s="2617"/>
      <c r="I52" s="3142" t="s">
        <v>2415</v>
      </c>
      <c r="J52" s="2381">
        <v>0.09</v>
      </c>
      <c r="K52" s="3142" t="s">
        <v>2414</v>
      </c>
      <c r="L52" s="2381"/>
      <c r="O52" s="2397" t="s">
        <v>2380</v>
      </c>
      <c r="P52" s="2395" t="s">
        <v>2381</v>
      </c>
      <c r="Q52" s="2398">
        <f>J52</f>
        <v>0.09</v>
      </c>
      <c r="R52" s="2399"/>
    </row>
    <row r="53" spans="1:18" s="2055" customFormat="1" ht="39.75" customHeight="1" thickBot="1">
      <c r="A53" s="784"/>
      <c r="B53" s="2491" t="s">
        <v>2565</v>
      </c>
      <c r="C53" s="2495"/>
      <c r="D53" s="2497"/>
      <c r="E53" s="2494"/>
      <c r="F53" s="798"/>
      <c r="I53" s="3143" t="s">
        <v>2966</v>
      </c>
      <c r="J53" s="3146">
        <f ca="1">IF(M47="住宅",IF(D1="——",MAX(J51,L48),MAX(J51,L48-'数据-取费表'!B20)),IF(D1="——",MIN(J51,L48),MIN(J51,L48-'数据-取费表'!B20)))</f>
        <v>43.03</v>
      </c>
      <c r="K53" s="3494" t="s">
        <v>2953</v>
      </c>
      <c r="L53" s="3495"/>
      <c r="O53" s="2397" t="s">
        <v>2382</v>
      </c>
      <c r="P53" s="2395" t="s">
        <v>2383</v>
      </c>
      <c r="Q53" s="2396">
        <f ca="1">J53</f>
        <v>43.03</v>
      </c>
      <c r="R53" s="2395" t="s">
        <v>2384</v>
      </c>
    </row>
    <row r="54" spans="1:18" s="2055" customFormat="1" ht="18" customHeight="1" thickBot="1">
      <c r="A54" s="2533" t="s">
        <v>2459</v>
      </c>
      <c r="B54" s="2534" t="s">
        <v>2452</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2385</v>
      </c>
      <c r="P54" s="2395" t="s">
        <v>2402</v>
      </c>
      <c r="Q54" s="2396">
        <f ca="1">Q48+Q49</f>
        <v>2120</v>
      </c>
      <c r="R54" s="2399" t="s">
        <v>2386</v>
      </c>
    </row>
    <row r="55" spans="1:18" s="2055" customFormat="1" ht="18" customHeight="1" thickTop="1" thickBot="1">
      <c r="A55" s="795">
        <v>2</v>
      </c>
      <c r="B55" s="796" t="s">
        <v>641</v>
      </c>
      <c r="C55" s="797">
        <f ca="1">C13</f>
        <v>1965</v>
      </c>
      <c r="D55" s="793"/>
      <c r="E55" s="793"/>
      <c r="F55" s="798"/>
      <c r="I55" s="3155" t="s">
        <v>2349</v>
      </c>
      <c r="J55" s="3091" t="e">
        <f ca="1">ROUND(IF(J47="钢混",J57/J50,1-(1-2%)*(J50-J57)/J50),3)</f>
        <v>#VALUE!</v>
      </c>
      <c r="K55" s="3156" t="s">
        <v>2350</v>
      </c>
      <c r="L55" s="2382"/>
      <c r="O55" s="2400" t="s">
        <v>2405</v>
      </c>
      <c r="P55" s="1589"/>
      <c r="Q55" s="1601"/>
      <c r="R55" s="1589"/>
    </row>
    <row r="56" spans="1:18" s="2055" customFormat="1" ht="42.75" customHeight="1" thickBot="1">
      <c r="A56" s="1647"/>
      <c r="B56" s="2227" t="s">
        <v>2296</v>
      </c>
      <c r="C56" s="53">
        <f ca="1">C29</f>
        <v>1965</v>
      </c>
      <c r="D56" s="3199"/>
      <c r="E56" s="782"/>
      <c r="F56" s="807"/>
      <c r="I56" s="3157" t="s">
        <v>2351</v>
      </c>
      <c r="J56" s="3167" t="s">
        <v>1676</v>
      </c>
      <c r="K56" s="3116" t="s">
        <v>2356</v>
      </c>
      <c r="L56" s="1904" t="str">
        <f ca="1">IF(L48&lt;J51,"——",L48-J51)</f>
        <v>——</v>
      </c>
      <c r="O56" s="2391" t="s">
        <v>2369</v>
      </c>
      <c r="P56" s="2392" t="s">
        <v>2370</v>
      </c>
      <c r="Q56" s="2393" t="s">
        <v>2371</v>
      </c>
      <c r="R56" s="2392" t="s">
        <v>2372</v>
      </c>
    </row>
    <row r="57" spans="1:18" s="2055" customFormat="1" ht="28.5" customHeight="1" thickBot="1">
      <c r="A57" s="795" t="s">
        <v>1745</v>
      </c>
      <c r="B57" s="796" t="s">
        <v>648</v>
      </c>
      <c r="C57" s="797">
        <f ca="1">ROUND(C58+C63+C64+C65,0)</f>
        <v>35</v>
      </c>
      <c r="D57" s="26" t="s">
        <v>1747</v>
      </c>
      <c r="E57" s="3201"/>
      <c r="F57" s="56"/>
      <c r="I57" s="3158" t="s">
        <v>2352</v>
      </c>
      <c r="J57" s="3159" t="str">
        <f ca="1">IF(OR(M47="住宅",J51&lt;L48,J56="是"),"——",J51-L48)</f>
        <v>——</v>
      </c>
      <c r="K57" s="3116" t="s">
        <v>2357</v>
      </c>
      <c r="L57" s="1904" t="str">
        <f ca="1">IF(L48&lt;J51,"——",IF(L55="比较法",L49,IF(L55="基准地价",L50,L51)))</f>
        <v>——</v>
      </c>
      <c r="O57" s="2394" t="s">
        <v>2373</v>
      </c>
      <c r="P57" s="2395" t="s">
        <v>2399</v>
      </c>
      <c r="Q57" s="2396">
        <f ca="1">C40+J29</f>
        <v>2120</v>
      </c>
      <c r="R57" s="2395" t="s">
        <v>2374</v>
      </c>
    </row>
    <row r="58" spans="1:18" s="2055" customFormat="1" ht="28.5" customHeight="1" thickBot="1">
      <c r="A58" s="1646" t="s">
        <v>1821</v>
      </c>
      <c r="B58" s="782" t="s">
        <v>653</v>
      </c>
      <c r="C58" s="53">
        <f ca="1">ROUND(IF(项目基本情况!B11="自然人",C47*F58,C59+C60+C61),1)</f>
        <v>2.2999999999999998</v>
      </c>
      <c r="D58" s="3198" t="s">
        <v>654</v>
      </c>
      <c r="E58" s="3199" t="s">
        <v>687</v>
      </c>
      <c r="F58" s="808" t="str">
        <f ca="1">IF(项目基本情况!B11="企业","",IF(INDIRECT("'数据-取费表'!c"&amp;$G$1)="住宅",5%,IF(F48*F49*F50/12/(1+'数据-取费表'!C42)&gt;20000,12%,7%)))</f>
        <v/>
      </c>
      <c r="I58" s="3158" t="s">
        <v>2353</v>
      </c>
      <c r="J58" s="3092" t="e">
        <f ca="1">IF(J55&lt;0.4,0.4,J55)</f>
        <v>#VALUE!</v>
      </c>
      <c r="K58" s="3116" t="s">
        <v>2358</v>
      </c>
      <c r="L58" s="1904" t="e">
        <f ca="1">ROUND(POWER(1+L52,L47-L48)*(POWER(1+L52,L48)-1)/(POWER(1+L52,L47)-1),4)</f>
        <v>#DIV/0!</v>
      </c>
      <c r="O58" s="2394" t="s">
        <v>2375</v>
      </c>
      <c r="P58" s="2395" t="s">
        <v>2406</v>
      </c>
      <c r="Q58" s="2396">
        <f ca="1">L60</f>
        <v>0</v>
      </c>
      <c r="R58" s="2399" t="s">
        <v>2408</v>
      </c>
    </row>
    <row r="59" spans="1:18" s="2055" customFormat="1" ht="28.5" customHeight="1" thickBot="1">
      <c r="A59" s="1645" t="s">
        <v>1828</v>
      </c>
      <c r="B59" s="782" t="s">
        <v>657</v>
      </c>
      <c r="C59" s="53">
        <f ca="1">ROUND(C47*F59/1.05,1)</f>
        <v>0</v>
      </c>
      <c r="D59" s="3199" t="s">
        <v>1753</v>
      </c>
      <c r="E59" s="782" t="s">
        <v>1744</v>
      </c>
      <c r="F59" s="807">
        <f t="shared" ref="F59:F65" si="0">F32</f>
        <v>5.6000000000000001E-2</v>
      </c>
      <c r="I59" s="3158" t="s">
        <v>2354</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2377</v>
      </c>
      <c r="P59" s="2395" t="s">
        <v>2407</v>
      </c>
      <c r="Q59" s="2396">
        <f>IF(L55="比较法",L49,IF(L55="基准地价",L50,0))</f>
        <v>0</v>
      </c>
      <c r="R59" s="2395" t="s">
        <v>2374</v>
      </c>
    </row>
    <row r="60" spans="1:18" s="2055" customFormat="1" ht="18" customHeight="1" thickBot="1">
      <c r="A60" s="1645" t="s">
        <v>1829</v>
      </c>
      <c r="B60" s="782" t="s">
        <v>1755</v>
      </c>
      <c r="C60" s="53">
        <f ca="1">IF(D60="按租金收入计税",ROUND(C47*F60,1),IF(D60="按房产原值计税",ROUND(C56*F60*0.7,1),INDIRECT("'数据-取费表'!Aj"&amp;$G$1)))</f>
        <v>0</v>
      </c>
      <c r="D60" s="3199" t="str">
        <f>D33</f>
        <v>按租金收入计税</v>
      </c>
      <c r="E60" s="782" t="s">
        <v>1744</v>
      </c>
      <c r="F60" s="807">
        <f t="shared" si="0"/>
        <v>0.12</v>
      </c>
      <c r="I60" s="3160" t="s">
        <v>2355</v>
      </c>
      <c r="J60" s="3161" t="str">
        <f ca="1">IF(OR(M47="住宅",J51&lt;L48,J56="是"),"0",ROUND(J59/(1+J52)^J53,0))</f>
        <v>0</v>
      </c>
      <c r="K60" s="3162" t="s">
        <v>2360</v>
      </c>
      <c r="L60" s="3161">
        <f ca="1">IF(OR(M47="住宅",L48&lt;J51),0,ROUND(L57*(L58/L59-1),0))</f>
        <v>0</v>
      </c>
      <c r="O60" s="2397" t="s">
        <v>2378</v>
      </c>
      <c r="P60" s="2395" t="s">
        <v>2387</v>
      </c>
      <c r="Q60" s="2398">
        <f>L52</f>
        <v>0</v>
      </c>
      <c r="R60" s="2399"/>
    </row>
    <row r="61" spans="1:18" s="2055" customFormat="1" ht="18" customHeight="1" thickBot="1">
      <c r="A61" s="1648" t="s">
        <v>1830</v>
      </c>
      <c r="B61" s="339" t="s">
        <v>665</v>
      </c>
      <c r="C61" s="54">
        <f ca="1">ROUND(F61*F62/10000,1)</f>
        <v>2.2999999999999998</v>
      </c>
      <c r="D61" s="812" t="s">
        <v>666</v>
      </c>
      <c r="E61" s="782" t="s">
        <v>667</v>
      </c>
      <c r="F61" s="638">
        <f t="shared" si="0"/>
        <v>20</v>
      </c>
      <c r="K61" s="2082"/>
      <c r="O61" s="2397" t="s">
        <v>2380</v>
      </c>
      <c r="P61" s="2395" t="s">
        <v>2388</v>
      </c>
      <c r="Q61" s="2396" t="e">
        <f ca="1">L58</f>
        <v>#DIV/0!</v>
      </c>
      <c r="R61" s="2399" t="s">
        <v>2389</v>
      </c>
    </row>
    <row r="62" spans="1:18" s="2055" customFormat="1" ht="15.75" thickBot="1">
      <c r="A62" s="813"/>
      <c r="B62" s="791"/>
      <c r="C62" s="69"/>
      <c r="D62" s="814"/>
      <c r="E62" s="782" t="s">
        <v>671</v>
      </c>
      <c r="F62" s="783">
        <f t="shared" ca="1" si="0"/>
        <v>1156.4799999999998</v>
      </c>
      <c r="I62" s="3163" t="s">
        <v>2361</v>
      </c>
      <c r="J62" s="3164" t="s">
        <v>2362</v>
      </c>
      <c r="K62" s="3164" t="s">
        <v>2363</v>
      </c>
      <c r="L62" s="3164" t="s">
        <v>2344</v>
      </c>
      <c r="M62" s="3165" t="s">
        <v>2930</v>
      </c>
      <c r="O62" s="2397" t="s">
        <v>2382</v>
      </c>
      <c r="P62" s="2395" t="str">
        <f>K59</f>
        <v>建设期及建筑物耐用年限下的土地年期修正系数Kn</v>
      </c>
      <c r="Q62" s="2396" t="e">
        <f ca="1">L59</f>
        <v>#DIV/0!</v>
      </c>
      <c r="R62" s="2399" t="s">
        <v>2391</v>
      </c>
    </row>
    <row r="63" spans="1:18" s="2055" customFormat="1" ht="15.75" thickBot="1">
      <c r="A63" s="1646" t="s">
        <v>1886</v>
      </c>
      <c r="B63" s="782" t="s">
        <v>673</v>
      </c>
      <c r="C63" s="53">
        <f ca="1">ROUND(C56*F63,1)</f>
        <v>29.5</v>
      </c>
      <c r="D63" s="3199" t="s">
        <v>1800</v>
      </c>
      <c r="E63" s="782" t="s">
        <v>1744</v>
      </c>
      <c r="F63" s="815">
        <f t="shared" ca="1" si="0"/>
        <v>1.4999999999999999E-2</v>
      </c>
      <c r="I63" s="3163" t="s">
        <v>2364</v>
      </c>
      <c r="J63" s="3164">
        <v>70</v>
      </c>
      <c r="K63" s="3164">
        <v>50</v>
      </c>
      <c r="L63" s="3164">
        <v>80</v>
      </c>
      <c r="M63" s="3166">
        <v>0.02</v>
      </c>
      <c r="O63" s="2394" t="s">
        <v>2385</v>
      </c>
      <c r="P63" s="2395" t="s">
        <v>2402</v>
      </c>
      <c r="Q63" s="2396">
        <f ca="1">Q57+Q58</f>
        <v>2120</v>
      </c>
      <c r="R63" s="2399" t="s">
        <v>2386</v>
      </c>
    </row>
    <row r="64" spans="1:18" s="2055" customFormat="1" ht="16.5" thickBot="1">
      <c r="A64" s="1646" t="s">
        <v>1887</v>
      </c>
      <c r="B64" s="782" t="s">
        <v>676</v>
      </c>
      <c r="C64" s="53">
        <f ca="1">ROUND(C55*F64,1)</f>
        <v>2.9</v>
      </c>
      <c r="D64" s="3199" t="s">
        <v>677</v>
      </c>
      <c r="E64" s="782" t="s">
        <v>1744</v>
      </c>
      <c r="F64" s="816">
        <f t="shared" ca="1" si="0"/>
        <v>1.5E-3</v>
      </c>
      <c r="I64" s="3163" t="s">
        <v>2365</v>
      </c>
      <c r="J64" s="3164">
        <v>50</v>
      </c>
      <c r="K64" s="3164">
        <v>35</v>
      </c>
      <c r="L64" s="3164">
        <v>60</v>
      </c>
      <c r="M64" s="844">
        <v>0</v>
      </c>
      <c r="O64" s="2400" t="s">
        <v>2409</v>
      </c>
      <c r="P64" s="1589"/>
      <c r="Q64" s="1601"/>
      <c r="R64" s="1589"/>
    </row>
    <row r="65" spans="1:18" s="2055" customFormat="1" ht="15.75" thickBot="1">
      <c r="A65" s="1646" t="s">
        <v>1888</v>
      </c>
      <c r="B65" s="782" t="s">
        <v>663</v>
      </c>
      <c r="C65" s="53">
        <f ca="1">ROUND(C47*F65,1)</f>
        <v>0</v>
      </c>
      <c r="D65" s="3199" t="s">
        <v>680</v>
      </c>
      <c r="E65" s="782" t="s">
        <v>1744</v>
      </c>
      <c r="F65" s="792">
        <f t="shared" ca="1" si="0"/>
        <v>1.4999999999999999E-2</v>
      </c>
      <c r="I65" s="3163" t="s">
        <v>2366</v>
      </c>
      <c r="J65" s="3164">
        <v>40</v>
      </c>
      <c r="K65" s="3164">
        <v>30</v>
      </c>
      <c r="L65" s="3164">
        <v>50</v>
      </c>
      <c r="M65" s="3166">
        <v>0.02</v>
      </c>
      <c r="O65" s="2391" t="s">
        <v>2369</v>
      </c>
      <c r="P65" s="2392" t="s">
        <v>2370</v>
      </c>
      <c r="Q65" s="2393" t="s">
        <v>2371</v>
      </c>
      <c r="R65" s="2392" t="s">
        <v>2372</v>
      </c>
    </row>
    <row r="66" spans="1:18" s="2055" customFormat="1" ht="24.75" thickBot="1">
      <c r="A66" s="795" t="s">
        <v>1773</v>
      </c>
      <c r="B66" s="3007" t="s">
        <v>2814</v>
      </c>
      <c r="C66" s="797">
        <f ca="1">C47-C57</f>
        <v>-35</v>
      </c>
      <c r="D66" s="3198" t="s">
        <v>697</v>
      </c>
      <c r="E66" s="3196"/>
      <c r="F66" s="818"/>
      <c r="K66" s="2082"/>
      <c r="O66" s="2394" t="s">
        <v>2373</v>
      </c>
      <c r="P66" s="2395" t="s">
        <v>2399</v>
      </c>
      <c r="Q66" s="2396">
        <f ca="1">C40+J29</f>
        <v>2120</v>
      </c>
      <c r="R66" s="2395" t="s">
        <v>2374</v>
      </c>
    </row>
    <row r="67" spans="1:18" s="2055" customFormat="1" ht="20.25" thickBot="1">
      <c r="A67" s="779" t="s">
        <v>1777</v>
      </c>
      <c r="B67" s="2228" t="s">
        <v>2297</v>
      </c>
      <c r="C67" s="781">
        <f ca="1">ROUND(C66*(1-((1+F69)/(1+F67))^F68)/(F67-F69),0)</f>
        <v>-661</v>
      </c>
      <c r="D67" s="812" t="s">
        <v>701</v>
      </c>
      <c r="E67" s="782" t="s">
        <v>702</v>
      </c>
      <c r="F67" s="792">
        <f ca="1">F40</f>
        <v>4.4999999999999998E-2</v>
      </c>
      <c r="K67" s="2082"/>
      <c r="O67" s="2394" t="s">
        <v>2375</v>
      </c>
      <c r="P67" s="2395" t="s">
        <v>2406</v>
      </c>
      <c r="Q67" s="2396">
        <f ca="1">L60</f>
        <v>0</v>
      </c>
      <c r="R67" s="2399" t="s">
        <v>2408</v>
      </c>
    </row>
    <row r="68" spans="1:18" ht="21.75" thickBot="1">
      <c r="A68" s="784"/>
      <c r="B68" s="785"/>
      <c r="C68" s="786"/>
      <c r="D68" s="819" t="s">
        <v>1805</v>
      </c>
      <c r="E68" s="782" t="s">
        <v>1781</v>
      </c>
      <c r="F68" s="820">
        <f ca="1">F41</f>
        <v>43.03</v>
      </c>
      <c r="O68" s="2397" t="s">
        <v>2377</v>
      </c>
      <c r="P68" s="2395" t="s">
        <v>2407</v>
      </c>
      <c r="Q68" s="2401">
        <f ca="1">L51</f>
        <v>-1617</v>
      </c>
      <c r="R68" s="2402" t="s">
        <v>2410</v>
      </c>
    </row>
    <row r="69" spans="1:18" ht="20.25" thickBot="1">
      <c r="A69" s="788"/>
      <c r="B69" s="789"/>
      <c r="C69" s="790"/>
      <c r="D69" s="814"/>
      <c r="E69" s="782" t="s">
        <v>707</v>
      </c>
      <c r="F69" s="2367"/>
      <c r="O69" s="2397" t="s">
        <v>2378</v>
      </c>
      <c r="P69" s="2403" t="s">
        <v>2392</v>
      </c>
      <c r="Q69" s="2396">
        <f ca="1">ROUND(Q70-Q71*Q72,0)</f>
        <v>-78</v>
      </c>
      <c r="R69" s="2399"/>
    </row>
    <row r="70" spans="1:18" ht="15.75" thickBot="1">
      <c r="A70" s="821" t="s">
        <v>1784</v>
      </c>
      <c r="B70" s="822" t="s">
        <v>1807</v>
      </c>
      <c r="C70" s="823">
        <f ca="1">ROUND(C67*10000/F70,0)</f>
        <v>-994</v>
      </c>
      <c r="D70" s="824" t="s">
        <v>1808</v>
      </c>
      <c r="E70" s="825" t="s">
        <v>1809</v>
      </c>
      <c r="F70" s="826">
        <f ca="1">F43</f>
        <v>6650.08</v>
      </c>
      <c r="O70" s="2397" t="s">
        <v>2393</v>
      </c>
      <c r="P70" s="2403" t="s">
        <v>2394</v>
      </c>
      <c r="Q70" s="2396">
        <f ca="1">C39</f>
        <v>89</v>
      </c>
      <c r="R70" s="2395" t="s">
        <v>2374</v>
      </c>
    </row>
    <row r="71" spans="1:18" ht="15.75" thickBot="1">
      <c r="O71" s="2397" t="s">
        <v>2395</v>
      </c>
      <c r="P71" s="2403" t="s">
        <v>2396</v>
      </c>
      <c r="Q71" s="2396">
        <f ca="1">C13</f>
        <v>1965</v>
      </c>
      <c r="R71" s="2395" t="s">
        <v>2374</v>
      </c>
    </row>
    <row r="72" spans="1:18" ht="15.75" thickBot="1">
      <c r="O72" s="2397" t="s">
        <v>2397</v>
      </c>
      <c r="P72" s="2403" t="s">
        <v>2398</v>
      </c>
      <c r="Q72" s="2398">
        <f ca="1">J36</f>
        <v>8.5000000000000006E-2</v>
      </c>
      <c r="R72" s="2399"/>
    </row>
    <row r="73" spans="1:18" ht="15.75" thickBot="1">
      <c r="O73" s="2397" t="s">
        <v>2380</v>
      </c>
      <c r="P73" s="2395" t="s">
        <v>2387</v>
      </c>
      <c r="Q73" s="2398">
        <f>L52</f>
        <v>0</v>
      </c>
      <c r="R73" s="2399"/>
    </row>
    <row r="74" spans="1:18" ht="20.25" thickBot="1">
      <c r="O74" s="2397" t="s">
        <v>2382</v>
      </c>
      <c r="P74" s="2395" t="s">
        <v>2388</v>
      </c>
      <c r="Q74" s="2396" t="e">
        <f ca="1">L58</f>
        <v>#DIV/0!</v>
      </c>
      <c r="R74" s="2399" t="s">
        <v>2389</v>
      </c>
    </row>
    <row r="75" spans="1:18" ht="15.75" thickBot="1">
      <c r="O75" s="2397" t="s">
        <v>2411</v>
      </c>
      <c r="P75" s="2395" t="str">
        <f>K59</f>
        <v>建设期及建筑物耐用年限下的土地年期修正系数Kn</v>
      </c>
      <c r="Q75" s="2396" t="e">
        <f ca="1">L59</f>
        <v>#DIV/0!</v>
      </c>
      <c r="R75" s="2399" t="s">
        <v>2391</v>
      </c>
    </row>
    <row r="76" spans="1:18" ht="15.75" thickBot="1">
      <c r="O76" s="2394" t="s">
        <v>2385</v>
      </c>
      <c r="P76" s="2395" t="s">
        <v>2402</v>
      </c>
      <c r="Q76" s="2396">
        <f ca="1">Q66+Q67</f>
        <v>2120</v>
      </c>
      <c r="R76" s="2399"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workbookViewId="0">
      <selection activeCell="A99" sqref="A99"/>
    </sheetView>
  </sheetViews>
  <sheetFormatPr defaultRowHeight="13.5"/>
  <cols>
    <col min="1" max="1" width="11" customWidth="1"/>
  </cols>
  <sheetData>
    <row r="1" spans="1:14" ht="14.25">
      <c r="A1" s="2935" t="s">
        <v>3141</v>
      </c>
      <c r="B1" s="2935" t="s">
        <v>3142</v>
      </c>
      <c r="C1" s="2935" t="s">
        <v>3143</v>
      </c>
      <c r="D1" s="2935" t="s">
        <v>3144</v>
      </c>
      <c r="E1" s="2935" t="s">
        <v>3145</v>
      </c>
      <c r="F1" s="2935" t="s">
        <v>2029</v>
      </c>
      <c r="G1" s="2935" t="s">
        <v>3146</v>
      </c>
      <c r="H1" s="2935" t="s">
        <v>3147</v>
      </c>
      <c r="I1" s="2935" t="s">
        <v>3148</v>
      </c>
      <c r="J1" s="2935" t="s">
        <v>3149</v>
      </c>
      <c r="K1" s="2935" t="s">
        <v>3150</v>
      </c>
      <c r="L1" s="3216" t="s">
        <v>3151</v>
      </c>
      <c r="M1" s="2935" t="s">
        <v>3152</v>
      </c>
      <c r="N1" s="2935" t="s">
        <v>3153</v>
      </c>
    </row>
    <row r="2" spans="1:14">
      <c r="A2" s="3218" t="s">
        <v>3206</v>
      </c>
      <c r="B2" s="3217" t="s">
        <v>3154</v>
      </c>
      <c r="C2" s="3217" t="s">
        <v>3155</v>
      </c>
      <c r="D2" s="3217">
        <v>8159.81</v>
      </c>
      <c r="E2" s="3217">
        <v>41288.639999999999</v>
      </c>
      <c r="F2" s="3217" t="s">
        <v>3156</v>
      </c>
      <c r="G2" s="3217" t="s">
        <v>3157</v>
      </c>
      <c r="H2" s="3217" t="s">
        <v>3158</v>
      </c>
      <c r="I2" s="3217">
        <v>10300</v>
      </c>
      <c r="J2" s="3217">
        <v>11600</v>
      </c>
      <c r="K2" s="3217">
        <v>2809.48</v>
      </c>
      <c r="L2" s="3217">
        <f>ROUND(J2*10000/D2,0)</f>
        <v>14216</v>
      </c>
      <c r="M2" s="3217">
        <v>12.62</v>
      </c>
      <c r="N2" s="3217" t="s">
        <v>3159</v>
      </c>
    </row>
    <row r="3" spans="1:14">
      <c r="A3" s="3217" t="s">
        <v>3160</v>
      </c>
      <c r="B3" s="3217" t="s">
        <v>3154</v>
      </c>
      <c r="C3" s="3217" t="s">
        <v>3155</v>
      </c>
      <c r="D3" s="3217">
        <v>70574.3</v>
      </c>
      <c r="E3" s="3217">
        <v>204665.5</v>
      </c>
      <c r="F3" s="3217" t="s">
        <v>3161</v>
      </c>
      <c r="G3" s="3217" t="s">
        <v>3157</v>
      </c>
      <c r="H3" s="3217" t="s">
        <v>3162</v>
      </c>
      <c r="I3" s="3217">
        <v>46900</v>
      </c>
      <c r="J3" s="3217">
        <v>46900</v>
      </c>
      <c r="K3" s="3217">
        <v>2291.5300000000002</v>
      </c>
      <c r="L3" s="3217">
        <f t="shared" ref="L3:L16" si="0">ROUND(J3*10000/D3,0)</f>
        <v>6645</v>
      </c>
      <c r="M3" s="3217">
        <v>0</v>
      </c>
      <c r="N3" s="3217" t="s">
        <v>3163</v>
      </c>
    </row>
    <row r="4" spans="1:14">
      <c r="A4" s="3217" t="s">
        <v>3164</v>
      </c>
      <c r="B4" s="3217" t="s">
        <v>3154</v>
      </c>
      <c r="C4" s="3217" t="s">
        <v>3155</v>
      </c>
      <c r="D4" s="3217">
        <v>38062.269999999997</v>
      </c>
      <c r="E4" s="3217">
        <v>91349.45</v>
      </c>
      <c r="F4" s="3217" t="s">
        <v>3165</v>
      </c>
      <c r="G4" s="3217" t="s">
        <v>3157</v>
      </c>
      <c r="H4" s="3217" t="s">
        <v>3162</v>
      </c>
      <c r="I4" s="3217">
        <v>23200</v>
      </c>
      <c r="J4" s="3217">
        <v>23200</v>
      </c>
      <c r="K4" s="3217">
        <v>2539.69</v>
      </c>
      <c r="L4" s="3217">
        <f t="shared" si="0"/>
        <v>6095</v>
      </c>
      <c r="M4" s="3217">
        <v>0</v>
      </c>
      <c r="N4" s="3217" t="s">
        <v>3163</v>
      </c>
    </row>
    <row r="5" spans="1:14">
      <c r="A5" s="2935" t="s">
        <v>3166</v>
      </c>
      <c r="B5" s="2935" t="s">
        <v>3154</v>
      </c>
      <c r="C5" s="2935" t="s">
        <v>3155</v>
      </c>
      <c r="D5" s="2935">
        <v>37431.1</v>
      </c>
      <c r="E5" s="2935">
        <v>149724.4</v>
      </c>
      <c r="F5" s="2935" t="s">
        <v>3167</v>
      </c>
      <c r="G5" s="2935" t="s">
        <v>3157</v>
      </c>
      <c r="H5" s="2935" t="s">
        <v>3162</v>
      </c>
      <c r="I5" s="2935">
        <v>31600</v>
      </c>
      <c r="J5" s="2935">
        <v>31600</v>
      </c>
      <c r="K5" s="2935">
        <v>2110.5300000000002</v>
      </c>
      <c r="L5" s="2935">
        <f t="shared" si="0"/>
        <v>8442</v>
      </c>
      <c r="M5" s="2935">
        <v>0</v>
      </c>
      <c r="N5" s="2935" t="s">
        <v>3163</v>
      </c>
    </row>
    <row r="6" spans="1:14">
      <c r="A6" s="2935" t="s">
        <v>3168</v>
      </c>
      <c r="B6" s="2935" t="s">
        <v>3154</v>
      </c>
      <c r="C6" s="2935" t="s">
        <v>3155</v>
      </c>
      <c r="D6" s="2935">
        <v>7942.81</v>
      </c>
      <c r="E6" s="2935">
        <v>38363.769999999997</v>
      </c>
      <c r="F6" s="2935" t="s">
        <v>3169</v>
      </c>
      <c r="G6" s="2935" t="s">
        <v>3157</v>
      </c>
      <c r="H6" s="2935" t="s">
        <v>3170</v>
      </c>
      <c r="I6" s="2935">
        <v>10100</v>
      </c>
      <c r="J6" s="2935">
        <v>12450</v>
      </c>
      <c r="K6" s="2935">
        <v>3245.25</v>
      </c>
      <c r="L6" s="2935">
        <f t="shared" si="0"/>
        <v>15675</v>
      </c>
      <c r="M6" s="2935">
        <v>23.27</v>
      </c>
      <c r="N6" s="2935" t="s">
        <v>3171</v>
      </c>
    </row>
    <row r="7" spans="1:14">
      <c r="A7" s="2935" t="s">
        <v>3172</v>
      </c>
      <c r="B7" s="2935" t="s">
        <v>3154</v>
      </c>
      <c r="C7" s="2935" t="s">
        <v>3155</v>
      </c>
      <c r="D7" s="2935">
        <v>3398.91</v>
      </c>
      <c r="E7" s="2935">
        <v>15295.09</v>
      </c>
      <c r="F7" s="2935" t="s">
        <v>3173</v>
      </c>
      <c r="G7" s="2935" t="s">
        <v>3157</v>
      </c>
      <c r="H7" s="2935" t="s">
        <v>3174</v>
      </c>
      <c r="I7" s="2935">
        <v>2800</v>
      </c>
      <c r="J7" s="2935">
        <v>2800</v>
      </c>
      <c r="K7" s="2935">
        <v>1830.65</v>
      </c>
      <c r="L7" s="2935">
        <f t="shared" si="0"/>
        <v>8238</v>
      </c>
      <c r="M7" s="2935">
        <v>0</v>
      </c>
      <c r="N7" s="2935" t="s">
        <v>3175</v>
      </c>
    </row>
    <row r="8" spans="1:14">
      <c r="A8" s="2935" t="s">
        <v>3176</v>
      </c>
      <c r="B8" s="2935" t="s">
        <v>3154</v>
      </c>
      <c r="C8" s="2935" t="s">
        <v>3155</v>
      </c>
      <c r="D8" s="2935">
        <v>2400.0100000000002</v>
      </c>
      <c r="E8" s="2935">
        <v>960</v>
      </c>
      <c r="F8" s="2935" t="s">
        <v>3177</v>
      </c>
      <c r="G8" s="2935" t="s">
        <v>3157</v>
      </c>
      <c r="H8" s="2935" t="s">
        <v>3178</v>
      </c>
      <c r="I8" s="2935">
        <v>1600</v>
      </c>
      <c r="J8" s="2935">
        <v>2400</v>
      </c>
      <c r="K8" s="2935">
        <v>25000</v>
      </c>
      <c r="L8" s="2935">
        <f t="shared" si="0"/>
        <v>10000</v>
      </c>
      <c r="M8" s="2935">
        <v>50</v>
      </c>
      <c r="N8" s="2935" t="s">
        <v>3179</v>
      </c>
    </row>
    <row r="9" spans="1:14">
      <c r="A9" s="2935" t="s">
        <v>3180</v>
      </c>
      <c r="B9" s="2935" t="s">
        <v>3154</v>
      </c>
      <c r="C9" s="2935" t="s">
        <v>3155</v>
      </c>
      <c r="D9" s="2935">
        <v>7264.46</v>
      </c>
      <c r="E9" s="2935">
        <v>43586.76</v>
      </c>
      <c r="F9" s="2935" t="s">
        <v>3181</v>
      </c>
      <c r="G9" s="2935" t="s">
        <v>3157</v>
      </c>
      <c r="H9" s="2935" t="s">
        <v>3182</v>
      </c>
      <c r="I9" s="2935">
        <v>9600</v>
      </c>
      <c r="J9" s="2935">
        <v>10000</v>
      </c>
      <c r="K9" s="2935">
        <v>2294.2600000000002</v>
      </c>
      <c r="L9" s="2935">
        <f t="shared" si="0"/>
        <v>13766</v>
      </c>
      <c r="M9" s="2935">
        <v>4.17</v>
      </c>
      <c r="N9" s="2935" t="s">
        <v>3183</v>
      </c>
    </row>
    <row r="10" spans="1:14">
      <c r="A10" s="2935" t="s">
        <v>3184</v>
      </c>
      <c r="B10" s="2935" t="s">
        <v>3154</v>
      </c>
      <c r="C10" s="2935" t="s">
        <v>3155</v>
      </c>
      <c r="D10" s="2935">
        <v>4665.5200000000004</v>
      </c>
      <c r="E10" s="2935">
        <v>27993.119999999999</v>
      </c>
      <c r="F10" s="2935" t="s">
        <v>3181</v>
      </c>
      <c r="G10" s="2935" t="s">
        <v>3157</v>
      </c>
      <c r="H10" s="2935" t="s">
        <v>3185</v>
      </c>
      <c r="I10" s="2935">
        <v>5593</v>
      </c>
      <c r="J10" s="2935">
        <v>5593</v>
      </c>
      <c r="K10" s="2935">
        <v>1997.99</v>
      </c>
      <c r="L10" s="2935">
        <f t="shared" si="0"/>
        <v>11988</v>
      </c>
      <c r="M10" s="2935">
        <v>0</v>
      </c>
      <c r="N10" s="2935" t="s">
        <v>3186</v>
      </c>
    </row>
    <row r="11" spans="1:14">
      <c r="A11" s="2935" t="s">
        <v>3187</v>
      </c>
      <c r="B11" s="2935" t="s">
        <v>3154</v>
      </c>
      <c r="C11" s="2935" t="s">
        <v>3155</v>
      </c>
      <c r="D11" s="2935">
        <v>5936.52</v>
      </c>
      <c r="E11" s="2935">
        <v>6827</v>
      </c>
      <c r="F11" s="2935" t="s">
        <v>3188</v>
      </c>
      <c r="G11" s="2935" t="s">
        <v>3157</v>
      </c>
      <c r="H11" s="2935" t="s">
        <v>3189</v>
      </c>
      <c r="I11" s="2935">
        <v>7244.6</v>
      </c>
      <c r="J11" s="2935">
        <v>7333.6</v>
      </c>
      <c r="K11" s="2935">
        <v>10742.04</v>
      </c>
      <c r="L11" s="2935">
        <f t="shared" si="0"/>
        <v>12353</v>
      </c>
      <c r="M11" s="2935">
        <v>1.23</v>
      </c>
      <c r="N11" s="2935" t="s">
        <v>3190</v>
      </c>
    </row>
    <row r="12" spans="1:14">
      <c r="A12" s="2935" t="s">
        <v>3191</v>
      </c>
      <c r="B12" s="2935" t="s">
        <v>3154</v>
      </c>
      <c r="C12" s="2935" t="s">
        <v>3155</v>
      </c>
      <c r="D12" s="2935">
        <v>3175.3</v>
      </c>
      <c r="E12" s="2935">
        <v>9572</v>
      </c>
      <c r="F12" s="2935" t="s">
        <v>2810</v>
      </c>
      <c r="G12" s="2935" t="s">
        <v>3157</v>
      </c>
      <c r="H12" s="2935" t="s">
        <v>3192</v>
      </c>
      <c r="I12" s="2935">
        <v>5000</v>
      </c>
      <c r="J12" s="2935">
        <v>5000</v>
      </c>
      <c r="K12" s="2935">
        <v>5223.5600000000004</v>
      </c>
      <c r="L12" s="2935">
        <f t="shared" si="0"/>
        <v>15747</v>
      </c>
      <c r="M12" s="2935">
        <v>0</v>
      </c>
      <c r="N12" s="2935" t="s">
        <v>3193</v>
      </c>
    </row>
    <row r="13" spans="1:14">
      <c r="A13" s="2935" t="s">
        <v>3194</v>
      </c>
      <c r="B13" s="2935" t="s">
        <v>3154</v>
      </c>
      <c r="C13" s="2935" t="s">
        <v>3155</v>
      </c>
      <c r="D13" s="2935">
        <v>39261.599999999999</v>
      </c>
      <c r="E13" s="2935">
        <v>215938.8</v>
      </c>
      <c r="F13" s="2935" t="s">
        <v>3195</v>
      </c>
      <c r="G13" s="2935" t="s">
        <v>3157</v>
      </c>
      <c r="H13" s="2935" t="s">
        <v>3196</v>
      </c>
      <c r="I13" s="2935">
        <v>45400</v>
      </c>
      <c r="J13" s="2935">
        <v>45400</v>
      </c>
      <c r="K13" s="2935">
        <v>2102.44</v>
      </c>
      <c r="L13" s="2935">
        <f t="shared" si="0"/>
        <v>11563</v>
      </c>
      <c r="M13" s="2935">
        <v>0</v>
      </c>
      <c r="N13" s="2935" t="s">
        <v>3190</v>
      </c>
    </row>
    <row r="14" spans="1:14">
      <c r="A14" s="2935" t="s">
        <v>3197</v>
      </c>
      <c r="B14" s="2935" t="s">
        <v>3154</v>
      </c>
      <c r="C14" s="2935" t="s">
        <v>3155</v>
      </c>
      <c r="D14" s="2935">
        <v>25755.9</v>
      </c>
      <c r="E14" s="2935">
        <v>141657.5</v>
      </c>
      <c r="F14" s="2935" t="s">
        <v>3195</v>
      </c>
      <c r="G14" s="2935" t="s">
        <v>3157</v>
      </c>
      <c r="H14" s="2935" t="s">
        <v>3196</v>
      </c>
      <c r="I14" s="2935">
        <v>29800</v>
      </c>
      <c r="J14" s="2935">
        <v>29800</v>
      </c>
      <c r="K14" s="2935">
        <v>2103.67</v>
      </c>
      <c r="L14" s="2935">
        <f t="shared" si="0"/>
        <v>11570</v>
      </c>
      <c r="M14" s="2935">
        <v>0</v>
      </c>
      <c r="N14" s="2935" t="s">
        <v>3198</v>
      </c>
    </row>
    <row r="15" spans="1:14">
      <c r="A15" s="2935" t="s">
        <v>3199</v>
      </c>
      <c r="B15" s="2935" t="s">
        <v>3154</v>
      </c>
      <c r="C15" s="2935" t="s">
        <v>3155</v>
      </c>
      <c r="D15" s="2935">
        <v>10408.4</v>
      </c>
      <c r="E15" s="2935">
        <v>86500</v>
      </c>
      <c r="F15" s="2935" t="s">
        <v>2810</v>
      </c>
      <c r="G15" s="2935" t="s">
        <v>3157</v>
      </c>
      <c r="H15" s="2935" t="s">
        <v>3200</v>
      </c>
      <c r="I15" s="2935">
        <v>21500</v>
      </c>
      <c r="J15" s="2935">
        <v>21500</v>
      </c>
      <c r="K15" s="2935">
        <v>2485.5500000000002</v>
      </c>
      <c r="L15" s="2935">
        <f t="shared" si="0"/>
        <v>20656</v>
      </c>
      <c r="M15" s="2935">
        <v>0</v>
      </c>
      <c r="N15" s="2935" t="s">
        <v>3201</v>
      </c>
    </row>
    <row r="16" spans="1:14">
      <c r="A16" s="2935" t="s">
        <v>3202</v>
      </c>
      <c r="B16" s="2935" t="s">
        <v>3154</v>
      </c>
      <c r="C16" s="2935" t="s">
        <v>3155</v>
      </c>
      <c r="D16" s="2935">
        <v>5445.2</v>
      </c>
      <c r="E16" s="2935">
        <v>32671.200000000001</v>
      </c>
      <c r="F16" s="2935" t="s">
        <v>3203</v>
      </c>
      <c r="G16" s="2935" t="s">
        <v>3157</v>
      </c>
      <c r="H16" s="2935" t="s">
        <v>3204</v>
      </c>
      <c r="I16" s="2935">
        <v>8700</v>
      </c>
      <c r="J16" s="2935">
        <v>8700</v>
      </c>
      <c r="K16" s="2935">
        <v>2662.9</v>
      </c>
      <c r="L16" s="2935">
        <f t="shared" si="0"/>
        <v>15977</v>
      </c>
      <c r="M16" s="2935">
        <v>0</v>
      </c>
      <c r="N16" s="2935" t="s">
        <v>3205</v>
      </c>
    </row>
    <row r="18" spans="1:1">
      <c r="A18" s="2935" t="s">
        <v>3207</v>
      </c>
    </row>
    <row r="45" spans="1:1">
      <c r="A45" s="2935" t="s">
        <v>3208</v>
      </c>
    </row>
    <row r="73" spans="1:1">
      <c r="A73" s="2935" t="s">
        <v>3209</v>
      </c>
    </row>
  </sheetData>
  <phoneticPr fontId="23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K38" sqref="K3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2035</v>
      </c>
      <c r="B1" s="3225"/>
      <c r="C1" s="3225"/>
      <c r="D1" s="3225"/>
      <c r="E1" s="3225"/>
      <c r="F1" s="3225"/>
      <c r="G1" s="3225"/>
      <c r="H1" s="3225"/>
      <c r="I1" s="3225"/>
      <c r="J1" s="3225"/>
      <c r="K1" s="3225"/>
      <c r="L1" s="3225"/>
      <c r="M1" s="3225"/>
      <c r="N1" s="3225"/>
      <c r="O1" s="3225"/>
      <c r="P1" s="3225"/>
      <c r="Q1" s="3225"/>
      <c r="R1" s="3225"/>
    </row>
    <row r="2" spans="1:18">
      <c r="A2" s="1803" t="s">
        <v>2037</v>
      </c>
      <c r="B2" s="1803"/>
      <c r="C2" s="1803"/>
      <c r="D2" s="1803"/>
      <c r="E2" s="1803"/>
      <c r="F2" s="1803"/>
      <c r="G2" s="1803"/>
      <c r="H2" s="1803"/>
      <c r="I2" s="1804"/>
      <c r="J2" s="1804"/>
      <c r="K2" s="1805" t="str">
        <f>"估价期日："&amp;TEXT(项目基本情况!D3,"yyyy年m月d日;;")</f>
        <v>估价期日：2018年12月13日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6" t="s">
        <v>2026</v>
      </c>
      <c r="B3" s="3226" t="s">
        <v>2723</v>
      </c>
      <c r="C3" s="3227" t="s">
        <v>2027</v>
      </c>
      <c r="D3" s="3226" t="s">
        <v>2727</v>
      </c>
      <c r="E3" s="3229" t="s">
        <v>2028</v>
      </c>
      <c r="F3" s="3229"/>
      <c r="G3" s="3229"/>
      <c r="H3" s="3229" t="s">
        <v>2029</v>
      </c>
      <c r="I3" s="3229"/>
      <c r="J3" s="3229"/>
      <c r="K3" s="3227" t="s">
        <v>2030</v>
      </c>
      <c r="L3" s="3227" t="s">
        <v>2031</v>
      </c>
      <c r="M3" s="3226" t="s">
        <v>2724</v>
      </c>
      <c r="N3" s="3228" t="str">
        <f>"（分摊）"&amp;项目基本情况!B16&amp;"国有建设用地使用权面积/㎡"</f>
        <v>（分摊）出让国有建设用地使用权面积/㎡</v>
      </c>
      <c r="O3" s="3226" t="s">
        <v>2060</v>
      </c>
      <c r="P3" s="3227" t="s">
        <v>2040</v>
      </c>
      <c r="Q3" s="3227" t="s">
        <v>2061</v>
      </c>
      <c r="R3" s="3227" t="s">
        <v>2032</v>
      </c>
    </row>
    <row r="4" spans="1:18" ht="36.75" customHeight="1">
      <c r="A4" s="3226"/>
      <c r="B4" s="3226"/>
      <c r="C4" s="3227"/>
      <c r="D4" s="3226"/>
      <c r="E4" s="2645" t="s">
        <v>2039</v>
      </c>
      <c r="F4" s="2645" t="s">
        <v>2736</v>
      </c>
      <c r="G4" s="2645" t="s">
        <v>2033</v>
      </c>
      <c r="H4" s="2645" t="s">
        <v>2034</v>
      </c>
      <c r="I4" s="2645" t="s">
        <v>2737</v>
      </c>
      <c r="J4" s="2645" t="s">
        <v>2033</v>
      </c>
      <c r="K4" s="3227"/>
      <c r="L4" s="3227"/>
      <c r="M4" s="3226"/>
      <c r="N4" s="3228"/>
      <c r="O4" s="3226"/>
      <c r="P4" s="3227"/>
      <c r="Q4" s="3227"/>
      <c r="R4" s="3227"/>
    </row>
    <row r="5" spans="1:18" ht="135" customHeight="1">
      <c r="A5" s="1939" t="s">
        <v>2647</v>
      </c>
      <c r="B5" s="2863" t="s">
        <v>2645</v>
      </c>
      <c r="C5" s="2644">
        <v>22</v>
      </c>
      <c r="D5" s="2643" t="s">
        <v>2646</v>
      </c>
      <c r="E5" s="1806" t="str">
        <f>项目基本情况!B12</f>
        <v>商务金融用地</v>
      </c>
      <c r="F5" s="2643">
        <v>258</v>
      </c>
      <c r="G5" s="1806" t="str">
        <f>项目基本情况!B13</f>
        <v>商业、地下车库及地下仓储</v>
      </c>
      <c r="H5" s="2643">
        <v>1.5</v>
      </c>
      <c r="I5" s="2643">
        <v>1.5</v>
      </c>
      <c r="J5" s="2643">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t="str">
        <f>IF(项目基本情况!B16="出让",项目基本情况!D20,"——")</f>
        <v>商业35年、地下车库、地下仓储45年</v>
      </c>
      <c r="N5" s="1806">
        <f>项目基本情况!C22</f>
        <v>32181.54</v>
      </c>
      <c r="O5" s="1806">
        <f>项目基本情况!C21</f>
        <v>186890.99</v>
      </c>
      <c r="P5" s="1806">
        <f ca="1">结果表!E42</f>
        <v>21839</v>
      </c>
      <c r="Q5" s="1806">
        <f ca="1">结果表!D42</f>
        <v>3760</v>
      </c>
      <c r="R5" s="1807">
        <f ca="1">结果表!C42</f>
        <v>70280</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08">
        <f ca="1">结果表!O39</f>
        <v>22280</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08" t="str">
        <f>结果表!O40</f>
        <v>——</v>
      </c>
    </row>
    <row r="8" spans="1:18">
      <c r="A8" s="3222">
        <f>IF(项目基本情况!B9="市场价格","——",项目基本情况!E9)</f>
        <v>0</v>
      </c>
      <c r="B8" s="3223"/>
      <c r="C8" s="3223"/>
      <c r="D8" s="3223"/>
      <c r="E8" s="3223"/>
      <c r="F8" s="3223"/>
      <c r="G8" s="3223"/>
      <c r="H8" s="3223"/>
      <c r="I8" s="3223"/>
      <c r="J8" s="3223"/>
      <c r="K8" s="3223"/>
      <c r="L8" s="3223"/>
      <c r="M8" s="3223"/>
      <c r="N8" s="3223"/>
      <c r="O8" s="3223"/>
      <c r="P8" s="3223"/>
      <c r="Q8" s="3224"/>
      <c r="R8" s="1808" t="str">
        <f>结果表!O41</f>
        <v>——</v>
      </c>
    </row>
    <row r="9" spans="1:18">
      <c r="A9" s="1809" t="s">
        <v>2038</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2025</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31" t="s">
        <v>2062</v>
      </c>
      <c r="B1" s="3231"/>
      <c r="C1" s="3231"/>
      <c r="D1" s="3231"/>
    </row>
    <row r="2" spans="1:4" ht="47.25" customHeight="1">
      <c r="A2" s="3232" t="str">
        <f>"1.权利限制："&amp;项目基本情况!L24&amp;"未设定租赁等其他他项权利。"</f>
        <v>1.权利限制：根据估价对象《国有土地使用证》原件，截至估价期日，估价对象已设定抵押。未设定租赁等其他他项权利。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1"/>
      <c r="C3" s="3231"/>
      <c r="D3" s="3231"/>
    </row>
    <row r="4" spans="1:4" ht="36.75" customHeight="1">
      <c r="A4" s="3231" t="str">
        <f>"3.估价规划限制条件：详见"&amp;项目基本情况!E21&amp;"。"</f>
        <v>3.估价规划限制条件：详见《建设工程规划许可证》[建字第建管130100201800074、130100201800082号]。</v>
      </c>
      <c r="B4" s="3231"/>
      <c r="C4" s="3231"/>
      <c r="D4" s="3231"/>
    </row>
    <row r="5" spans="1:4">
      <c r="A5" s="3230" t="s">
        <v>2063</v>
      </c>
      <c r="B5" s="3230"/>
      <c r="C5" s="3230"/>
      <c r="D5" s="3230"/>
    </row>
    <row r="6" spans="1:4">
      <c r="A6" s="3231" t="s">
        <v>2041</v>
      </c>
      <c r="B6" s="3231"/>
      <c r="C6" s="3231"/>
      <c r="D6" s="3231"/>
    </row>
    <row r="7" spans="1:4" ht="33" customHeight="1">
      <c r="A7" s="3231" t="s">
        <v>2567</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（1）根据估价对象《国有土地使用证》原件，截至估价期日，估价对象已设定抵押。上述抵押权设定日期为2017年11月22日，权利人为中信信托有限责任公司，权利范围为部分32181.54平方米，权利价值为48000万元。</v>
      </c>
      <c r="B11" s="3233"/>
      <c r="C11" s="3233"/>
      <c r="D11" s="3233"/>
    </row>
    <row r="12" spans="1:4" ht="168" customHeight="1">
      <c r="A12" s="3230" t="s">
        <v>2065</v>
      </c>
      <c r="B12" s="3230"/>
      <c r="C12" s="3230"/>
      <c r="D12" s="3230"/>
    </row>
    <row r="13" spans="1:4">
      <c r="A13" s="3234" t="s">
        <v>2738</v>
      </c>
      <c r="B13" s="3234"/>
      <c r="C13" s="3234"/>
      <c r="D13" s="3234"/>
    </row>
    <row r="14" spans="1:4">
      <c r="A14" s="3233" t="str">
        <f>IF(项目基本情况!B8="抵押","综上，"&amp;结果表!K47,"——")</f>
        <v>综上，本次评估估价师知悉的法定优先受偿款为人民币48000万元整。</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2694</v>
      </c>
      <c r="B17" s="3231"/>
      <c r="C17" s="3231"/>
      <c r="D17" s="3231"/>
    </row>
    <row r="18" spans="1:4">
      <c r="A18" s="3231" t="s">
        <v>2686</v>
      </c>
      <c r="B18" s="3231"/>
      <c r="C18" s="3231"/>
      <c r="D18" s="3231"/>
    </row>
    <row r="19" spans="1:4">
      <c r="A19" s="2864" t="s">
        <v>2687</v>
      </c>
      <c r="B19" s="2864" t="s">
        <v>2688</v>
      </c>
      <c r="C19" s="2864" t="s">
        <v>2689</v>
      </c>
      <c r="D19" s="2864" t="s">
        <v>2690</v>
      </c>
    </row>
    <row r="20" spans="1:4">
      <c r="A20" s="2864" t="str">
        <f>项目基本情况!B4</f>
        <v>土地估价师</v>
      </c>
      <c r="B20" s="2864">
        <f>项目基本情况!C4</f>
        <v>0</v>
      </c>
      <c r="C20" s="2866"/>
      <c r="D20" s="1796" t="s">
        <v>2695</v>
      </c>
    </row>
    <row r="21" spans="1:4">
      <c r="A21" s="2864" t="str">
        <f>项目基本情况!D4</f>
        <v>郑燚</v>
      </c>
      <c r="B21" s="2864">
        <f>项目基本情况!E4</f>
        <v>2014110011</v>
      </c>
      <c r="C21" s="2866"/>
      <c r="D21" s="1796" t="s">
        <v>2696</v>
      </c>
    </row>
    <row r="23" spans="1:4">
      <c r="A23" s="3231" t="s">
        <v>2691</v>
      </c>
      <c r="B23" s="3231"/>
      <c r="C23" s="3231"/>
      <c r="D23" s="3231"/>
    </row>
    <row r="24" spans="1:4">
      <c r="A24" s="2864" t="s">
        <v>2687</v>
      </c>
      <c r="B24" s="2864" t="s">
        <v>2692</v>
      </c>
      <c r="C24" s="2864" t="s">
        <v>2689</v>
      </c>
      <c r="D24" s="2864" t="s">
        <v>2690</v>
      </c>
    </row>
    <row r="25" spans="1:4">
      <c r="A25" s="2867" t="s">
        <v>2693</v>
      </c>
      <c r="B25" s="2864" t="s">
        <v>949</v>
      </c>
      <c r="C25" s="2866"/>
      <c r="D25" s="1796" t="s">
        <v>2696</v>
      </c>
    </row>
    <row r="29" spans="1:4">
      <c r="D29" s="2865" t="s">
        <v>2036</v>
      </c>
    </row>
    <row r="30" spans="1:4">
      <c r="D30" s="286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869</v>
      </c>
    </row>
    <row r="13" spans="1:7">
      <c r="A13" s="1169" t="s">
        <v>52</v>
      </c>
    </row>
    <row r="15" spans="1:7" ht="14.25">
      <c r="A15" s="3242" t="s">
        <v>53</v>
      </c>
      <c r="B15" s="3243" t="s">
        <v>843</v>
      </c>
      <c r="C15" s="3239"/>
    </row>
    <row r="16" spans="1:7" ht="14.25">
      <c r="A16" s="3242"/>
      <c r="B16" s="3240" t="s">
        <v>54</v>
      </c>
      <c r="C16" s="1170" t="s">
        <v>53</v>
      </c>
    </row>
    <row r="17" spans="1:3" ht="14.25">
      <c r="A17" s="3242"/>
      <c r="B17" s="3240"/>
      <c r="C17" s="1170" t="s">
        <v>55</v>
      </c>
    </row>
    <row r="18" spans="1:3" ht="14.25">
      <c r="A18" s="3242"/>
      <c r="B18" s="3240"/>
      <c r="C18" s="1170" t="s">
        <v>56</v>
      </c>
    </row>
    <row r="19" spans="1:3" ht="14.25">
      <c r="A19" s="3242"/>
      <c r="B19" s="3238" t="s">
        <v>57</v>
      </c>
      <c r="C19" s="3239"/>
    </row>
    <row r="20" spans="1:3" ht="14.25">
      <c r="A20" s="1171" t="s">
        <v>58</v>
      </c>
      <c r="B20" s="1172"/>
      <c r="C20" s="1173"/>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4" t="s">
        <v>834</v>
      </c>
    </row>
    <row r="25" spans="1:3" ht="14.25">
      <c r="A25" s="3241"/>
      <c r="B25" s="3245"/>
      <c r="C25" s="1174" t="s">
        <v>835</v>
      </c>
    </row>
    <row r="26" spans="1:3" ht="14.25">
      <c r="A26" s="3241"/>
      <c r="B26" s="3245"/>
      <c r="C26" s="1174" t="s">
        <v>836</v>
      </c>
    </row>
    <row r="27" spans="1:3" ht="14.25">
      <c r="A27" s="3241"/>
      <c r="B27" s="3245"/>
      <c r="C27" s="1174" t="s">
        <v>837</v>
      </c>
    </row>
    <row r="28" spans="1:3" ht="14.25">
      <c r="A28" s="3241"/>
      <c r="B28" s="3245"/>
      <c r="C28" s="1174" t="s">
        <v>838</v>
      </c>
    </row>
    <row r="29" spans="1:3" ht="14.25">
      <c r="A29" s="3241"/>
      <c r="B29" s="3245"/>
      <c r="C29" s="1174" t="s">
        <v>839</v>
      </c>
    </row>
    <row r="30" spans="1:3" ht="14.25">
      <c r="A30" s="3241"/>
      <c r="B30" s="3245"/>
      <c r="C30" s="1174" t="s">
        <v>840</v>
      </c>
    </row>
    <row r="31" spans="1:3" ht="14.25">
      <c r="A31" s="3241"/>
      <c r="B31" s="3245"/>
      <c r="C31" s="1174" t="s">
        <v>841</v>
      </c>
    </row>
    <row r="32" spans="1:3" ht="14.25">
      <c r="A32" s="3241"/>
      <c r="B32" s="3245"/>
      <c r="C32" s="1174" t="s">
        <v>1644</v>
      </c>
    </row>
    <row r="33" spans="1:3" ht="14.25">
      <c r="A33" s="3241"/>
      <c r="B33" s="3235" t="s">
        <v>1650</v>
      </c>
      <c r="C33" s="1174" t="s">
        <v>1645</v>
      </c>
    </row>
    <row r="34" spans="1:3" ht="14.25">
      <c r="A34" s="3241"/>
      <c r="B34" s="3236"/>
      <c r="C34" s="1179" t="s">
        <v>1646</v>
      </c>
    </row>
    <row r="35" spans="1:3" ht="14.25">
      <c r="A35" s="3241"/>
      <c r="B35" s="3236"/>
      <c r="C35" s="1180" t="s">
        <v>1647</v>
      </c>
    </row>
    <row r="36" spans="1:3" ht="14.25">
      <c r="A36" s="3241"/>
      <c r="B36" s="3236"/>
      <c r="C36" s="1180" t="s">
        <v>1648</v>
      </c>
    </row>
    <row r="37" spans="1:3" ht="14.25">
      <c r="A37" s="3241"/>
      <c r="B37" s="3237"/>
      <c r="C37" s="1181" t="s">
        <v>1649</v>
      </c>
    </row>
    <row r="38" spans="1:3">
      <c r="A38" s="1175" t="s">
        <v>842</v>
      </c>
    </row>
    <row r="41" spans="1:3">
      <c r="A41" s="1175" t="s">
        <v>68</v>
      </c>
    </row>
    <row r="42" spans="1:3" ht="14.25">
      <c r="A42" s="1176" t="s">
        <v>850</v>
      </c>
    </row>
    <row r="43" spans="1:3" ht="14.25">
      <c r="A43" s="1177" t="s">
        <v>69</v>
      </c>
    </row>
    <row r="44" spans="1:3" ht="14.25">
      <c r="A44" s="1176" t="s">
        <v>849</v>
      </c>
    </row>
    <row r="45" spans="1:3" ht="14.25">
      <c r="A45" s="1178" t="s">
        <v>851</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1904</v>
      </c>
      <c r="B2" s="1654">
        <f ca="1">TODAY()</f>
        <v>43453</v>
      </c>
      <c r="C2" s="2335" t="s">
        <v>1905</v>
      </c>
      <c r="D2" s="2336"/>
    </row>
    <row r="3" spans="1:6" ht="20.25" customHeight="1">
      <c r="A3" s="2338" t="s">
        <v>1906</v>
      </c>
      <c r="B3" s="2339" t="s">
        <v>1907</v>
      </c>
      <c r="C3" s="2339" t="s">
        <v>1908</v>
      </c>
      <c r="D3" s="2340" t="s">
        <v>1909</v>
      </c>
      <c r="E3" s="2339" t="s">
        <v>1910</v>
      </c>
      <c r="F3" s="2339" t="s">
        <v>1908</v>
      </c>
    </row>
    <row r="4" spans="1:6" ht="20.25" customHeight="1">
      <c r="A4" s="2339" t="s">
        <v>1911</v>
      </c>
      <c r="B4" s="2339">
        <f ca="1">IF(C4&lt;B2,"已过期",1119970066)</f>
        <v>1119970066</v>
      </c>
      <c r="C4" s="3002">
        <v>43849</v>
      </c>
      <c r="D4" s="2339" t="s">
        <v>1911</v>
      </c>
      <c r="E4" s="2339">
        <f ca="1">IF(F4&lt;B2,"已过期",96010014)</f>
        <v>96010014</v>
      </c>
      <c r="F4" s="3003">
        <v>47118</v>
      </c>
    </row>
    <row r="5" spans="1:6" ht="20.25" customHeight="1">
      <c r="A5" s="2339" t="s">
        <v>1912</v>
      </c>
      <c r="B5" s="2339">
        <f ca="1">IF(C5&lt;B2,"已过期",1119970074)</f>
        <v>1119970074</v>
      </c>
      <c r="C5" s="3002">
        <v>43849</v>
      </c>
      <c r="D5" s="2339" t="s">
        <v>1912</v>
      </c>
      <c r="E5" s="2339">
        <f ca="1">IF(F5&lt;B2,"已过期",2002110027)</f>
        <v>2002110027</v>
      </c>
      <c r="F5" s="3003">
        <v>46752</v>
      </c>
    </row>
    <row r="6" spans="1:6" ht="20.25" customHeight="1">
      <c r="A6" s="2339" t="s">
        <v>1913</v>
      </c>
      <c r="B6" s="2339">
        <f ca="1">IF(C6&lt;B2,"已过期",1119970111)</f>
        <v>1119970111</v>
      </c>
      <c r="C6" s="3002">
        <v>43849</v>
      </c>
      <c r="D6" s="2339" t="s">
        <v>1913</v>
      </c>
      <c r="E6" s="2339">
        <f ca="1">IF(F6&lt;B2,"已过期",94010078)</f>
        <v>94010078</v>
      </c>
      <c r="F6" s="3003">
        <v>46387</v>
      </c>
    </row>
    <row r="7" spans="1:6" ht="20.25" customHeight="1">
      <c r="A7" s="2339" t="s">
        <v>1914</v>
      </c>
      <c r="B7" s="2339">
        <f ca="1">IF(C7&lt;B2,"已过期",1120050019)</f>
        <v>1120050019</v>
      </c>
      <c r="C7" s="3002">
        <v>44395</v>
      </c>
      <c r="D7" s="2339" t="s">
        <v>1914</v>
      </c>
      <c r="E7" s="2339">
        <f ca="1">IF(F7&lt;B2,"已过期",2002110030)</f>
        <v>2002110030</v>
      </c>
      <c r="F7" s="3003">
        <v>46387</v>
      </c>
    </row>
    <row r="8" spans="1:6" ht="20.25" customHeight="1">
      <c r="A8" s="2339" t="s">
        <v>1915</v>
      </c>
      <c r="B8" s="2339">
        <f ca="1">IF(C8&lt;B2,"已过期",1120000080)</f>
        <v>1120000080</v>
      </c>
      <c r="C8" s="3002">
        <v>43849</v>
      </c>
      <c r="D8" s="2339" t="s">
        <v>1915</v>
      </c>
      <c r="E8" s="2339">
        <f ca="1">IF(F8&lt;B2,"已过期",2000110082)</f>
        <v>2000110082</v>
      </c>
      <c r="F8" s="3003">
        <v>46387</v>
      </c>
    </row>
    <row r="9" spans="1:6" ht="20.25" customHeight="1">
      <c r="A9" s="2339" t="s">
        <v>1916</v>
      </c>
      <c r="B9" s="2339">
        <f ca="1">IF(C9&lt;B2,"已过期",1419970001)</f>
        <v>1419970001</v>
      </c>
      <c r="C9" s="3002">
        <v>43867</v>
      </c>
      <c r="D9" s="2339" t="s">
        <v>1916</v>
      </c>
      <c r="E9" s="2339">
        <f ca="1">IF(F9&lt;B2,"已过期",2002110125)</f>
        <v>2002110125</v>
      </c>
      <c r="F9" s="3003">
        <v>47118</v>
      </c>
    </row>
    <row r="10" spans="1:6" ht="20.25" customHeight="1">
      <c r="A10" s="2339" t="s">
        <v>1917</v>
      </c>
      <c r="B10" s="2339">
        <f ca="1">IF(C10&lt;B2,"已过期",1120060040)</f>
        <v>1120060040</v>
      </c>
      <c r="C10" s="3002">
        <v>43483</v>
      </c>
      <c r="D10" s="2339" t="s">
        <v>1917</v>
      </c>
      <c r="E10" s="2339">
        <f ca="1">IF(F10&lt;B2,"已过期",2004110096)</f>
        <v>2004110096</v>
      </c>
      <c r="F10" s="3003">
        <v>47118</v>
      </c>
    </row>
    <row r="11" spans="1:6" ht="20.25" customHeight="1">
      <c r="A11" s="2339" t="s">
        <v>1918</v>
      </c>
      <c r="B11" s="2339">
        <f ca="1">IF(C11&lt;B2,"已过期",1120100036)</f>
        <v>1120100036</v>
      </c>
      <c r="C11" s="3002">
        <v>43622</v>
      </c>
      <c r="D11" s="2339" t="s">
        <v>1918</v>
      </c>
      <c r="E11" s="2339">
        <f ca="1">IF(F11&lt;B2,"已过期",2010110070)</f>
        <v>2010110070</v>
      </c>
      <c r="F11" s="3003">
        <v>47907</v>
      </c>
    </row>
    <row r="12" spans="1:6" ht="20.25" customHeight="1">
      <c r="A12" s="2339" t="s">
        <v>2964</v>
      </c>
      <c r="B12" s="2339">
        <v>1120110054</v>
      </c>
      <c r="C12" s="3002">
        <v>43937</v>
      </c>
      <c r="D12" s="2339" t="s">
        <v>2964</v>
      </c>
      <c r="E12" s="2339">
        <v>2008110060</v>
      </c>
      <c r="F12" s="3003">
        <v>47177</v>
      </c>
    </row>
    <row r="13" spans="1:6" ht="20.25" customHeight="1">
      <c r="A13" s="2339" t="s">
        <v>1919</v>
      </c>
      <c r="B13" s="2339">
        <f ca="1">IF(C13&lt;B2,"已过期",1120070131)</f>
        <v>1120070131</v>
      </c>
      <c r="C13" s="3002">
        <v>43814</v>
      </c>
      <c r="D13" s="2339" t="s">
        <v>1919</v>
      </c>
      <c r="E13" s="2339">
        <v>2014110011</v>
      </c>
      <c r="F13" s="3003">
        <v>49302</v>
      </c>
    </row>
    <row r="14" spans="1:6" ht="20.25" customHeight="1">
      <c r="A14" s="2339" t="s">
        <v>1920</v>
      </c>
      <c r="B14" s="2339">
        <f ca="1">IF(C14&lt;B2,"已过期",1120130020)</f>
        <v>1120130020</v>
      </c>
      <c r="C14" s="3002">
        <v>43622</v>
      </c>
      <c r="D14" s="2339"/>
      <c r="E14" s="2339"/>
      <c r="F14" s="2339"/>
    </row>
    <row r="15" spans="1:6" ht="20.25" customHeight="1">
      <c r="A15" s="2339" t="s">
        <v>2566</v>
      </c>
      <c r="B15" s="2339">
        <v>1120070085</v>
      </c>
      <c r="C15" s="3002">
        <v>43814</v>
      </c>
      <c r="D15" s="2339" t="s">
        <v>2566</v>
      </c>
      <c r="E15" s="2339">
        <v>2004110128</v>
      </c>
      <c r="F15" s="3003">
        <v>47118</v>
      </c>
    </row>
    <row r="16" spans="1:6" ht="20.25" customHeight="1">
      <c r="A16" s="2339" t="s">
        <v>1921</v>
      </c>
      <c r="B16" s="2339">
        <f ca="1">IF(C16&lt;B2,"已过期",1120140022)</f>
        <v>1120140022</v>
      </c>
      <c r="C16" s="3002">
        <v>44029</v>
      </c>
      <c r="D16" s="2339" t="s">
        <v>1921</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1922</v>
      </c>
      <c r="E21" s="2339">
        <f ca="1">IF(F21&lt;B2,"已过期",2011110090)</f>
        <v>2011110090</v>
      </c>
      <c r="F21" s="3003">
        <v>48302</v>
      </c>
    </row>
    <row r="22" spans="1:7" ht="20.25" customHeight="1">
      <c r="A22" s="2339" t="s">
        <v>1923</v>
      </c>
      <c r="B22" s="2339">
        <f ca="1">IF(C22&lt;B2,"已过期",1120020033)</f>
        <v>1120020033</v>
      </c>
      <c r="C22" s="3002">
        <v>44339</v>
      </c>
      <c r="D22" s="2339" t="s">
        <v>1923</v>
      </c>
      <c r="E22" s="2339">
        <f ca="1">IF(F22&lt;B2,"已过期",2000110137)</f>
        <v>2000110137</v>
      </c>
      <c r="F22" s="3003">
        <v>46387</v>
      </c>
    </row>
    <row r="23" spans="1:7" ht="20.25" customHeight="1">
      <c r="A23" s="2339" t="s">
        <v>1924</v>
      </c>
      <c r="B23" s="2339">
        <f ca="1">IF(C23&lt;B2,"已过期",1120130048)</f>
        <v>1120130048</v>
      </c>
      <c r="C23" s="3002">
        <v>43686</v>
      </c>
      <c r="D23" s="2339"/>
      <c r="E23" s="2339"/>
      <c r="F23" s="2339"/>
    </row>
    <row r="24" spans="1:7" s="2343" customFormat="1" ht="20.25" customHeight="1">
      <c r="A24" s="2341" t="s">
        <v>2050</v>
      </c>
      <c r="B24" s="2341" t="s">
        <v>2050</v>
      </c>
      <c r="C24" s="3002"/>
      <c r="D24" s="3004" t="s">
        <v>2050</v>
      </c>
      <c r="E24" s="2341" t="s">
        <v>2050</v>
      </c>
      <c r="F24" s="2342"/>
    </row>
    <row r="25" spans="1:7" ht="20.25" customHeight="1">
      <c r="A25" s="3246" t="s">
        <v>1925</v>
      </c>
      <c r="B25" s="3246"/>
      <c r="C25" s="3246"/>
      <c r="D25" s="3246"/>
      <c r="E25" s="3246"/>
      <c r="F25" s="3246"/>
      <c r="G25" s="3246"/>
    </row>
    <row r="26" spans="1:7" ht="20.25" customHeight="1">
      <c r="A26" s="3247" t="s">
        <v>1926</v>
      </c>
      <c r="B26" s="3247"/>
      <c r="C26" s="3247"/>
      <c r="D26" s="3247" t="s">
        <v>1927</v>
      </c>
      <c r="E26" s="3247"/>
      <c r="F26" s="3247"/>
    </row>
    <row r="27" spans="1:7" s="2347" customFormat="1" ht="20.25" customHeight="1">
      <c r="A27" s="2344" t="s">
        <v>1928</v>
      </c>
      <c r="B27" s="2345" t="s">
        <v>1929</v>
      </c>
      <c r="C27" s="2345" t="s">
        <v>1930</v>
      </c>
      <c r="D27" s="2346" t="s">
        <v>1928</v>
      </c>
      <c r="E27" s="2345" t="s">
        <v>1929</v>
      </c>
      <c r="F27" s="2345" t="s">
        <v>1930</v>
      </c>
    </row>
    <row r="28" spans="1:7" s="2347" customFormat="1" ht="20.25" customHeight="1">
      <c r="A28" s="2348" t="s">
        <v>1931</v>
      </c>
      <c r="B28" s="2348" t="s">
        <v>1932</v>
      </c>
      <c r="C28" s="2349">
        <v>43725</v>
      </c>
      <c r="D28" s="2348" t="s">
        <v>1933</v>
      </c>
      <c r="E28" s="2348" t="s">
        <v>1934</v>
      </c>
      <c r="F28" s="2350">
        <v>44377</v>
      </c>
    </row>
    <row r="29" spans="1:7" s="2347" customFormat="1" ht="20.25" customHeight="1">
      <c r="A29" s="2348"/>
      <c r="B29" s="2348"/>
      <c r="C29" s="2351"/>
      <c r="D29" s="2348" t="s">
        <v>1935</v>
      </c>
      <c r="E29" s="2352" t="s">
        <v>2931</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853</v>
      </c>
      <c r="B1" s="5" t="s">
        <v>131</v>
      </c>
      <c r="C1" s="1547"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79" t="s">
        <v>2537</v>
      </c>
      <c r="R1" s="2578" t="s">
        <v>2531</v>
      </c>
      <c r="S1" s="6" t="s">
        <v>145</v>
      </c>
      <c r="T1" s="7" t="s">
        <v>146</v>
      </c>
      <c r="U1" s="6" t="s">
        <v>147</v>
      </c>
      <c r="V1" s="6" t="s">
        <v>148</v>
      </c>
      <c r="W1" s="1002" t="s">
        <v>871</v>
      </c>
    </row>
    <row r="2" spans="1:23">
      <c r="A2" s="8" t="s">
        <v>73</v>
      </c>
      <c r="B2" s="8" t="s">
        <v>149</v>
      </c>
      <c r="C2" s="1548" t="s">
        <v>1706</v>
      </c>
      <c r="D2" s="9" t="s">
        <v>74</v>
      </c>
      <c r="E2" s="9" t="s">
        <v>126</v>
      </c>
      <c r="F2" s="9" t="s">
        <v>127</v>
      </c>
      <c r="G2" s="9">
        <v>40</v>
      </c>
      <c r="H2" s="9" t="s">
        <v>128</v>
      </c>
      <c r="I2" s="9" t="s">
        <v>129</v>
      </c>
      <c r="J2" s="9" t="s">
        <v>130</v>
      </c>
      <c r="K2" s="9" t="s">
        <v>75</v>
      </c>
      <c r="L2" s="9" t="s">
        <v>75</v>
      </c>
      <c r="M2" s="9" t="s">
        <v>75</v>
      </c>
      <c r="N2" s="9" t="s">
        <v>75</v>
      </c>
      <c r="O2" s="9" t="s">
        <v>75</v>
      </c>
      <c r="P2" s="1004" t="s">
        <v>877</v>
      </c>
      <c r="Q2" s="9" t="s">
        <v>75</v>
      </c>
      <c r="R2" s="1004" t="s">
        <v>2532</v>
      </c>
      <c r="S2" s="9" t="s">
        <v>75</v>
      </c>
      <c r="T2" s="9" t="s">
        <v>76</v>
      </c>
      <c r="U2" s="9" t="s">
        <v>75</v>
      </c>
      <c r="V2" s="9" t="s">
        <v>77</v>
      </c>
      <c r="W2" s="9" t="s">
        <v>872</v>
      </c>
    </row>
    <row r="3" spans="1:23">
      <c r="A3" s="8" t="s">
        <v>78</v>
      </c>
      <c r="B3" s="10" t="s">
        <v>150</v>
      </c>
      <c r="C3" s="1549"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2533</v>
      </c>
      <c r="S3" s="9" t="s">
        <v>84</v>
      </c>
      <c r="T3" s="9" t="s">
        <v>85</v>
      </c>
      <c r="U3" s="9" t="s">
        <v>84</v>
      </c>
      <c r="V3" s="9" t="s">
        <v>86</v>
      </c>
      <c r="W3" s="9" t="s">
        <v>873</v>
      </c>
    </row>
    <row r="4" spans="1:23">
      <c r="A4" s="8" t="s">
        <v>87</v>
      </c>
      <c r="B4" s="8" t="s">
        <v>151</v>
      </c>
      <c r="C4" s="1548" t="s">
        <v>1708</v>
      </c>
      <c r="D4" s="9" t="s">
        <v>1992</v>
      </c>
      <c r="E4" s="9" t="s">
        <v>88</v>
      </c>
      <c r="F4" s="9" t="s">
        <v>89</v>
      </c>
      <c r="G4" s="9">
        <v>70</v>
      </c>
      <c r="H4" s="9" t="s">
        <v>90</v>
      </c>
      <c r="I4" s="9" t="s">
        <v>91</v>
      </c>
      <c r="K4" s="9" t="s">
        <v>92</v>
      </c>
      <c r="L4" s="9" t="s">
        <v>92</v>
      </c>
      <c r="M4" s="9" t="s">
        <v>92</v>
      </c>
      <c r="N4" s="9" t="s">
        <v>92</v>
      </c>
      <c r="O4" s="9" t="s">
        <v>92</v>
      </c>
      <c r="P4" s="1004" t="s">
        <v>757</v>
      </c>
      <c r="Q4" s="9" t="s">
        <v>92</v>
      </c>
      <c r="R4" s="1004" t="s">
        <v>2534</v>
      </c>
      <c r="S4" s="9" t="s">
        <v>92</v>
      </c>
      <c r="T4" s="9" t="s">
        <v>93</v>
      </c>
      <c r="U4" s="9" t="s">
        <v>92</v>
      </c>
      <c r="W4" s="9" t="s">
        <v>874</v>
      </c>
    </row>
    <row r="5" spans="1:23">
      <c r="A5" s="8" t="s">
        <v>94</v>
      </c>
      <c r="B5" s="8" t="s">
        <v>152</v>
      </c>
      <c r="C5" s="1548" t="s">
        <v>1709</v>
      </c>
      <c r="F5" s="9" t="s">
        <v>95</v>
      </c>
      <c r="H5" s="9" t="s">
        <v>70</v>
      </c>
      <c r="I5" s="9" t="s">
        <v>96</v>
      </c>
      <c r="K5" s="9" t="s">
        <v>97</v>
      </c>
      <c r="L5" s="9" t="s">
        <v>97</v>
      </c>
      <c r="M5" s="9" t="s">
        <v>97</v>
      </c>
      <c r="N5" s="9" t="s">
        <v>97</v>
      </c>
      <c r="O5" s="9" t="s">
        <v>97</v>
      </c>
      <c r="P5" s="1004" t="s">
        <v>543</v>
      </c>
      <c r="Q5" s="9" t="s">
        <v>97</v>
      </c>
      <c r="R5" s="1004" t="s">
        <v>2535</v>
      </c>
      <c r="S5" s="9" t="s">
        <v>97</v>
      </c>
      <c r="T5" s="9" t="s">
        <v>98</v>
      </c>
      <c r="U5" s="9" t="s">
        <v>97</v>
      </c>
      <c r="W5" s="9" t="s">
        <v>875</v>
      </c>
    </row>
    <row r="6" spans="1:23">
      <c r="A6" s="8" t="s">
        <v>99</v>
      </c>
      <c r="B6" s="1147" t="s">
        <v>1638</v>
      </c>
      <c r="C6" s="1550" t="s">
        <v>1710</v>
      </c>
      <c r="F6" s="9" t="s">
        <v>71</v>
      </c>
      <c r="H6" s="9" t="s">
        <v>72</v>
      </c>
      <c r="I6" s="9" t="s">
        <v>100</v>
      </c>
      <c r="K6" s="9" t="s">
        <v>101</v>
      </c>
      <c r="L6" s="9" t="s">
        <v>101</v>
      </c>
      <c r="M6" s="9" t="s">
        <v>101</v>
      </c>
      <c r="N6" s="9" t="s">
        <v>101</v>
      </c>
      <c r="O6" s="9" t="s">
        <v>101</v>
      </c>
      <c r="P6" s="1004" t="s">
        <v>878</v>
      </c>
      <c r="Q6" s="9" t="s">
        <v>101</v>
      </c>
      <c r="R6" s="1004" t="s">
        <v>2536</v>
      </c>
      <c r="S6" s="9" t="s">
        <v>101</v>
      </c>
      <c r="T6" s="9"/>
      <c r="U6" s="9" t="s">
        <v>101</v>
      </c>
      <c r="W6" s="9" t="s">
        <v>876</v>
      </c>
    </row>
    <row r="7" spans="1:23">
      <c r="A7" s="8" t="s">
        <v>102</v>
      </c>
      <c r="B7" s="8" t="s">
        <v>103</v>
      </c>
      <c r="C7" s="1548" t="s">
        <v>1711</v>
      </c>
      <c r="F7" s="9" t="s">
        <v>153</v>
      </c>
      <c r="H7" s="9" t="s">
        <v>104</v>
      </c>
      <c r="I7" s="9" t="s">
        <v>105</v>
      </c>
    </row>
    <row r="8" spans="1:23">
      <c r="A8" s="8" t="s">
        <v>106</v>
      </c>
      <c r="B8" s="1147" t="s">
        <v>3039</v>
      </c>
      <c r="C8" s="1548" t="s">
        <v>1712</v>
      </c>
      <c r="F8" s="9" t="s">
        <v>154</v>
      </c>
      <c r="H8" s="9"/>
      <c r="I8" s="9" t="s">
        <v>107</v>
      </c>
    </row>
    <row r="9" spans="1:23">
      <c r="A9" s="8" t="s">
        <v>108</v>
      </c>
      <c r="B9" s="8" t="s">
        <v>155</v>
      </c>
      <c r="C9" s="1548" t="s">
        <v>1713</v>
      </c>
      <c r="F9" s="9" t="s">
        <v>109</v>
      </c>
      <c r="H9" s="9"/>
    </row>
    <row r="10" spans="1:23">
      <c r="A10" s="8" t="s">
        <v>110</v>
      </c>
      <c r="B10" s="8" t="s">
        <v>156</v>
      </c>
      <c r="C10" s="1548" t="s">
        <v>1714</v>
      </c>
      <c r="F10" s="9" t="s">
        <v>6</v>
      </c>
    </row>
    <row r="11" spans="1:23">
      <c r="A11" s="8" t="s">
        <v>111</v>
      </c>
      <c r="B11" s="8" t="s">
        <v>157</v>
      </c>
      <c r="C11" s="1548" t="s">
        <v>1715</v>
      </c>
    </row>
    <row r="12" spans="1:23">
      <c r="A12" s="8" t="s">
        <v>112</v>
      </c>
      <c r="B12" s="8" t="s">
        <v>158</v>
      </c>
      <c r="C12" s="1548" t="s">
        <v>1716</v>
      </c>
    </row>
    <row r="13" spans="1:23">
      <c r="A13" s="8" t="s">
        <v>113</v>
      </c>
      <c r="B13" s="8" t="s">
        <v>159</v>
      </c>
      <c r="C13" s="1548" t="s">
        <v>1717</v>
      </c>
    </row>
    <row r="14" spans="1:23">
      <c r="A14" s="8" t="s">
        <v>114</v>
      </c>
      <c r="B14" s="8" t="s">
        <v>160</v>
      </c>
      <c r="C14" s="1551" t="s">
        <v>1893</v>
      </c>
    </row>
    <row r="15" spans="1:23">
      <c r="A15" s="8" t="s">
        <v>115</v>
      </c>
      <c r="B15" s="8" t="s">
        <v>1678</v>
      </c>
      <c r="C15" s="1551"/>
    </row>
    <row r="16" spans="1:23">
      <c r="A16" s="8" t="s">
        <v>116</v>
      </c>
      <c r="B16" s="8" t="s">
        <v>1679</v>
      </c>
      <c r="C16" s="1551"/>
    </row>
    <row r="17" spans="1:3">
      <c r="A17" s="8" t="s">
        <v>117</v>
      </c>
      <c r="B17" s="8" t="s">
        <v>1680</v>
      </c>
      <c r="C17" s="1551"/>
    </row>
    <row r="18" spans="1:3">
      <c r="A18" s="8" t="s">
        <v>118</v>
      </c>
      <c r="B18" s="3102" t="s">
        <v>2943</v>
      </c>
      <c r="C18" s="1551"/>
    </row>
    <row r="19" spans="1:3">
      <c r="A19" s="8" t="s">
        <v>119</v>
      </c>
      <c r="B19" s="3102" t="s">
        <v>3038</v>
      </c>
      <c r="C19" s="1551"/>
    </row>
    <row r="20" spans="1:3">
      <c r="A20" s="8" t="s">
        <v>120</v>
      </c>
      <c r="B20" s="3102" t="s">
        <v>3041</v>
      </c>
      <c r="C20" s="1551"/>
    </row>
    <row r="21" spans="1:3">
      <c r="A21" s="8" t="s">
        <v>121</v>
      </c>
      <c r="B21" s="3102" t="s">
        <v>3230</v>
      </c>
      <c r="C21" s="1551"/>
    </row>
    <row r="22" spans="1:3">
      <c r="A22" s="8" t="s">
        <v>122</v>
      </c>
      <c r="B22" s="3102" t="s">
        <v>3245</v>
      </c>
      <c r="C22" s="1551"/>
    </row>
    <row r="23" spans="1:3">
      <c r="A23" s="8" t="s">
        <v>123</v>
      </c>
      <c r="B23" s="8" t="s">
        <v>1639</v>
      </c>
      <c r="C23" s="1551"/>
    </row>
    <row r="24" spans="1:3">
      <c r="A24" s="8" t="s">
        <v>12</v>
      </c>
      <c r="B24" s="8" t="s">
        <v>1639</v>
      </c>
      <c r="C24" s="1551"/>
    </row>
    <row r="25" spans="1:3">
      <c r="A25" s="8" t="s">
        <v>124</v>
      </c>
      <c r="B25" s="8" t="s">
        <v>1639</v>
      </c>
      <c r="C25" s="1551"/>
    </row>
    <row r="26" spans="1:3">
      <c r="A26" s="8" t="s">
        <v>125</v>
      </c>
      <c r="B26" s="8" t="s">
        <v>1639</v>
      </c>
      <c r="C26" s="1551"/>
    </row>
    <row r="27" spans="1:3">
      <c r="A27" s="8" t="s">
        <v>1639</v>
      </c>
      <c r="B27" s="8" t="s">
        <v>1639</v>
      </c>
      <c r="C27" s="1551"/>
    </row>
    <row r="28" spans="1:3">
      <c r="A28" s="8" t="s">
        <v>1639</v>
      </c>
      <c r="B28" s="8" t="s">
        <v>1639</v>
      </c>
      <c r="C28" s="1551"/>
    </row>
    <row r="29" spans="1:3">
      <c r="A29" s="8" t="s">
        <v>1639</v>
      </c>
      <c r="B29" s="8" t="s">
        <v>1639</v>
      </c>
      <c r="C29" s="1551"/>
    </row>
    <row r="30" spans="1:3">
      <c r="A30" s="8" t="s">
        <v>1639</v>
      </c>
      <c r="B30" s="8" t="s">
        <v>1639</v>
      </c>
      <c r="C30" s="1551"/>
    </row>
    <row r="31" spans="1:3">
      <c r="A31" s="8" t="s">
        <v>1639</v>
      </c>
      <c r="B31" s="8" t="s">
        <v>1639</v>
      </c>
      <c r="C31" s="1551"/>
    </row>
    <row r="32" spans="1:3">
      <c r="A32" s="8" t="s">
        <v>1639</v>
      </c>
      <c r="B32" s="8" t="s">
        <v>1639</v>
      </c>
      <c r="C32" s="1551"/>
    </row>
    <row r="33" spans="1:3">
      <c r="A33" s="8" t="s">
        <v>1639</v>
      </c>
      <c r="B33" s="8" t="s">
        <v>1639</v>
      </c>
      <c r="C33" s="1551"/>
    </row>
    <row r="34" spans="1:3">
      <c r="A34" s="8" t="s">
        <v>1639</v>
      </c>
      <c r="B34" s="8" t="s">
        <v>1639</v>
      </c>
      <c r="C34" s="1551"/>
    </row>
    <row r="35" spans="1:3">
      <c r="A35" s="8" t="s">
        <v>1639</v>
      </c>
      <c r="B35" s="8" t="s">
        <v>1639</v>
      </c>
      <c r="C35" s="1551"/>
    </row>
    <row r="36" spans="1:3">
      <c r="A36" s="8" t="s">
        <v>1639</v>
      </c>
      <c r="B36" s="8" t="s">
        <v>1639</v>
      </c>
      <c r="C36" s="1551"/>
    </row>
    <row r="37" spans="1:3">
      <c r="A37" s="8" t="s">
        <v>1639</v>
      </c>
      <c r="B37" s="8" t="s">
        <v>1639</v>
      </c>
      <c r="C37" s="1551"/>
    </row>
    <row r="38" spans="1:3">
      <c r="A38" s="8" t="s">
        <v>1639</v>
      </c>
      <c r="B38" s="8" t="s">
        <v>1639</v>
      </c>
      <c r="C38" s="1551"/>
    </row>
    <row r="39" spans="1:3">
      <c r="A39" s="8" t="s">
        <v>1639</v>
      </c>
      <c r="B39" s="8" t="s">
        <v>1639</v>
      </c>
      <c r="C39" s="1551"/>
    </row>
    <row r="40" spans="1:3">
      <c r="A40" s="8" t="s">
        <v>1639</v>
      </c>
      <c r="B40" s="8" t="s">
        <v>1639</v>
      </c>
      <c r="C40" s="1551"/>
    </row>
    <row r="41" spans="1:3">
      <c r="A41" s="8" t="s">
        <v>1639</v>
      </c>
      <c r="B41" s="8" t="s">
        <v>1639</v>
      </c>
      <c r="C41" s="1551"/>
    </row>
    <row r="42" spans="1:3">
      <c r="A42" s="8" t="s">
        <v>1639</v>
      </c>
      <c r="B42" s="8" t="s">
        <v>1639</v>
      </c>
      <c r="C42" s="1551"/>
    </row>
    <row r="43" spans="1:3">
      <c r="A43" s="8" t="s">
        <v>1639</v>
      </c>
      <c r="B43" s="8" t="s">
        <v>1639</v>
      </c>
      <c r="C43" s="1551"/>
    </row>
    <row r="44" spans="1:3">
      <c r="A44" s="8" t="s">
        <v>1639</v>
      </c>
      <c r="B44" s="8" t="s">
        <v>1639</v>
      </c>
      <c r="C44" s="1551"/>
    </row>
    <row r="45" spans="1:3">
      <c r="A45" s="8" t="s">
        <v>1639</v>
      </c>
      <c r="B45" s="8" t="s">
        <v>1639</v>
      </c>
      <c r="C45" s="1551"/>
    </row>
    <row r="46" spans="1:3">
      <c r="A46" s="8" t="s">
        <v>1639</v>
      </c>
      <c r="B46" s="8" t="s">
        <v>1639</v>
      </c>
      <c r="C46" s="1551"/>
    </row>
    <row r="47" spans="1:3">
      <c r="A47" s="8" t="s">
        <v>1639</v>
      </c>
      <c r="B47" s="8" t="s">
        <v>1639</v>
      </c>
      <c r="C47" s="1551"/>
    </row>
    <row r="48" spans="1:3">
      <c r="A48" s="8" t="s">
        <v>1639</v>
      </c>
      <c r="B48" s="8" t="s">
        <v>1639</v>
      </c>
      <c r="C48" s="1551"/>
    </row>
    <row r="49" spans="1:5">
      <c r="A49" s="8" t="s">
        <v>1639</v>
      </c>
      <c r="B49" s="8" t="s">
        <v>1639</v>
      </c>
      <c r="C49" s="1551"/>
    </row>
    <row r="50" spans="1:5">
      <c r="A50" s="8" t="s">
        <v>1639</v>
      </c>
      <c r="B50" s="8" t="s">
        <v>1639</v>
      </c>
      <c r="C50" s="1551"/>
    </row>
    <row r="51" spans="1:5">
      <c r="A51" s="1761" t="s">
        <v>1941</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石家庄安联房地产开发有限公司拟使用河北省石家庄市长安区和平东路以北、东二环北路东侧商业、地下车库、地下仓储用地出让国有建设用地使用权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1984</v>
      </c>
      <c r="B52" s="1764" t="s">
        <v>1985</v>
      </c>
      <c r="C52" s="1762" t="s">
        <v>1986</v>
      </c>
      <c r="D52" s="1762" t="s">
        <v>1987</v>
      </c>
      <c r="E52" s="1763"/>
    </row>
    <row r="53" spans="1:5">
      <c r="A53" s="3248" t="s">
        <v>1988</v>
      </c>
      <c r="B53" s="1762" t="s">
        <v>1994</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c r="D53" s="1763"/>
      <c r="E53" s="1763"/>
    </row>
    <row r="54" spans="1:5">
      <c r="A54" s="3248"/>
      <c r="B54" s="1762" t="s">
        <v>1995</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8"/>
      <c r="B55" s="1762" t="s">
        <v>1989</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8"/>
      <c r="B56" s="1762" t="s">
        <v>1990</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8"/>
      <c r="B57" s="1762" t="s">
        <v>1991</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2046</v>
      </c>
      <c r="B58" s="1762" t="s">
        <v>2047</v>
      </c>
      <c r="C58" s="11" t="s">
        <v>2048</v>
      </c>
      <c r="D58" s="1317"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Sheet4</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不动产收益法会所</vt:lpstr>
      <vt:lpstr>酒店收入计算</vt:lpstr>
      <vt:lpstr>成本逼近法</vt:lpstr>
      <vt:lpstr>不动产比较法-商业</vt:lpstr>
      <vt:lpstr>不动产收益法商业</vt:lpstr>
      <vt:lpstr>不动产收益法车库</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参数确定</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2018-12-19T04:50:08Z</dcterms:modified>
</cp:coreProperties>
</file>