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233北京市通州区兴贸三街18号院15号楼11层1单元1111\"/>
    </mc:Choice>
  </mc:AlternateContent>
  <bookViews>
    <workbookView xWindow="240" yWindow="4110" windowWidth="22290" windowHeight="556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假设开发法 (2)" sheetId="81"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案例" sheetId="80"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0">'假设开发法 (2)'!$A$1:$K$32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I5" i="34" l="1"/>
  <c r="G5" i="34"/>
  <c r="D5" i="9" l="1"/>
  <c r="I37" i="34"/>
  <c r="G37" i="34"/>
  <c r="E37" i="34"/>
  <c r="C37" i="34"/>
  <c r="C34" i="34"/>
  <c r="I29" i="34"/>
  <c r="G29" i="34"/>
  <c r="E29" i="34"/>
  <c r="C29" i="34"/>
  <c r="E5" i="34"/>
  <c r="F31" i="81" l="1"/>
  <c r="F28" i="81"/>
  <c r="G27" i="81"/>
  <c r="G26" i="81"/>
  <c r="G25" i="81"/>
  <c r="F24" i="81"/>
  <c r="C24" i="81" s="1"/>
  <c r="F23" i="81"/>
  <c r="F22" i="81"/>
  <c r="E20" i="81"/>
  <c r="D20" i="81"/>
  <c r="C20" i="81" s="1"/>
  <c r="E19" i="81"/>
  <c r="D19" i="81"/>
  <c r="C19" i="81" s="1"/>
  <c r="E17" i="81"/>
  <c r="F15" i="81"/>
  <c r="E14" i="81"/>
  <c r="D14" i="81"/>
  <c r="D17" i="81" s="1"/>
  <c r="C17" i="81" s="1"/>
  <c r="F13" i="81"/>
  <c r="C13" i="81" s="1"/>
  <c r="F12" i="81"/>
  <c r="F11" i="81"/>
  <c r="C23" i="81" s="1"/>
  <c r="C11" i="81"/>
  <c r="C15" i="81" s="1"/>
  <c r="K7" i="81"/>
  <c r="J7" i="81"/>
  <c r="I7" i="81"/>
  <c r="H7" i="81"/>
  <c r="G7" i="81"/>
  <c r="F7" i="81"/>
  <c r="E7" i="81"/>
  <c r="D7" i="81"/>
  <c r="C7" i="81"/>
  <c r="C4" i="81"/>
  <c r="K1" i="81"/>
  <c r="AH6" i="1"/>
  <c r="Y6" i="1"/>
  <c r="F19" i="6"/>
  <c r="D3" i="4"/>
  <c r="C18" i="81" l="1"/>
  <c r="C14" i="81"/>
  <c r="C29" i="81"/>
  <c r="D28" i="81" s="1"/>
  <c r="C12" i="81"/>
  <c r="C31" i="81"/>
  <c r="I7" i="79"/>
  <c r="C16" i="81" l="1"/>
  <c r="C21" i="81" s="1"/>
  <c r="C22" i="81" s="1"/>
  <c r="I29" i="79"/>
  <c r="I28" i="79"/>
  <c r="N28" i="79"/>
  <c r="M28" i="79"/>
  <c r="P28" i="79" s="1"/>
  <c r="L28" i="79"/>
  <c r="N29" i="79"/>
  <c r="M29" i="79"/>
  <c r="L29" i="79"/>
  <c r="O6" i="79"/>
  <c r="N6" i="79"/>
  <c r="M6" i="79"/>
  <c r="P6" i="79" s="1"/>
  <c r="L6" i="79"/>
  <c r="K6" i="79"/>
  <c r="O7" i="79"/>
  <c r="N7" i="79"/>
  <c r="M7" i="79"/>
  <c r="P7" i="79" s="1"/>
  <c r="L7" i="79"/>
  <c r="K7" i="79"/>
  <c r="C30" i="81" l="1"/>
  <c r="C28" i="81" s="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C3" i="79" l="1"/>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Y3" i="79"/>
  <c r="S12" i="79"/>
  <c r="S28" i="79"/>
  <c r="T34" i="79"/>
  <c r="W34" i="79" s="1"/>
  <c r="U35" i="79"/>
  <c r="AD36" i="79"/>
  <c r="S37" i="79"/>
  <c r="S27" i="79"/>
  <c r="M3" i="79"/>
  <c r="P3" i="79" s="1"/>
  <c r="T3" i="79"/>
  <c r="W3" i="79" s="1"/>
  <c r="U27" i="79"/>
  <c r="AD33" i="79"/>
  <c r="T32" i="79"/>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B19" i="71"/>
  <c r="B18" i="71" s="1"/>
  <c r="B17" i="71" s="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s="1"/>
  <c r="Q25" i="71"/>
  <c r="P25" i="71"/>
  <c r="E24" i="71"/>
  <c r="O25" i="71"/>
  <c r="N25" i="71"/>
  <c r="B24" i="71"/>
  <c r="B23" i="71" s="1"/>
  <c r="B22" i="71" s="1"/>
  <c r="B21" i="71"/>
  <c r="B20"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N68" i="71" s="1"/>
  <c r="F67" i="71"/>
  <c r="F66" i="71" s="1"/>
  <c r="Q65" i="71" s="1"/>
  <c r="Q66" i="71"/>
  <c r="D65" i="71"/>
  <c r="Q64" i="71"/>
  <c r="P64" i="71"/>
  <c r="O64" i="71"/>
  <c r="N64" i="71"/>
  <c r="Q63" i="71"/>
  <c r="P63" i="71"/>
  <c r="O63" i="71"/>
  <c r="N63" i="71"/>
  <c r="Q62" i="71"/>
  <c r="P62" i="71"/>
  <c r="O62" i="71"/>
  <c r="C63" i="71" s="1"/>
  <c r="D63" i="71" s="1"/>
  <c r="N62" i="71"/>
  <c r="Q61" i="71"/>
  <c r="F62" i="71"/>
  <c r="F63" i="71" s="1"/>
  <c r="F64" i="71" s="1"/>
  <c r="V64" i="71" s="1"/>
  <c r="P61" i="71"/>
  <c r="E62" i="71" s="1"/>
  <c r="O61" i="71"/>
  <c r="C62" i="71"/>
  <c r="N61" i="71"/>
  <c r="B62" i="71" s="1"/>
  <c r="B63" i="71" s="1"/>
  <c r="B64" i="71" s="1"/>
  <c r="S64" i="71"/>
  <c r="D61" i="71"/>
  <c r="Q60" i="71"/>
  <c r="P60" i="71"/>
  <c r="O60" i="71"/>
  <c r="N60" i="71"/>
  <c r="Q59" i="71"/>
  <c r="P59" i="71"/>
  <c r="O59" i="71"/>
  <c r="N59" i="71"/>
  <c r="Q58" i="71"/>
  <c r="P58" i="71"/>
  <c r="O58" i="71"/>
  <c r="N58" i="71"/>
  <c r="Q57" i="71"/>
  <c r="F58" i="71"/>
  <c r="F59" i="71"/>
  <c r="F60" i="71"/>
  <c r="V60" i="71" s="1"/>
  <c r="P57" i="71"/>
  <c r="E58" i="71"/>
  <c r="O57" i="71"/>
  <c r="C58" i="71" s="1"/>
  <c r="D58" i="71" s="1"/>
  <c r="N57" i="71"/>
  <c r="B58" i="71"/>
  <c r="D57" i="71"/>
  <c r="Q56" i="71"/>
  <c r="P56" i="71"/>
  <c r="O56" i="71"/>
  <c r="N56" i="71"/>
  <c r="Q55" i="71"/>
  <c r="P55" i="71"/>
  <c r="O55" i="71"/>
  <c r="N55" i="71"/>
  <c r="Q54" i="71"/>
  <c r="F55" i="71" s="1"/>
  <c r="F56" i="71" s="1"/>
  <c r="V56" i="71" s="1"/>
  <c r="P54" i="71"/>
  <c r="O54" i="71"/>
  <c r="N54" i="71"/>
  <c r="B55" i="71" s="1"/>
  <c r="B56" i="71" s="1"/>
  <c r="S56" i="71" s="1"/>
  <c r="C54" i="71"/>
  <c r="Q53" i="71"/>
  <c r="F54" i="71"/>
  <c r="P53" i="71"/>
  <c r="E54" i="71"/>
  <c r="E55" i="71" s="1"/>
  <c r="E56" i="71" s="1"/>
  <c r="O53" i="71"/>
  <c r="N53" i="71"/>
  <c r="B54" i="7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Q38" i="71"/>
  <c r="AB38" i="71"/>
  <c r="P38" i="71"/>
  <c r="O38" i="71"/>
  <c r="Y38" i="71" s="1"/>
  <c r="Z38" i="71" s="1"/>
  <c r="N38" i="71"/>
  <c r="Q37" i="71"/>
  <c r="F38" i="71" s="1"/>
  <c r="F39" i="71" s="1"/>
  <c r="F40" i="71" s="1"/>
  <c r="V40" i="71" s="1"/>
  <c r="P37" i="71"/>
  <c r="O37" i="71"/>
  <c r="N37" i="71"/>
  <c r="D37" i="71"/>
  <c r="Q36" i="71"/>
  <c r="P36" i="71"/>
  <c r="O36" i="71"/>
  <c r="Y36" i="71" s="1"/>
  <c r="Z36" i="71" s="1"/>
  <c r="N36" i="71"/>
  <c r="X35" i="71" s="1"/>
  <c r="Q35" i="71"/>
  <c r="P35" i="71"/>
  <c r="O35" i="71"/>
  <c r="N35" i="71"/>
  <c r="Q34" i="71"/>
  <c r="AB34" i="71"/>
  <c r="P34" i="71"/>
  <c r="O34" i="71"/>
  <c r="N34" i="71"/>
  <c r="Q33" i="71"/>
  <c r="F34" i="71" s="1"/>
  <c r="F35" i="71" s="1"/>
  <c r="F36" i="71" s="1"/>
  <c r="V36" i="71" s="1"/>
  <c r="P33" i="71"/>
  <c r="O33" i="71"/>
  <c r="N33" i="71"/>
  <c r="D33" i="71"/>
  <c r="Q32" i="71"/>
  <c r="AB30" i="71" s="1"/>
  <c r="P32" i="71"/>
  <c r="O32" i="71"/>
  <c r="N32" i="71"/>
  <c r="Q31" i="71"/>
  <c r="AB31" i="71"/>
  <c r="P31" i="71"/>
  <c r="O31" i="71"/>
  <c r="N31" i="71"/>
  <c r="Q30" i="71"/>
  <c r="P30" i="71"/>
  <c r="O30" i="71"/>
  <c r="Y18" i="71" s="1"/>
  <c r="N30" i="71"/>
  <c r="Q29" i="71"/>
  <c r="P29" i="71"/>
  <c r="O29" i="71"/>
  <c r="N29" i="71"/>
  <c r="D29" i="71"/>
  <c r="O28" i="71"/>
  <c r="N28" i="71"/>
  <c r="B30" i="71"/>
  <c r="B31" i="71"/>
  <c r="B32" i="71" s="1"/>
  <c r="S32" i="71" s="1"/>
  <c r="E30" i="71"/>
  <c r="B34" i="71"/>
  <c r="B35" i="71"/>
  <c r="B36" i="71"/>
  <c r="S36" i="71"/>
  <c r="E38" i="71"/>
  <c r="C30" i="71"/>
  <c r="C34" i="71"/>
  <c r="AB33" i="71"/>
  <c r="C38" i="71"/>
  <c r="D38" i="71" s="1"/>
  <c r="Y37" i="71"/>
  <c r="Z37" i="71" s="1"/>
  <c r="V52" i="71"/>
  <c r="C28" i="71"/>
  <c r="T28" i="71" s="1"/>
  <c r="B28" i="71"/>
  <c r="B27" i="71" s="1"/>
  <c r="B26" i="71"/>
  <c r="X25" i="71"/>
  <c r="D30" i="71"/>
  <c r="C39" i="71"/>
  <c r="D50" i="71"/>
  <c r="P28" i="71"/>
  <c r="AA27" i="71" s="1"/>
  <c r="U56" i="71"/>
  <c r="E59" i="71"/>
  <c r="E60" i="71" s="1"/>
  <c r="U60" i="71" s="1"/>
  <c r="E63" i="71"/>
  <c r="E64" i="71" s="1"/>
  <c r="U64" i="71" s="1"/>
  <c r="U68" i="71"/>
  <c r="E67" i="71"/>
  <c r="Q28" i="71"/>
  <c r="D62" i="71"/>
  <c r="Q67" i="71"/>
  <c r="T68" i="71"/>
  <c r="O68" i="71"/>
  <c r="D68" i="71"/>
  <c r="C67" i="71"/>
  <c r="Q68" i="71"/>
  <c r="C71" i="71"/>
  <c r="E71" i="71"/>
  <c r="E70" i="71" s="1"/>
  <c r="D72" i="71"/>
  <c r="C75" i="71"/>
  <c r="E75" i="71"/>
  <c r="E74" i="71" s="1"/>
  <c r="D76" i="71"/>
  <c r="C79" i="71"/>
  <c r="E79" i="71"/>
  <c r="E78" i="71" s="1"/>
  <c r="D80" i="71"/>
  <c r="C83" i="71"/>
  <c r="C87" i="71"/>
  <c r="D87" i="71" s="1"/>
  <c r="S28" i="71"/>
  <c r="F28" i="71"/>
  <c r="F27" i="71" s="1"/>
  <c r="F26" i="71" s="1"/>
  <c r="AB25" i="71"/>
  <c r="E28" i="71"/>
  <c r="D28" i="71"/>
  <c r="U28" i="71" s="1"/>
  <c r="C66" i="71"/>
  <c r="O67" i="71"/>
  <c r="D67" i="71"/>
  <c r="C64" i="71"/>
  <c r="T64" i="71" s="1"/>
  <c r="C86" i="71"/>
  <c r="D86" i="71" s="1"/>
  <c r="P67" i="71"/>
  <c r="E66" i="71"/>
  <c r="P65" i="71"/>
  <c r="P66" i="71"/>
  <c r="O66" i="71"/>
  <c r="D66" i="71"/>
  <c r="O65"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83" i="21" s="1"/>
  <c r="G83" i="21" s="1"/>
  <c r="F21" i="21"/>
  <c r="AA21" i="21"/>
  <c r="D81" i="21"/>
  <c r="G20" i="20"/>
  <c r="C22" i="20"/>
  <c r="B100" i="43" s="1"/>
  <c r="S25" i="40"/>
  <c r="S18" i="36"/>
  <c r="U18" i="36"/>
  <c r="H25" i="40"/>
  <c r="J25" i="40"/>
  <c r="H29" i="39"/>
  <c r="J29" i="39"/>
  <c r="AC29" i="39" s="1"/>
  <c r="J18" i="36"/>
  <c r="F68" i="35"/>
  <c r="G68" i="35" s="1"/>
  <c r="H18" i="35"/>
  <c r="U18" i="35" s="1"/>
  <c r="J18" i="35"/>
  <c r="W18" i="35" s="1"/>
  <c r="F77" i="37"/>
  <c r="H21" i="37"/>
  <c r="F21" i="37"/>
  <c r="H21" i="34"/>
  <c r="F83" i="33"/>
  <c r="H21" i="33"/>
  <c r="F21" i="33"/>
  <c r="S21" i="33" s="1"/>
  <c r="S21" i="21"/>
  <c r="H1" i="69"/>
  <c r="AC25" i="40"/>
  <c r="W25" i="40"/>
  <c r="AB25" i="40"/>
  <c r="U25" i="40"/>
  <c r="W29" i="39"/>
  <c r="AC18" i="36"/>
  <c r="W18" i="36"/>
  <c r="AB21" i="37"/>
  <c r="U21" i="37"/>
  <c r="AA21" i="37"/>
  <c r="S21" i="37"/>
  <c r="AB21" i="34"/>
  <c r="U21" i="34"/>
  <c r="U21" i="33"/>
  <c r="AB21" i="33"/>
  <c r="AA21" i="33"/>
  <c r="AB18" i="35"/>
  <c r="AC18" i="35"/>
  <c r="G77" i="37"/>
  <c r="J21" i="37"/>
  <c r="J21" i="34"/>
  <c r="W21" i="34" s="1"/>
  <c r="G83" i="33"/>
  <c r="J21" i="33"/>
  <c r="H21" i="21"/>
  <c r="U21" i="21" s="1"/>
  <c r="F38" i="69"/>
  <c r="E37" i="69"/>
  <c r="F36" i="69"/>
  <c r="F35" i="69"/>
  <c r="F21" i="69"/>
  <c r="F40" i="69" s="1"/>
  <c r="F20" i="69"/>
  <c r="F39" i="69" s="1"/>
  <c r="E10" i="69"/>
  <c r="E9" i="69"/>
  <c r="AC21" i="37"/>
  <c r="W21" i="37"/>
  <c r="AC21" i="34"/>
  <c r="AC21" i="33"/>
  <c r="W21" i="33"/>
  <c r="AB21"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F8" i="1" s="1"/>
  <c r="G8" i="1" s="1"/>
  <c r="A7" i="1"/>
  <c r="B7" i="1" s="1"/>
  <c r="E7" i="1" s="1"/>
  <c r="A8" i="1"/>
  <c r="B8" i="1" s="1"/>
  <c r="E8" i="1" s="1"/>
  <c r="A9" i="1"/>
  <c r="A10" i="1"/>
  <c r="A11" i="1"/>
  <c r="B11" i="1" s="1"/>
  <c r="E11" i="1" s="1"/>
  <c r="A12" i="1"/>
  <c r="A13" i="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S31" i="35" s="1"/>
  <c r="D87" i="35"/>
  <c r="E87" i="35" s="1"/>
  <c r="F87" i="35"/>
  <c r="G87" i="35"/>
  <c r="H87" i="35" s="1"/>
  <c r="I87" i="35" s="1"/>
  <c r="J87" i="35" s="1"/>
  <c r="K87" i="35" s="1"/>
  <c r="L87" i="35"/>
  <c r="M87" i="35" s="1"/>
  <c r="H34" i="37"/>
  <c r="D101" i="37"/>
  <c r="F34" i="37"/>
  <c r="D99" i="37"/>
  <c r="E99" i="37"/>
  <c r="F99" i="37" s="1"/>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H40" i="40" s="1"/>
  <c r="B118" i="40"/>
  <c r="J39" i="40" s="1"/>
  <c r="B116" i="40"/>
  <c r="H38" i="40" s="1"/>
  <c r="F38" i="40"/>
  <c r="D115" i="40"/>
  <c r="E115" i="40"/>
  <c r="F115" i="40"/>
  <c r="G115" i="40" s="1"/>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s="1"/>
  <c r="F96" i="40" s="1"/>
  <c r="G96" i="40" s="1"/>
  <c r="H96" i="40" s="1"/>
  <c r="I96" i="40"/>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AB40" i="40"/>
  <c r="F40" i="40"/>
  <c r="AA40" i="40" s="1"/>
  <c r="Q39" i="40"/>
  <c r="Z39" i="40"/>
  <c r="H39" i="40"/>
  <c r="U39" i="40" s="1"/>
  <c r="Q38" i="40"/>
  <c r="Z38" i="40"/>
  <c r="J38" i="40"/>
  <c r="AC38" i="40" s="1"/>
  <c r="AB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E89" i="37" s="1"/>
  <c r="F89" i="37" s="1"/>
  <c r="B86" i="37"/>
  <c r="B84" i="37"/>
  <c r="H27" i="37"/>
  <c r="U27" i="37"/>
  <c r="B82" i="37"/>
  <c r="H26" i="37" s="1"/>
  <c r="AB26" i="37" s="1"/>
  <c r="D79" i="37"/>
  <c r="E79" i="37"/>
  <c r="D75" i="37"/>
  <c r="E75" i="37" s="1"/>
  <c r="D73" i="37"/>
  <c r="E73" i="37"/>
  <c r="F73" i="37"/>
  <c r="D71" i="37"/>
  <c r="H15" i="37"/>
  <c r="AB15" i="37"/>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c r="F81" i="36"/>
  <c r="G81" i="36" s="1"/>
  <c r="H81" i="36" s="1"/>
  <c r="I81" i="36" s="1"/>
  <c r="J81" i="36" s="1"/>
  <c r="K81" i="36"/>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c r="B59" i="36"/>
  <c r="B57" i="36"/>
  <c r="J12" i="36" s="1"/>
  <c r="B55" i="36"/>
  <c r="C51" i="36"/>
  <c r="P37" i="36"/>
  <c r="P36" i="36"/>
  <c r="V35" i="36"/>
  <c r="T35" i="36"/>
  <c r="R35" i="36"/>
  <c r="P35" i="36"/>
  <c r="Q34" i="36"/>
  <c r="Z34" i="36"/>
  <c r="Q33" i="36"/>
  <c r="Z33" i="36" s="1"/>
  <c r="Q32" i="36"/>
  <c r="Z32" i="36"/>
  <c r="Q31" i="36"/>
  <c r="Z31" i="36" s="1"/>
  <c r="Q30" i="36"/>
  <c r="Z30" i="36" s="1"/>
  <c r="AC30" i="36"/>
  <c r="Q29" i="36"/>
  <c r="Z29" i="36"/>
  <c r="Q28" i="36"/>
  <c r="Z28" i="36"/>
  <c r="J28" i="36"/>
  <c r="AC28" i="36" s="1"/>
  <c r="Q27" i="36"/>
  <c r="Z27" i="36" s="1"/>
  <c r="Q26" i="36"/>
  <c r="Z26" i="36" s="1"/>
  <c r="H26" i="36"/>
  <c r="AB26" i="36" s="1"/>
  <c r="Q25" i="36"/>
  <c r="Z25" i="36" s="1"/>
  <c r="Q24" i="36"/>
  <c r="Z24" i="36"/>
  <c r="H24" i="36"/>
  <c r="AB24" i="36" s="1"/>
  <c r="Q23" i="36"/>
  <c r="Z23" i="36"/>
  <c r="J23" i="36"/>
  <c r="AC23" i="36" s="1"/>
  <c r="H23" i="36"/>
  <c r="AB23" i="36" s="1"/>
  <c r="F23" i="36"/>
  <c r="AA23" i="36" s="1"/>
  <c r="Q22" i="36"/>
  <c r="Z22" i="36" s="1"/>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F47" i="34" s="1"/>
  <c r="B129" i="34"/>
  <c r="B127" i="34"/>
  <c r="B99" i="34"/>
  <c r="B97" i="34"/>
  <c r="H31" i="34" s="1"/>
  <c r="B95" i="34"/>
  <c r="B93" i="34"/>
  <c r="B75" i="34"/>
  <c r="B73" i="34"/>
  <c r="B71" i="34"/>
  <c r="J12" i="34" s="1"/>
  <c r="W12" i="34" s="1"/>
  <c r="B130" i="33"/>
  <c r="B128" i="33"/>
  <c r="B126" i="33"/>
  <c r="F44" i="33" s="1"/>
  <c r="AA44" i="33" s="1"/>
  <c r="B98" i="33"/>
  <c r="B96" i="33"/>
  <c r="B94" i="33"/>
  <c r="B74" i="33"/>
  <c r="B72" i="33"/>
  <c r="B70" i="33"/>
  <c r="J12" i="33" s="1"/>
  <c r="D96" i="35"/>
  <c r="E96" i="35"/>
  <c r="F96" i="35" s="1"/>
  <c r="G96" i="35" s="1"/>
  <c r="D94" i="35"/>
  <c r="E94" i="35"/>
  <c r="F94" i="35"/>
  <c r="G94" i="35" s="1"/>
  <c r="H94" i="35" s="1"/>
  <c r="I94" i="35" s="1"/>
  <c r="J94" i="35" s="1"/>
  <c r="K94" i="35" s="1"/>
  <c r="L94" i="35"/>
  <c r="M94" i="35" s="1"/>
  <c r="D84" i="35"/>
  <c r="E84" i="35" s="1"/>
  <c r="F84" i="35"/>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c r="G66" i="35" s="1"/>
  <c r="D64" i="35"/>
  <c r="E64" i="35" s="1"/>
  <c r="F64" i="35"/>
  <c r="G64" i="35"/>
  <c r="J14" i="35"/>
  <c r="W14" i="35" s="1"/>
  <c r="C53" i="35"/>
  <c r="J9" i="35"/>
  <c r="P39" i="35"/>
  <c r="P38" i="35"/>
  <c r="V37" i="35"/>
  <c r="T37" i="35"/>
  <c r="R37" i="35"/>
  <c r="P37" i="35"/>
  <c r="Q36" i="35"/>
  <c r="Z36" i="35"/>
  <c r="J36" i="35"/>
  <c r="AC36" i="35" s="1"/>
  <c r="Q35" i="35"/>
  <c r="Z35" i="35" s="1"/>
  <c r="Q34" i="35"/>
  <c r="Z34" i="35" s="1"/>
  <c r="J34" i="35"/>
  <c r="H34" i="35"/>
  <c r="AB34" i="35" s="1"/>
  <c r="F34" i="35"/>
  <c r="AA34" i="35"/>
  <c r="Q33" i="35"/>
  <c r="Z33" i="35" s="1"/>
  <c r="Q32" i="35"/>
  <c r="Z32" i="35"/>
  <c r="H32" i="35"/>
  <c r="AB32" i="35" s="1"/>
  <c r="F32" i="35"/>
  <c r="AA32" i="35" s="1"/>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H12" i="35"/>
  <c r="U12" i="35" s="1"/>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c r="K124" i="34" s="1"/>
  <c r="L124" i="34" s="1"/>
  <c r="M124" i="34" s="1"/>
  <c r="H43" i="34"/>
  <c r="AB43" i="34"/>
  <c r="D118" i="34"/>
  <c r="E118" i="34" s="1"/>
  <c r="F118" i="34" s="1"/>
  <c r="G118" i="34" s="1"/>
  <c r="D116" i="34"/>
  <c r="E116" i="34" s="1"/>
  <c r="F116" i="34" s="1"/>
  <c r="G116" i="34" s="1"/>
  <c r="H116" i="34" s="1"/>
  <c r="I116" i="34" s="1"/>
  <c r="J116" i="34"/>
  <c r="K116" i="34" s="1"/>
  <c r="L116" i="34" s="1"/>
  <c r="M116" i="34" s="1"/>
  <c r="F110" i="34"/>
  <c r="E110" i="34"/>
  <c r="D110" i="34"/>
  <c r="C110" i="34"/>
  <c r="D109" i="34"/>
  <c r="E109" i="34"/>
  <c r="F109" i="34" s="1"/>
  <c r="G109" i="34" s="1"/>
  <c r="H109" i="34" s="1"/>
  <c r="I109" i="34" s="1"/>
  <c r="J109" i="34"/>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s="1"/>
  <c r="F78" i="34"/>
  <c r="G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F12" i="34"/>
  <c r="S12" i="34" s="1"/>
  <c r="Q11" i="34"/>
  <c r="Z11" i="34"/>
  <c r="Q10" i="34"/>
  <c r="Z10" i="34" s="1"/>
  <c r="Q9" i="34"/>
  <c r="Z9" i="34"/>
  <c r="J9" i="34"/>
  <c r="AC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c r="Q44" i="33"/>
  <c r="Z44" i="33" s="1"/>
  <c r="Q43" i="33"/>
  <c r="Z43" i="33"/>
  <c r="Q42" i="33"/>
  <c r="Z42" i="33" s="1"/>
  <c r="J42" i="33"/>
  <c r="AC42" i="33"/>
  <c r="Q41" i="33"/>
  <c r="Z41" i="33"/>
  <c r="Q40" i="33"/>
  <c r="Z40" i="33" s="1"/>
  <c r="J40" i="33"/>
  <c r="AC40" i="33"/>
  <c r="H40" i="33"/>
  <c r="AB40" i="33" s="1"/>
  <c r="Q39" i="33"/>
  <c r="Z39" i="33"/>
  <c r="J39" i="33"/>
  <c r="AC39" i="33" s="1"/>
  <c r="Q38" i="33"/>
  <c r="Z38" i="33"/>
  <c r="J38" i="33"/>
  <c r="AC38" i="33" s="1"/>
  <c r="H38" i="33"/>
  <c r="AB38" i="33" s="1"/>
  <c r="F38" i="33"/>
  <c r="AA38" i="33" s="1"/>
  <c r="Q37" i="33"/>
  <c r="Z37" i="33" s="1"/>
  <c r="Q36" i="33"/>
  <c r="Z36" i="33"/>
  <c r="Q35" i="33"/>
  <c r="Z35" i="33" s="1"/>
  <c r="H35" i="33"/>
  <c r="AB35" i="33"/>
  <c r="Q34" i="33"/>
  <c r="Z34" i="33" s="1"/>
  <c r="Q33" i="33"/>
  <c r="Z33" i="33"/>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C20" i="20"/>
  <c r="B101" i="43" s="1"/>
  <c r="C18" i="20"/>
  <c r="B94" i="43" s="1"/>
  <c r="B73" i="43"/>
  <c r="C17" i="20"/>
  <c r="B61" i="43" s="1"/>
  <c r="C16" i="20"/>
  <c r="C17" i="39"/>
  <c r="C15" i="20"/>
  <c r="B72" i="43" s="1"/>
  <c r="E54" i="21"/>
  <c r="F54" i="21" s="1"/>
  <c r="I54" i="21"/>
  <c r="J54" i="21" s="1"/>
  <c r="G54" i="21"/>
  <c r="H54" i="21" s="1"/>
  <c r="D125" i="21"/>
  <c r="E125" i="21"/>
  <c r="F125" i="2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c r="D111" i="21"/>
  <c r="E111" i="21"/>
  <c r="F111" i="21"/>
  <c r="C111" i="21"/>
  <c r="D79" i="21"/>
  <c r="E79" i="21" s="1"/>
  <c r="F79" i="21" s="1"/>
  <c r="G79" i="21" s="1"/>
  <c r="D85" i="21"/>
  <c r="F19" i="21"/>
  <c r="AA19" i="21"/>
  <c r="E81" i="21"/>
  <c r="F81" i="21" s="1"/>
  <c r="G81" i="21" s="1"/>
  <c r="D77" i="21"/>
  <c r="E77" i="21"/>
  <c r="B130" i="21"/>
  <c r="J46" i="21" s="1"/>
  <c r="B128" i="21"/>
  <c r="J45" i="21"/>
  <c r="W45" i="21"/>
  <c r="B126" i="21"/>
  <c r="J44" i="21" s="1"/>
  <c r="B98" i="21"/>
  <c r="H31" i="21"/>
  <c r="B96" i="21"/>
  <c r="F30" i="21" s="1"/>
  <c r="B94" i="21"/>
  <c r="J29" i="21" s="1"/>
  <c r="AC29" i="21" s="1"/>
  <c r="B92" i="21"/>
  <c r="B90" i="21"/>
  <c r="J27" i="21" s="1"/>
  <c r="W27" i="21" s="1"/>
  <c r="B74" i="21"/>
  <c r="F14" i="21" s="1"/>
  <c r="B72" i="21"/>
  <c r="H13" i="21" s="1"/>
  <c r="B70" i="21"/>
  <c r="F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J26" i="21"/>
  <c r="W26" i="21"/>
  <c r="F26" i="21"/>
  <c r="S26" i="21"/>
  <c r="AB41" i="21"/>
  <c r="F45" i="39"/>
  <c r="S45" i="39" s="1"/>
  <c r="J45" i="39"/>
  <c r="W45" i="39"/>
  <c r="J44" i="39"/>
  <c r="AC44" i="39" s="1"/>
  <c r="F36" i="39"/>
  <c r="S36" i="39"/>
  <c r="H36" i="39"/>
  <c r="F35" i="39"/>
  <c r="AA35" i="39" s="1"/>
  <c r="J36" i="39"/>
  <c r="AC36" i="39"/>
  <c r="U9" i="39"/>
  <c r="U30" i="37"/>
  <c r="W31" i="37"/>
  <c r="E103" i="37"/>
  <c r="F103" i="37"/>
  <c r="G103" i="37"/>
  <c r="H103" i="37"/>
  <c r="I103" i="37" s="1"/>
  <c r="J103" i="37" s="1"/>
  <c r="K103" i="37" s="1"/>
  <c r="L103" i="37" s="1"/>
  <c r="M103" i="37" s="1"/>
  <c r="F39" i="37"/>
  <c r="S39" i="37"/>
  <c r="F29" i="36"/>
  <c r="AA29" i="36" s="1"/>
  <c r="F16" i="36"/>
  <c r="AA16" i="36"/>
  <c r="W28" i="36"/>
  <c r="U31" i="36"/>
  <c r="J33" i="36"/>
  <c r="AC33" i="36" s="1"/>
  <c r="H22" i="35"/>
  <c r="AB22" i="35" s="1"/>
  <c r="AC27" i="35"/>
  <c r="W28" i="35"/>
  <c r="U31" i="35"/>
  <c r="S34" i="35"/>
  <c r="W22" i="35"/>
  <c r="U34" i="35"/>
  <c r="F36" i="34"/>
  <c r="S36" i="34" s="1"/>
  <c r="J35" i="34"/>
  <c r="H39" i="33"/>
  <c r="AB39" i="33" s="1"/>
  <c r="F26" i="33"/>
  <c r="AA26" i="33"/>
  <c r="U33" i="33"/>
  <c r="U35" i="33"/>
  <c r="S40" i="33"/>
  <c r="W39" i="33"/>
  <c r="H39" i="37"/>
  <c r="AB39" i="37" s="1"/>
  <c r="S27" i="35"/>
  <c r="F11" i="40"/>
  <c r="AA11" i="40"/>
  <c r="H11" i="40"/>
  <c r="AB11" i="40"/>
  <c r="W8" i="40"/>
  <c r="AB39" i="40"/>
  <c r="AC9" i="40"/>
  <c r="U9" i="40"/>
  <c r="U38"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c r="J21" i="40"/>
  <c r="W21" i="40"/>
  <c r="H42" i="39"/>
  <c r="AB42" i="39" s="1"/>
  <c r="J34" i="39"/>
  <c r="AC34" i="39" s="1"/>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12" i="33"/>
  <c r="AB12" i="35"/>
  <c r="AB12" i="36"/>
  <c r="W32" i="40"/>
  <c r="F37" i="39"/>
  <c r="AA37" i="39"/>
  <c r="J34" i="36"/>
  <c r="W34" i="36" s="1"/>
  <c r="J30" i="35"/>
  <c r="W30" i="35" s="1"/>
  <c r="H30" i="35"/>
  <c r="AB30" i="35" s="1"/>
  <c r="F22" i="35"/>
  <c r="AA22" i="35" s="1"/>
  <c r="H10" i="35"/>
  <c r="U10" i="35" s="1"/>
  <c r="AC16" i="36"/>
  <c r="F33" i="36"/>
  <c r="AA33" i="36" s="1"/>
  <c r="W30" i="36"/>
  <c r="H16" i="36"/>
  <c r="AB16" i="36" s="1"/>
  <c r="G85" i="36"/>
  <c r="H85" i="36"/>
  <c r="I85" i="36" s="1"/>
  <c r="J85" i="36" s="1"/>
  <c r="K85" i="36"/>
  <c r="L85" i="36" s="1"/>
  <c r="M85" i="36" s="1"/>
  <c r="J29" i="36"/>
  <c r="AC29" i="36" s="1"/>
  <c r="F12" i="36"/>
  <c r="AA12" i="36" s="1"/>
  <c r="F24" i="36"/>
  <c r="AA24" i="36" s="1"/>
  <c r="F34" i="36"/>
  <c r="S34" i="36"/>
  <c r="F14" i="35"/>
  <c r="AA14" i="35" s="1"/>
  <c r="F23" i="35"/>
  <c r="AA23" i="35"/>
  <c r="J32" i="35"/>
  <c r="AC32" i="35" s="1"/>
  <c r="J16" i="35"/>
  <c r="AC16" i="35"/>
  <c r="H16" i="35"/>
  <c r="U16" i="35"/>
  <c r="F16" i="35"/>
  <c r="S16" i="35"/>
  <c r="H14" i="35"/>
  <c r="AB14" i="35"/>
  <c r="J29" i="35"/>
  <c r="H33" i="35"/>
  <c r="AB33" i="35"/>
  <c r="J20" i="35"/>
  <c r="W20" i="35" s="1"/>
  <c r="F35" i="37"/>
  <c r="S35" i="37"/>
  <c r="E101" i="37"/>
  <c r="F101" i="37" s="1"/>
  <c r="G101" i="37" s="1"/>
  <c r="H101" i="37"/>
  <c r="I101" i="37"/>
  <c r="J101" i="37" s="1"/>
  <c r="K101" i="37" s="1"/>
  <c r="L101" i="37"/>
  <c r="M101" i="37" s="1"/>
  <c r="J34" i="37"/>
  <c r="W34" i="37"/>
  <c r="AA39" i="37"/>
  <c r="AB34" i="37"/>
  <c r="J33" i="37"/>
  <c r="AC33" i="37" s="1"/>
  <c r="H40" i="34"/>
  <c r="U40" i="34"/>
  <c r="E114" i="34"/>
  <c r="H36" i="34"/>
  <c r="AB36" i="34" s="1"/>
  <c r="F37" i="34"/>
  <c r="AA37" i="34" s="1"/>
  <c r="F28" i="34"/>
  <c r="S28" i="34" s="1"/>
  <c r="F27" i="34"/>
  <c r="AA27" i="34" s="1"/>
  <c r="F25" i="34"/>
  <c r="S25" i="34"/>
  <c r="H23" i="34"/>
  <c r="U23" i="34" s="1"/>
  <c r="J23" i="34"/>
  <c r="F19" i="34"/>
  <c r="H17" i="34"/>
  <c r="U17" i="34" s="1"/>
  <c r="F15" i="34"/>
  <c r="AA15" i="34" s="1"/>
  <c r="J15" i="34"/>
  <c r="W15" i="34" s="1"/>
  <c r="H15" i="34"/>
  <c r="AB15" i="34" s="1"/>
  <c r="J28" i="34"/>
  <c r="AC28" i="34" s="1"/>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U33" i="35"/>
  <c r="F29" i="35"/>
  <c r="S29" i="35" s="1"/>
  <c r="H29" i="35"/>
  <c r="AB29" i="35" s="1"/>
  <c r="H33" i="37"/>
  <c r="AB33" i="37" s="1"/>
  <c r="F33" i="37"/>
  <c r="AA33" i="37" s="1"/>
  <c r="U34" i="37"/>
  <c r="S34" i="37"/>
  <c r="AA34" i="37"/>
  <c r="J43" i="34"/>
  <c r="AC43" i="34" s="1"/>
  <c r="AB42" i="34"/>
  <c r="J40" i="34"/>
  <c r="F114" i="34"/>
  <c r="G114" i="34"/>
  <c r="H114" i="34"/>
  <c r="I114" i="34" s="1"/>
  <c r="J114" i="34" s="1"/>
  <c r="K114" i="34" s="1"/>
  <c r="L114" i="34" s="1"/>
  <c r="M114" i="34" s="1"/>
  <c r="H38" i="34"/>
  <c r="AB38" i="34"/>
  <c r="J36" i="34"/>
  <c r="W36" i="34" s="1"/>
  <c r="H37" i="34"/>
  <c r="U37" i="34" s="1"/>
  <c r="H25" i="34"/>
  <c r="AB25" i="34"/>
  <c r="J25" i="34"/>
  <c r="AC25" i="34"/>
  <c r="AB23" i="34"/>
  <c r="F23" i="34"/>
  <c r="AA23" i="34" s="1"/>
  <c r="J19" i="34"/>
  <c r="AC19" i="34"/>
  <c r="F17" i="34"/>
  <c r="AA17" i="34" s="1"/>
  <c r="J17" i="34"/>
  <c r="W17" i="34"/>
  <c r="AB17" i="34"/>
  <c r="S15" i="34"/>
  <c r="S41" i="33"/>
  <c r="H37" i="33"/>
  <c r="AB37" i="33" s="1"/>
  <c r="H15" i="33"/>
  <c r="AB15" i="33"/>
  <c r="H11" i="33"/>
  <c r="AB11" i="33" s="1"/>
  <c r="F28" i="40"/>
  <c r="AA28" i="40"/>
  <c r="AA42" i="34"/>
  <c r="S42" i="34"/>
  <c r="AC38" i="34"/>
  <c r="AA38" i="34"/>
  <c r="J37" i="34"/>
  <c r="AC37" i="34" s="1"/>
  <c r="J11" i="33"/>
  <c r="W11" i="33" s="1"/>
  <c r="U23" i="40"/>
  <c r="G123" i="21"/>
  <c r="H123" i="21" s="1"/>
  <c r="I123" i="21" s="1"/>
  <c r="J123" i="21" s="1"/>
  <c r="K123" i="21" s="1"/>
  <c r="L123" i="21" s="1"/>
  <c r="M123" i="21" s="1"/>
  <c r="J42" i="21"/>
  <c r="AC42" i="21"/>
  <c r="H42" i="21"/>
  <c r="U42" i="21"/>
  <c r="J44" i="34"/>
  <c r="F44" i="34"/>
  <c r="AA44" i="34" s="1"/>
  <c r="J10" i="35"/>
  <c r="AC10" i="35" s="1"/>
  <c r="BL587" i="3"/>
  <c r="J14" i="21"/>
  <c r="W14" i="21" s="1"/>
  <c r="S14" i="21"/>
  <c r="H14" i="21"/>
  <c r="U14" i="21" s="1"/>
  <c r="F28" i="21"/>
  <c r="AA28" i="21" s="1"/>
  <c r="H30" i="21"/>
  <c r="U30" i="21" s="1"/>
  <c r="S30" i="21"/>
  <c r="J30" i="21"/>
  <c r="AC30" i="21" s="1"/>
  <c r="AC44" i="21"/>
  <c r="H44" i="21"/>
  <c r="U44" i="21" s="1"/>
  <c r="H46" i="21"/>
  <c r="U46" i="21" s="1"/>
  <c r="W46" i="21"/>
  <c r="F46" i="21"/>
  <c r="AA46" i="21" s="1"/>
  <c r="E119" i="21"/>
  <c r="F119" i="2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J13" i="33"/>
  <c r="H13" i="33"/>
  <c r="U13" i="33" s="1"/>
  <c r="F13" i="33"/>
  <c r="S13" i="33" s="1"/>
  <c r="J29" i="33"/>
  <c r="W29" i="33" s="1"/>
  <c r="AC29" i="33"/>
  <c r="H29" i="33"/>
  <c r="U29" i="33" s="1"/>
  <c r="F29" i="33"/>
  <c r="S29" i="33"/>
  <c r="J31" i="33"/>
  <c r="H31" i="33"/>
  <c r="F31" i="33"/>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G89" i="37"/>
  <c r="H89" i="37"/>
  <c r="I89" i="37" s="1"/>
  <c r="J89" i="37" s="1"/>
  <c r="K89" i="37"/>
  <c r="L89" i="37"/>
  <c r="M89" i="37" s="1"/>
  <c r="J29" i="37"/>
  <c r="W29" i="37"/>
  <c r="F29" i="37"/>
  <c r="S29" i="37" s="1"/>
  <c r="F105" i="37"/>
  <c r="G105" i="37" s="1"/>
  <c r="H36" i="37"/>
  <c r="AB36" i="37"/>
  <c r="J37" i="37"/>
  <c r="AC37" i="37"/>
  <c r="H37" i="37"/>
  <c r="U37" i="37" s="1"/>
  <c r="H40" i="37"/>
  <c r="U40" i="37"/>
  <c r="J40" i="37"/>
  <c r="AC40" i="37" s="1"/>
  <c r="F40" i="37"/>
  <c r="AA40" i="37"/>
  <c r="AC12" i="40"/>
  <c r="F14" i="33"/>
  <c r="H30" i="33"/>
  <c r="AB30" i="33"/>
  <c r="F30" i="33"/>
  <c r="J30" i="33"/>
  <c r="H44" i="33"/>
  <c r="J44" i="33"/>
  <c r="AC44" i="33" s="1"/>
  <c r="S44" i="33"/>
  <c r="J46" i="33"/>
  <c r="AC46" i="33" s="1"/>
  <c r="F46" i="33"/>
  <c r="AA46" i="33"/>
  <c r="H46" i="33"/>
  <c r="J13" i="34"/>
  <c r="W13" i="34" s="1"/>
  <c r="J29" i="34"/>
  <c r="F29" i="34"/>
  <c r="S29" i="34" s="1"/>
  <c r="H29" i="34"/>
  <c r="U29" i="34" s="1"/>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S38" i="37" s="1"/>
  <c r="H43" i="39"/>
  <c r="J14" i="39"/>
  <c r="AC14" i="39" s="1"/>
  <c r="F14" i="39"/>
  <c r="H14" i="39"/>
  <c r="AB14" i="39"/>
  <c r="F12" i="40"/>
  <c r="S12" i="40"/>
  <c r="H12" i="40"/>
  <c r="AB12" i="40"/>
  <c r="H30" i="40"/>
  <c r="AB30" i="40"/>
  <c r="F33" i="40"/>
  <c r="AA33" i="40"/>
  <c r="H33" i="40"/>
  <c r="U33" i="40"/>
  <c r="J35" i="40"/>
  <c r="AC35" i="40" s="1"/>
  <c r="J37" i="40"/>
  <c r="AC37" i="40"/>
  <c r="H13" i="40"/>
  <c r="U13" i="40" s="1"/>
  <c r="J13" i="40"/>
  <c r="W13" i="40"/>
  <c r="F13" i="40"/>
  <c r="AA13" i="40" s="1"/>
  <c r="F27" i="37"/>
  <c r="AA27" i="37"/>
  <c r="F13" i="39"/>
  <c r="J13" i="39"/>
  <c r="W13" i="39" s="1"/>
  <c r="H13" i="39"/>
  <c r="H14" i="40"/>
  <c r="AB14" i="40" s="1"/>
  <c r="J14" i="40"/>
  <c r="W14" i="40"/>
  <c r="F14" i="40"/>
  <c r="AA14" i="40" s="1"/>
  <c r="J27" i="37"/>
  <c r="AC27" i="37" s="1"/>
  <c r="AA13" i="35"/>
  <c r="U31" i="34"/>
  <c r="J36" i="37"/>
  <c r="AC36" i="37" s="1"/>
  <c r="J10" i="36"/>
  <c r="AC10" i="36" s="1"/>
  <c r="AB26" i="33"/>
  <c r="AB30" i="21"/>
  <c r="AC13" i="36"/>
  <c r="W13" i="36"/>
  <c r="AC30" i="34"/>
  <c r="AA14" i="34"/>
  <c r="AB31" i="33"/>
  <c r="U31" i="33"/>
  <c r="S44" i="34"/>
  <c r="BA586" i="3"/>
  <c r="F17" i="21"/>
  <c r="AA17" i="21"/>
  <c r="H17" i="21"/>
  <c r="AB17" i="21" s="1"/>
  <c r="F15" i="21"/>
  <c r="S15" i="21"/>
  <c r="J41" i="39"/>
  <c r="W41" i="39" s="1"/>
  <c r="AC45" i="39"/>
  <c r="W44" i="39"/>
  <c r="W36" i="39"/>
  <c r="S35" i="39"/>
  <c r="G544" i="3"/>
  <c r="G540" i="3"/>
  <c r="G535" i="3"/>
  <c r="G532" i="3"/>
  <c r="G531" i="3"/>
  <c r="G527" i="3"/>
  <c r="G523" i="3"/>
  <c r="G518" i="3"/>
  <c r="G510" i="3"/>
  <c r="G508" i="3"/>
  <c r="G504" i="3"/>
  <c r="G496" i="3"/>
  <c r="G584" i="3"/>
  <c r="G580" i="3"/>
  <c r="G576" i="3"/>
  <c r="G572" i="3"/>
  <c r="G568" i="3"/>
  <c r="G564" i="3"/>
  <c r="G554" i="3"/>
  <c r="G550" i="3"/>
  <c r="BL584" i="3"/>
  <c r="BL576" i="3"/>
  <c r="BL572" i="3"/>
  <c r="BL568" i="3"/>
  <c r="BL564" i="3"/>
  <c r="BL560" i="3"/>
  <c r="BL554" i="3"/>
  <c r="BL546" i="3"/>
  <c r="BL542" i="3"/>
  <c r="BL538" i="3"/>
  <c r="BL534" i="3"/>
  <c r="BL530" i="3"/>
  <c r="BL522" i="3"/>
  <c r="AZ522" i="3" s="1"/>
  <c r="BL516" i="3"/>
  <c r="BL512" i="3"/>
  <c r="BL502" i="3"/>
  <c r="BL498" i="3"/>
  <c r="BL494" i="3"/>
  <c r="BL578" i="3"/>
  <c r="BL574" i="3"/>
  <c r="BL570" i="3"/>
  <c r="BL566" i="3"/>
  <c r="BL562" i="3"/>
  <c r="BL556" i="3"/>
  <c r="AZ556" i="3" s="1"/>
  <c r="BL552" i="3"/>
  <c r="BL544" i="3"/>
  <c r="BL540" i="3"/>
  <c r="BL536" i="3"/>
  <c r="G533" i="3"/>
  <c r="G529" i="3"/>
  <c r="BL528" i="3"/>
  <c r="G525" i="3"/>
  <c r="BL518" i="3"/>
  <c r="AZ518" i="3" s="1"/>
  <c r="BL514" i="3"/>
  <c r="BL510" i="3"/>
  <c r="BL500" i="3"/>
  <c r="AZ500" i="3" s="1"/>
  <c r="BL496" i="3"/>
  <c r="G493" i="3"/>
  <c r="BA582" i="3"/>
  <c r="BA580" i="3"/>
  <c r="BA578" i="3"/>
  <c r="AZ578" i="3"/>
  <c r="BA576" i="3"/>
  <c r="AZ576" i="3" s="1"/>
  <c r="BA574" i="3"/>
  <c r="AZ574" i="3" s="1"/>
  <c r="BA572" i="3"/>
  <c r="AZ572" i="3" s="1"/>
  <c r="BA570" i="3"/>
  <c r="AZ570" i="3"/>
  <c r="BA568" i="3"/>
  <c r="BA566" i="3"/>
  <c r="AZ566" i="3"/>
  <c r="BA564" i="3"/>
  <c r="AZ564" i="3" s="1"/>
  <c r="BA562" i="3"/>
  <c r="AZ562" i="3"/>
  <c r="BA560" i="3"/>
  <c r="AZ560" i="3" s="1"/>
  <c r="BA556" i="3"/>
  <c r="BA552" i="3"/>
  <c r="AZ552" i="3" s="1"/>
  <c r="BA548" i="3"/>
  <c r="BA546" i="3"/>
  <c r="BA544" i="3"/>
  <c r="AZ544" i="3" s="1"/>
  <c r="BA542" i="3"/>
  <c r="AZ542" i="3"/>
  <c r="BA540" i="3"/>
  <c r="AZ540" i="3" s="1"/>
  <c r="BA536" i="3"/>
  <c r="AZ536" i="3"/>
  <c r="BA532" i="3"/>
  <c r="BA528" i="3"/>
  <c r="AZ528" i="3" s="1"/>
  <c r="BA526" i="3"/>
  <c r="BA524" i="3"/>
  <c r="BA522" i="3"/>
  <c r="BA518" i="3"/>
  <c r="BA516" i="3"/>
  <c r="AZ516" i="3" s="1"/>
  <c r="BA514" i="3"/>
  <c r="BA512" i="3"/>
  <c r="AZ512" i="3"/>
  <c r="BA508" i="3"/>
  <c r="BA506" i="3"/>
  <c r="BA502" i="3"/>
  <c r="BA500" i="3"/>
  <c r="BA496" i="3"/>
  <c r="BA494" i="3"/>
  <c r="AZ494" i="3" s="1"/>
  <c r="BA583" i="3"/>
  <c r="BA581" i="3"/>
  <c r="BA579" i="3"/>
  <c r="BA577" i="3"/>
  <c r="BA575" i="3"/>
  <c r="BA573" i="3"/>
  <c r="BA571" i="3"/>
  <c r="AZ571" i="3" s="1"/>
  <c r="BA569" i="3"/>
  <c r="BA567" i="3"/>
  <c r="BA565" i="3"/>
  <c r="BA563" i="3"/>
  <c r="BA561" i="3"/>
  <c r="BA559" i="3"/>
  <c r="BA553" i="3"/>
  <c r="BA549" i="3"/>
  <c r="AZ549" i="3" s="1"/>
  <c r="BA547" i="3"/>
  <c r="BA545" i="3"/>
  <c r="BA543" i="3"/>
  <c r="BA541" i="3"/>
  <c r="BA539" i="3"/>
  <c r="BA535" i="3"/>
  <c r="BA533" i="3"/>
  <c r="BA531" i="3"/>
  <c r="BA527" i="3"/>
  <c r="BA525" i="3"/>
  <c r="BA523" i="3"/>
  <c r="BA517" i="3"/>
  <c r="AZ517" i="3" s="1"/>
  <c r="BA515" i="3"/>
  <c r="BA513" i="3"/>
  <c r="BA507" i="3"/>
  <c r="BA505" i="3"/>
  <c r="AZ505" i="3" s="1"/>
  <c r="BA503" i="3"/>
  <c r="BA499" i="3"/>
  <c r="BA497" i="3"/>
  <c r="BA495" i="3"/>
  <c r="AZ495" i="3" s="1"/>
  <c r="G583" i="3"/>
  <c r="G581" i="3"/>
  <c r="G579" i="3"/>
  <c r="G577" i="3"/>
  <c r="G575" i="3"/>
  <c r="G573" i="3"/>
  <c r="G571" i="3"/>
  <c r="G569" i="3"/>
  <c r="G567" i="3"/>
  <c r="G565" i="3"/>
  <c r="G563" i="3"/>
  <c r="G561" i="3"/>
  <c r="BL558" i="3"/>
  <c r="BA557" i="3"/>
  <c r="AC557" i="3"/>
  <c r="G557" i="3" s="1"/>
  <c r="BQ557" i="3"/>
  <c r="BQ583" i="3"/>
  <c r="BL583" i="3"/>
  <c r="AZ583" i="3" s="1"/>
  <c r="BQ581" i="3"/>
  <c r="BL581" i="3"/>
  <c r="BQ579" i="3"/>
  <c r="BL579" i="3" s="1"/>
  <c r="BQ577" i="3"/>
  <c r="BL577" i="3"/>
  <c r="AZ577" i="3"/>
  <c r="BQ575" i="3"/>
  <c r="BL575" i="3"/>
  <c r="AZ575" i="3"/>
  <c r="BQ573" i="3"/>
  <c r="BL573" i="3" s="1"/>
  <c r="AZ573" i="3" s="1"/>
  <c r="BQ571" i="3"/>
  <c r="BL571" i="3"/>
  <c r="BQ569" i="3"/>
  <c r="BL569" i="3" s="1"/>
  <c r="AZ569" i="3" s="1"/>
  <c r="BQ567" i="3"/>
  <c r="BL567" i="3"/>
  <c r="AZ567" i="3" s="1"/>
  <c r="BQ565" i="3"/>
  <c r="BL565" i="3" s="1"/>
  <c r="AZ565" i="3"/>
  <c r="BQ563" i="3"/>
  <c r="BL563" i="3" s="1"/>
  <c r="BQ561" i="3"/>
  <c r="BL561" i="3"/>
  <c r="AZ561" i="3"/>
  <c r="BQ559" i="3"/>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c r="BQ541" i="3"/>
  <c r="BL541" i="3" s="1"/>
  <c r="BQ539" i="3"/>
  <c r="BL539" i="3"/>
  <c r="AZ539" i="3"/>
  <c r="BQ537" i="3"/>
  <c r="BL537" i="3"/>
  <c r="BQ535" i="3"/>
  <c r="BQ533" i="3"/>
  <c r="BL533" i="3"/>
  <c r="BQ531" i="3"/>
  <c r="BL531" i="3" s="1"/>
  <c r="BQ529" i="3"/>
  <c r="BL529" i="3"/>
  <c r="BQ527" i="3"/>
  <c r="BQ525" i="3"/>
  <c r="BL525" i="3" s="1"/>
  <c r="BQ523" i="3"/>
  <c r="BL523" i="3"/>
  <c r="AZ523" i="3"/>
  <c r="AC521" i="3"/>
  <c r="G521" i="3"/>
  <c r="BQ521" i="3"/>
  <c r="BL521" i="3"/>
  <c r="BL520" i="3"/>
  <c r="G519" i="3"/>
  <c r="G517" i="3"/>
  <c r="G515" i="3"/>
  <c r="G513" i="3"/>
  <c r="G511" i="3"/>
  <c r="BQ519" i="3"/>
  <c r="BL519" i="3"/>
  <c r="BQ517" i="3"/>
  <c r="BL517" i="3"/>
  <c r="BQ515" i="3"/>
  <c r="BQ513" i="3"/>
  <c r="BL513" i="3"/>
  <c r="BQ511" i="3"/>
  <c r="BL511" i="3"/>
  <c r="AC509" i="3"/>
  <c r="BQ509" i="3"/>
  <c r="BL509" i="3"/>
  <c r="G507" i="3"/>
  <c r="G505" i="3"/>
  <c r="G503" i="3"/>
  <c r="G501" i="3"/>
  <c r="G499" i="3"/>
  <c r="G497" i="3"/>
  <c r="G495" i="3"/>
  <c r="BQ507" i="3"/>
  <c r="BL507" i="3"/>
  <c r="AZ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s="1"/>
  <c r="J25" i="21"/>
  <c r="AC25" i="21" s="1"/>
  <c r="E125" i="33"/>
  <c r="F125" i="33" s="1"/>
  <c r="G125" i="33" s="1"/>
  <c r="H43" i="33"/>
  <c r="AB43" i="33" s="1"/>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c r="F26" i="36"/>
  <c r="S26" i="36" s="1"/>
  <c r="H27" i="34"/>
  <c r="AB27" i="34" s="1"/>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J43" i="33"/>
  <c r="AC43" i="33"/>
  <c r="U43" i="33"/>
  <c r="S28" i="31"/>
  <c r="S27" i="31"/>
  <c r="S26" i="31"/>
  <c r="U14" i="40"/>
  <c r="U35" i="35"/>
  <c r="AA12" i="35"/>
  <c r="AB28" i="37"/>
  <c r="U33" i="37"/>
  <c r="U39" i="37"/>
  <c r="U26" i="37"/>
  <c r="AA13" i="33"/>
  <c r="AC45" i="33"/>
  <c r="U11" i="33"/>
  <c r="U19" i="21"/>
  <c r="W44" i="21"/>
  <c r="U26" i="21"/>
  <c r="AC46" i="21"/>
  <c r="AB38" i="21"/>
  <c r="F43" i="33"/>
  <c r="AA43" i="33" s="1"/>
  <c r="AC15" i="34"/>
  <c r="W16" i="35"/>
  <c r="H107" i="37"/>
  <c r="I107" i="37"/>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s="1"/>
  <c r="J15" i="37"/>
  <c r="W15" i="37"/>
  <c r="AT6" i="3"/>
  <c r="H5" i="3"/>
  <c r="AA25" i="21"/>
  <c r="H19" i="40"/>
  <c r="U19" i="40" s="1"/>
  <c r="F88" i="40"/>
  <c r="G88" i="40"/>
  <c r="F19" i="40"/>
  <c r="S19" i="40" s="1"/>
  <c r="AC13" i="40"/>
  <c r="AB33" i="40"/>
  <c r="W2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s="1"/>
  <c r="S11" i="39"/>
  <c r="G4" i="4"/>
  <c r="I4" i="4"/>
  <c r="A2" i="9"/>
  <c r="F61" i="43"/>
  <c r="H64" i="43" s="1"/>
  <c r="AZ20" i="3"/>
  <c r="AZ28" i="3"/>
  <c r="AZ497" i="3"/>
  <c r="BL549" i="3"/>
  <c r="AZ502" i="3"/>
  <c r="AZ514"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s="1"/>
  <c r="BL116" i="3"/>
  <c r="AZ116" i="3"/>
  <c r="G117" i="3"/>
  <c r="BA119" i="3"/>
  <c r="AZ119" i="3"/>
  <c r="BL120" i="3"/>
  <c r="G121" i="3"/>
  <c r="BA123" i="3"/>
  <c r="AZ123" i="3"/>
  <c r="BL124" i="3"/>
  <c r="G125" i="3"/>
  <c r="BA127" i="3"/>
  <c r="AZ127" i="3"/>
  <c r="BL128" i="3"/>
  <c r="G129" i="3"/>
  <c r="BA131" i="3"/>
  <c r="AZ131" i="3"/>
  <c r="BL132" i="3"/>
  <c r="AZ132" i="3" s="1"/>
  <c r="G133" i="3"/>
  <c r="BA135" i="3"/>
  <c r="AZ135" i="3" s="1"/>
  <c r="BL136" i="3"/>
  <c r="G137" i="3"/>
  <c r="BA139" i="3"/>
  <c r="AZ139" i="3" s="1"/>
  <c r="BL140" i="3"/>
  <c r="AZ140" i="3"/>
  <c r="G141" i="3"/>
  <c r="BA143" i="3"/>
  <c r="AZ143" i="3" s="1"/>
  <c r="BL144" i="3"/>
  <c r="AZ144" i="3" s="1"/>
  <c r="G145" i="3"/>
  <c r="BA147" i="3"/>
  <c r="AZ147" i="3" s="1"/>
  <c r="BL148" i="3"/>
  <c r="AZ148" i="3"/>
  <c r="G149" i="3"/>
  <c r="BA151" i="3"/>
  <c r="BL152" i="3"/>
  <c r="AZ152" i="3" s="1"/>
  <c r="G153" i="3"/>
  <c r="BA155" i="3"/>
  <c r="AZ155" i="3"/>
  <c r="BL156" i="3"/>
  <c r="AZ156" i="3" s="1"/>
  <c r="G157" i="3"/>
  <c r="BA159" i="3"/>
  <c r="AZ159" i="3"/>
  <c r="BL160" i="3"/>
  <c r="G161" i="3"/>
  <c r="BA163" i="3"/>
  <c r="AZ163" i="3"/>
  <c r="BL164" i="3"/>
  <c r="AZ164" i="3" s="1"/>
  <c r="G165" i="3"/>
  <c r="BA167" i="3"/>
  <c r="AZ167" i="3" s="1"/>
  <c r="BL168" i="3"/>
  <c r="G169" i="3"/>
  <c r="BA171" i="3"/>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G193" i="3"/>
  <c r="BA195" i="3"/>
  <c r="AZ195" i="3"/>
  <c r="BL196" i="3"/>
  <c r="AZ196" i="3" s="1"/>
  <c r="G197" i="3"/>
  <c r="BA199" i="3"/>
  <c r="AZ199" i="3" s="1"/>
  <c r="BL200" i="3"/>
  <c r="G201" i="3"/>
  <c r="BA203" i="3"/>
  <c r="AZ203" i="3" s="1"/>
  <c r="BL204" i="3"/>
  <c r="AZ204" i="3"/>
  <c r="AZ39" i="3"/>
  <c r="AZ43" i="3"/>
  <c r="AZ47" i="3"/>
  <c r="AZ55" i="3"/>
  <c r="AZ63" i="3"/>
  <c r="AZ71" i="3"/>
  <c r="AZ79" i="3"/>
  <c r="AZ83" i="3"/>
  <c r="AZ160" i="3"/>
  <c r="AZ168" i="3"/>
  <c r="AZ192" i="3"/>
  <c r="AZ200" i="3"/>
  <c r="AZ85" i="3"/>
  <c r="AZ93" i="3"/>
  <c r="AZ101" i="3"/>
  <c r="AZ120"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AZ342" i="3" s="1"/>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6" i="3"/>
  <c r="AZ154" i="3"/>
  <c r="AZ158" i="3"/>
  <c r="AZ166" i="3"/>
  <c r="AZ170" i="3"/>
  <c r="AZ174" i="3"/>
  <c r="AZ178" i="3"/>
  <c r="AZ182" i="3"/>
  <c r="AZ186" i="3"/>
  <c r="AZ190" i="3"/>
  <c r="AZ194" i="3"/>
  <c r="AZ198" i="3"/>
  <c r="AZ202" i="3"/>
  <c r="AZ206" i="3"/>
  <c r="BA16" i="3"/>
  <c r="AZ16" i="3"/>
  <c r="BL303" i="3"/>
  <c r="AZ303" i="3" s="1"/>
  <c r="G304" i="3"/>
  <c r="BA306" i="3"/>
  <c r="AZ306" i="3"/>
  <c r="BL307" i="3"/>
  <c r="AZ307" i="3" s="1"/>
  <c r="G308" i="3"/>
  <c r="BA310" i="3"/>
  <c r="AZ310" i="3" s="1"/>
  <c r="BL311" i="3"/>
  <c r="AZ311" i="3"/>
  <c r="G312" i="3"/>
  <c r="BA314" i="3"/>
  <c r="AZ314" i="3" s="1"/>
  <c r="BL315" i="3"/>
  <c r="AZ315" i="3"/>
  <c r="G316" i="3"/>
  <c r="BA318" i="3"/>
  <c r="AZ318" i="3"/>
  <c r="BL319" i="3"/>
  <c r="AZ319" i="3" s="1"/>
  <c r="G320" i="3"/>
  <c r="BA322" i="3"/>
  <c r="AZ322" i="3"/>
  <c r="BL323" i="3"/>
  <c r="AZ323" i="3" s="1"/>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14" i="3"/>
  <c r="AZ218"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9" i="3"/>
  <c r="AZ253" i="3"/>
  <c r="AZ257" i="3"/>
  <c r="AZ273" i="3"/>
  <c r="BA379" i="3"/>
  <c r="AZ379" i="3" s="1"/>
  <c r="BL380" i="3"/>
  <c r="G381" i="3"/>
  <c r="BA383" i="3"/>
  <c r="AZ383" i="3" s="1"/>
  <c r="BL384" i="3"/>
  <c r="G385" i="3"/>
  <c r="BA387" i="3"/>
  <c r="AZ387" i="3" s="1"/>
  <c r="BL388" i="3"/>
  <c r="G389" i="3"/>
  <c r="BA391" i="3"/>
  <c r="AZ391" i="3" s="1"/>
  <c r="BL392" i="3"/>
  <c r="G393" i="3"/>
  <c r="AZ263" i="3"/>
  <c r="AZ275" i="3"/>
  <c r="AZ279" i="3"/>
  <c r="AZ287" i="3"/>
  <c r="AZ291" i="3"/>
  <c r="AZ295" i="3"/>
  <c r="BO5" i="3"/>
  <c r="BM5" i="3"/>
  <c r="BJ5" i="3"/>
  <c r="BH5" i="3"/>
  <c r="BF5" i="3"/>
  <c r="BD5" i="3"/>
  <c r="AZ317" i="3"/>
  <c r="AZ325" i="3"/>
  <c r="AZ333" i="3"/>
  <c r="BQ5" i="3"/>
  <c r="F28" i="6" s="1"/>
  <c r="AC5" i="3"/>
  <c r="AZ496" i="3"/>
  <c r="G548" i="3"/>
  <c r="G538" i="3"/>
  <c r="G520" i="3"/>
  <c r="G502" i="3"/>
  <c r="BS5" i="3"/>
  <c r="BP5" i="3"/>
  <c r="BN5" i="3"/>
  <c r="AZ343" i="3"/>
  <c r="BK5" i="3"/>
  <c r="BI5" i="3"/>
  <c r="BG5" i="3"/>
  <c r="BE5" i="3"/>
  <c r="BC5" i="3"/>
  <c r="G17" i="3"/>
  <c r="BA17" i="3"/>
  <c r="BT5" i="3"/>
  <c r="AZ360" i="3"/>
  <c r="AZ364" i="3"/>
  <c r="BA15" i="3"/>
  <c r="AZ15" i="3"/>
  <c r="BB5" i="3"/>
  <c r="BR5" i="3"/>
  <c r="AZ388" i="3"/>
  <c r="AZ392" i="3"/>
  <c r="AZ394" i="3"/>
  <c r="AZ499" i="3"/>
  <c r="G509" i="3"/>
  <c r="BL493" i="3"/>
  <c r="AZ382" i="3"/>
  <c r="U36" i="40"/>
  <c r="F83" i="43"/>
  <c r="H85" i="43" s="1"/>
  <c r="F50" i="43"/>
  <c r="H54" i="43" s="1"/>
  <c r="F72" i="43"/>
  <c r="H75" i="43" s="1"/>
  <c r="U17" i="39"/>
  <c r="S14" i="35"/>
  <c r="U43" i="21"/>
  <c r="U35" i="21"/>
  <c r="AC35" i="2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s="1"/>
  <c r="AC33" i="40"/>
  <c r="F111" i="40"/>
  <c r="G111" i="40"/>
  <c r="H111" i="40" s="1"/>
  <c r="I111" i="40" s="1"/>
  <c r="J111" i="40" s="1"/>
  <c r="K111" i="40" s="1"/>
  <c r="L111" i="40" s="1"/>
  <c r="M111" i="40" s="1"/>
  <c r="H35" i="40"/>
  <c r="U35" i="40" s="1"/>
  <c r="AB35" i="40"/>
  <c r="AC29" i="35"/>
  <c r="W29" i="35"/>
  <c r="H35" i="37"/>
  <c r="U35" i="37"/>
  <c r="AC14" i="35"/>
  <c r="H20" i="35"/>
  <c r="U20" i="35"/>
  <c r="F20" i="35"/>
  <c r="AA20" i="35" s="1"/>
  <c r="AB29" i="36"/>
  <c r="U29" i="36"/>
  <c r="H32" i="37"/>
  <c r="AB32" i="37" s="1"/>
  <c r="F96" i="37"/>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AA34" i="33" s="1"/>
  <c r="S34" i="33"/>
  <c r="H34" i="33"/>
  <c r="U34" i="33" s="1"/>
  <c r="F35" i="33"/>
  <c r="AA35" i="33" s="1"/>
  <c r="S35" i="33"/>
  <c r="F39" i="34"/>
  <c r="S39" i="34" s="1"/>
  <c r="J39" i="34"/>
  <c r="AC39" i="34" s="1"/>
  <c r="F40" i="34"/>
  <c r="S40" i="34" s="1"/>
  <c r="F43" i="34"/>
  <c r="AA43" i="34"/>
  <c r="H44" i="34"/>
  <c r="AB44" i="34" s="1"/>
  <c r="AC38" i="39"/>
  <c r="F39" i="39"/>
  <c r="S39" i="39" s="1"/>
  <c r="J39" i="39"/>
  <c r="AC39" i="39" s="1"/>
  <c r="E96" i="39"/>
  <c r="F96" i="39" s="1"/>
  <c r="G96" i="39" s="1"/>
  <c r="AZ353" i="3"/>
  <c r="AZ386" i="3"/>
  <c r="C40" i="11"/>
  <c r="AZ215" i="3"/>
  <c r="AZ232" i="3"/>
  <c r="AZ243" i="3"/>
  <c r="AZ251" i="3"/>
  <c r="AZ256" i="3"/>
  <c r="AZ268" i="3"/>
  <c r="AZ271" i="3"/>
  <c r="AZ288" i="3"/>
  <c r="AZ130" i="3"/>
  <c r="AZ21" i="3"/>
  <c r="AZ29" i="3"/>
  <c r="AZ31" i="3"/>
  <c r="AZ42" i="3"/>
  <c r="AZ45" i="3"/>
  <c r="AZ50" i="3"/>
  <c r="AZ53" i="3"/>
  <c r="AZ58" i="3"/>
  <c r="AZ61" i="3"/>
  <c r="AZ66" i="3"/>
  <c r="AZ69" i="3"/>
  <c r="AZ74" i="3"/>
  <c r="AZ102"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28" i="3"/>
  <c r="AZ433" i="3"/>
  <c r="AZ465" i="3"/>
  <c r="W12" i="33"/>
  <c r="AC12" i="33"/>
  <c r="AA32" i="36"/>
  <c r="S32" i="36"/>
  <c r="AZ551" i="3"/>
  <c r="AZ408" i="3"/>
  <c r="AZ437" i="3"/>
  <c r="AZ441" i="3"/>
  <c r="AZ457" i="3"/>
  <c r="BL14" i="3"/>
  <c r="AZ266" i="3"/>
  <c r="U30" i="33"/>
  <c r="AC13" i="34"/>
  <c r="AA47" i="34"/>
  <c r="W28" i="37"/>
  <c r="S19" i="39"/>
  <c r="F12" i="33"/>
  <c r="H12" i="39"/>
  <c r="AB12" i="39"/>
  <c r="F39" i="40"/>
  <c r="AA39" i="40" s="1"/>
  <c r="BA14" i="3"/>
  <c r="AZ14" i="3" s="1"/>
  <c r="AZ213" i="3"/>
  <c r="AZ234" i="3"/>
  <c r="AZ281" i="3"/>
  <c r="AZ297" i="3"/>
  <c r="AZ157" i="3"/>
  <c r="AZ173" i="3"/>
  <c r="AZ181" i="3"/>
  <c r="AZ189" i="3"/>
  <c r="AZ197" i="3"/>
  <c r="AZ41" i="3"/>
  <c r="B12" i="1"/>
  <c r="E12" i="1" s="1"/>
  <c r="B10" i="1"/>
  <c r="E10" i="1" s="1"/>
  <c r="AZ88" i="3"/>
  <c r="AZ111" i="3"/>
  <c r="K12" i="1"/>
  <c r="M12" i="1" s="1"/>
  <c r="S13" i="1"/>
  <c r="AR13" i="1" s="1"/>
  <c r="R13" i="1"/>
  <c r="J51" i="67"/>
  <c r="AC34" i="33"/>
  <c r="B41" i="1"/>
  <c r="F48" i="9" s="1"/>
  <c r="O52" i="9" s="1"/>
  <c r="AB37" i="40"/>
  <c r="S35" i="40"/>
  <c r="AC36" i="40"/>
  <c r="W38" i="40"/>
  <c r="AA32" i="40"/>
  <c r="S17" i="40"/>
  <c r="S23" i="40"/>
  <c r="AC17" i="40"/>
  <c r="AC15" i="40"/>
  <c r="AA19" i="40"/>
  <c r="S28" i="40"/>
  <c r="U21" i="40"/>
  <c r="AB19" i="40"/>
  <c r="U37" i="39"/>
  <c r="S37" i="39"/>
  <c r="U35"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U44" i="34"/>
  <c r="U43" i="34"/>
  <c r="W41" i="34"/>
  <c r="AC42" i="34"/>
  <c r="S43" i="34"/>
  <c r="AB41" i="34"/>
  <c r="AA45" i="34"/>
  <c r="AA25" i="34"/>
  <c r="S17" i="34"/>
  <c r="AA29" i="34"/>
  <c r="S23" i="34"/>
  <c r="U15" i="34"/>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U25" i="33" s="1"/>
  <c r="F25" i="33"/>
  <c r="S25" i="33" s="1"/>
  <c r="J23" i="33"/>
  <c r="F85" i="33"/>
  <c r="H23" i="33"/>
  <c r="AB23" i="33" s="1"/>
  <c r="F81" i="33"/>
  <c r="G81" i="33" s="1"/>
  <c r="F19" i="33"/>
  <c r="S19" i="33" s="1"/>
  <c r="W19" i="33"/>
  <c r="J17" i="33"/>
  <c r="W17" i="33" s="1"/>
  <c r="F79" i="33"/>
  <c r="S15" i="33"/>
  <c r="W15" i="33"/>
  <c r="J10" i="33"/>
  <c r="W10" i="33" s="1"/>
  <c r="H10" i="33"/>
  <c r="U10" i="33" s="1"/>
  <c r="AC11" i="33"/>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BA13" i="3"/>
  <c r="BL17" i="3"/>
  <c r="AZ17" i="3"/>
  <c r="BL13" i="3"/>
  <c r="J56" i="9"/>
  <c r="J57" i="9" s="1"/>
  <c r="J59" i="9" s="1"/>
  <c r="J61" i="9" s="1"/>
  <c r="A24" i="51"/>
  <c r="B18" i="72" s="1"/>
  <c r="E5" i="6"/>
  <c r="E32" i="6"/>
  <c r="G1" i="68"/>
  <c r="E19" i="68"/>
  <c r="G22" i="69"/>
  <c r="G22" i="68"/>
  <c r="C6" i="43"/>
  <c r="B19" i="53"/>
  <c r="B37" i="72" s="1"/>
  <c r="C7" i="21"/>
  <c r="L20" i="6"/>
  <c r="K11" i="1"/>
  <c r="M11" i="1" s="1"/>
  <c r="O11" i="1" s="1"/>
  <c r="B9" i="1"/>
  <c r="E9" i="1" s="1"/>
  <c r="K7" i="1"/>
  <c r="M7" i="1" s="1"/>
  <c r="O7" i="1" s="1"/>
  <c r="P7" i="1" s="1"/>
  <c r="G1" i="67"/>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S37" i="34"/>
  <c r="U38" i="34"/>
  <c r="AC40" i="34"/>
  <c r="W40" i="34"/>
  <c r="AA19" i="34"/>
  <c r="S19" i="34"/>
  <c r="AA8" i="34"/>
  <c r="S8"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8" i="33"/>
  <c r="AB42" i="21"/>
  <c r="S45" i="2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S29" i="2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W31" i="21"/>
  <c r="S17" i="21"/>
  <c r="AA15" i="21"/>
  <c r="AC27" i="21"/>
  <c r="AC26" i="21"/>
  <c r="AB29" i="21"/>
  <c r="S28" i="21"/>
  <c r="AC34" i="21"/>
  <c r="W12" i="21"/>
  <c r="AB36" i="21"/>
  <c r="W30" i="40"/>
  <c r="C19" i="39"/>
  <c r="C15" i="40"/>
  <c r="C17" i="40"/>
  <c r="C23" i="40"/>
  <c r="C21" i="40"/>
  <c r="U30" i="40"/>
  <c r="B56" i="43"/>
  <c r="B51" i="43"/>
  <c r="B54" i="43"/>
  <c r="B58" i="43"/>
  <c r="B62" i="43"/>
  <c r="B65" i="43"/>
  <c r="D23" i="15"/>
  <c r="D22" i="15"/>
  <c r="E4" i="4"/>
  <c r="B5" i="62" s="1"/>
  <c r="B73" i="72" s="1"/>
  <c r="C4" i="4"/>
  <c r="S39" i="40"/>
  <c r="S12" i="33"/>
  <c r="AA12" i="33"/>
  <c r="J32" i="39"/>
  <c r="H32" i="39"/>
  <c r="AB32" i="39" s="1"/>
  <c r="S32"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AB41" i="33"/>
  <c r="H111" i="33"/>
  <c r="I111" i="33" s="1"/>
  <c r="J111" i="33" s="1"/>
  <c r="K111" i="33" s="1"/>
  <c r="L111" i="33" s="1"/>
  <c r="M111" i="33" s="1"/>
  <c r="J36" i="33"/>
  <c r="W36" i="33" s="1"/>
  <c r="H36" i="33"/>
  <c r="U36" i="33" s="1"/>
  <c r="S36" i="33"/>
  <c r="U27" i="33"/>
  <c r="AB27" i="33"/>
  <c r="J27" i="33"/>
  <c r="AC27" i="33" s="1"/>
  <c r="AA25" i="33"/>
  <c r="G87" i="33"/>
  <c r="H87" i="33" s="1"/>
  <c r="I87" i="33" s="1"/>
  <c r="J87" i="33" s="1"/>
  <c r="K87" i="33" s="1"/>
  <c r="L87" i="33" s="1"/>
  <c r="M87" i="33" s="1"/>
  <c r="J25" i="33"/>
  <c r="W25" i="33" s="1"/>
  <c r="F23" i="33"/>
  <c r="S23" i="33" s="1"/>
  <c r="G85" i="33"/>
  <c r="AC23" i="33"/>
  <c r="W23" i="33"/>
  <c r="AA19" i="33"/>
  <c r="H19" i="33"/>
  <c r="AB19" i="33" s="1"/>
  <c r="G79" i="33"/>
  <c r="H17" i="33"/>
  <c r="U17" i="33" s="1"/>
  <c r="F17" i="33"/>
  <c r="S17" i="33" s="1"/>
  <c r="S37" i="21"/>
  <c r="AA23" i="21"/>
  <c r="J23" i="21"/>
  <c r="H23" i="21"/>
  <c r="AP7" i="1"/>
  <c r="AB45" i="21"/>
  <c r="AB9" i="21"/>
  <c r="S32" i="21"/>
  <c r="W9" i="21"/>
  <c r="AC9" i="21"/>
  <c r="U32" i="21"/>
  <c r="U32" i="39"/>
  <c r="AC32" i="39"/>
  <c r="W32" i="39"/>
  <c r="AC23" i="37"/>
  <c r="J11" i="37"/>
  <c r="AC11" i="37" s="1"/>
  <c r="J11" i="34"/>
  <c r="W11" i="34" s="1"/>
  <c r="AB36" i="33"/>
  <c r="W27" i="33"/>
  <c r="AA23" i="33"/>
  <c r="U23" i="21"/>
  <c r="AB23" i="21"/>
  <c r="AC23" i="21"/>
  <c r="W23" i="21"/>
  <c r="H109" i="9"/>
  <c r="M49" i="9" s="1"/>
  <c r="H112" i="9"/>
  <c r="D21" i="53"/>
  <c r="B39" i="72" s="1"/>
  <c r="H111" i="9"/>
  <c r="D126" i="9" s="1"/>
  <c r="AD3" i="71"/>
  <c r="J1" i="73"/>
  <c r="H69" i="43"/>
  <c r="H50" i="43"/>
  <c r="D24" i="71"/>
  <c r="U24" i="71"/>
  <c r="S24" i="71"/>
  <c r="T24" i="71"/>
  <c r="AB22" i="71"/>
  <c r="X20" i="71"/>
  <c r="X19" i="71"/>
  <c r="AA20" i="71"/>
  <c r="AA19" i="71"/>
  <c r="X23" i="71"/>
  <c r="Z18" i="71"/>
  <c r="Y19" i="71"/>
  <c r="Z19" i="71" s="1"/>
  <c r="AB20" i="71"/>
  <c r="AB19" i="71"/>
  <c r="S20" i="71"/>
  <c r="Y20" i="71"/>
  <c r="Z20" i="71" s="1"/>
  <c r="X3" i="71"/>
  <c r="D5" i="73"/>
  <c r="F3" i="73"/>
  <c r="M6" i="67"/>
  <c r="M29" i="67"/>
  <c r="E2" i="69"/>
  <c r="F5" i="73"/>
  <c r="D4" i="73"/>
  <c r="F40" i="67"/>
  <c r="M23" i="67"/>
  <c r="M9" i="67"/>
  <c r="F13" i="67"/>
  <c r="B12" i="76"/>
  <c r="F42" i="67"/>
  <c r="F20" i="31"/>
  <c r="M28" i="67"/>
  <c r="J15" i="67"/>
  <c r="F7" i="67"/>
  <c r="B11" i="76"/>
  <c r="F7" i="73"/>
  <c r="M24" i="67"/>
  <c r="B13" i="76"/>
  <c r="AO13" i="1"/>
  <c r="L48" i="67"/>
  <c r="D35" i="9"/>
  <c r="F37" i="67"/>
  <c r="F16" i="67"/>
  <c r="B8" i="76"/>
  <c r="E12" i="76"/>
  <c r="F6" i="67"/>
  <c r="E9" i="76"/>
  <c r="E13" i="76"/>
  <c r="M22" i="67"/>
  <c r="F36" i="67"/>
  <c r="B10" i="76"/>
  <c r="D34" i="9"/>
  <c r="L47" i="67"/>
  <c r="F9" i="67"/>
  <c r="F4" i="73"/>
  <c r="F8" i="67"/>
  <c r="E2" i="68"/>
  <c r="E11" i="76"/>
  <c r="F38" i="67"/>
  <c r="E8" i="76"/>
  <c r="C76" i="67"/>
  <c r="B9" i="76"/>
  <c r="F6" i="73"/>
  <c r="M26" i="67"/>
  <c r="B7" i="76"/>
  <c r="M8" i="67"/>
  <c r="F26" i="67"/>
  <c r="E10" i="76"/>
  <c r="E7" i="76"/>
  <c r="F43" i="67"/>
  <c r="D6" i="73"/>
  <c r="H92" i="34" l="1"/>
  <c r="I92" i="34" s="1"/>
  <c r="J92" i="34" s="1"/>
  <c r="K92" i="34" s="1"/>
  <c r="L92" i="34" s="1"/>
  <c r="M92" i="34" s="1"/>
  <c r="H28" i="34"/>
  <c r="U28" i="34" s="1"/>
  <c r="AB35" i="34"/>
  <c r="W39" i="34"/>
  <c r="AA36" i="34"/>
  <c r="U36" i="34"/>
  <c r="U34" i="34"/>
  <c r="AA33" i="34"/>
  <c r="W33" i="34"/>
  <c r="U39" i="34"/>
  <c r="AA39" i="34"/>
  <c r="AC36" i="34"/>
  <c r="S35" i="34"/>
  <c r="AB33" i="34"/>
  <c r="W28" i="34"/>
  <c r="AA28" i="34"/>
  <c r="B69" i="43"/>
  <c r="B76" i="43"/>
  <c r="B67" i="43"/>
  <c r="B57" i="43"/>
  <c r="AB9" i="34"/>
  <c r="U9" i="34"/>
  <c r="F9" i="34"/>
  <c r="AA9" i="34" s="1"/>
  <c r="AB8" i="34"/>
  <c r="M18" i="67"/>
  <c r="F30" i="11"/>
  <c r="C48" i="11" s="1"/>
  <c r="M18" i="15"/>
  <c r="F32" i="15"/>
  <c r="F60" i="15" s="1"/>
  <c r="F52" i="9"/>
  <c r="F30" i="68"/>
  <c r="F48" i="68" s="1"/>
  <c r="F54" i="9"/>
  <c r="F30" i="69"/>
  <c r="F48" i="69" s="1"/>
  <c r="F31" i="12"/>
  <c r="D68" i="9"/>
  <c r="F28" i="15"/>
  <c r="C28" i="15" s="1"/>
  <c r="F32" i="67"/>
  <c r="F60" i="67" s="1"/>
  <c r="F28" i="67"/>
  <c r="C40" i="69"/>
  <c r="E19" i="69"/>
  <c r="G22" i="11"/>
  <c r="E1" i="73"/>
  <c r="G26" i="12"/>
  <c r="K1" i="12"/>
  <c r="K6" i="1"/>
  <c r="AP6" i="1" s="1"/>
  <c r="C36" i="69" s="1"/>
  <c r="G1" i="69"/>
  <c r="G1" i="15"/>
  <c r="G28" i="6"/>
  <c r="G23" i="43"/>
  <c r="C7" i="33"/>
  <c r="C7" i="34"/>
  <c r="M47" i="9"/>
  <c r="C7" i="35"/>
  <c r="C48" i="35" s="1"/>
  <c r="D48" i="35" s="1"/>
  <c r="C42" i="1"/>
  <c r="C24" i="12" s="1"/>
  <c r="C7" i="37"/>
  <c r="C52" i="37" s="1"/>
  <c r="D52" i="37" s="1"/>
  <c r="C7" i="40"/>
  <c r="C63" i="40" s="1"/>
  <c r="D63" i="40" s="1"/>
  <c r="AZ531" i="3"/>
  <c r="AZ563" i="3"/>
  <c r="AB31" i="39"/>
  <c r="U31" i="39"/>
  <c r="AB17" i="33"/>
  <c r="U19" i="33"/>
  <c r="AC25" i="33"/>
  <c r="AZ533" i="3"/>
  <c r="AZ581" i="3"/>
  <c r="AC31" i="34"/>
  <c r="W31" i="34"/>
  <c r="U46" i="34"/>
  <c r="AB46" i="34"/>
  <c r="U45" i="33"/>
  <c r="AB45" i="33"/>
  <c r="AA29" i="35"/>
  <c r="AB12" i="21"/>
  <c r="U12" i="21"/>
  <c r="BL585" i="3"/>
  <c r="BA585" i="3"/>
  <c r="AZ585" i="3" s="1"/>
  <c r="AC34" i="35"/>
  <c r="W34" i="35"/>
  <c r="AA34" i="39"/>
  <c r="S34" i="39"/>
  <c r="AA34" i="40"/>
  <c r="S34" i="40"/>
  <c r="BL580" i="3"/>
  <c r="BA550" i="3"/>
  <c r="AZ550" i="3" s="1"/>
  <c r="AC35" i="33"/>
  <c r="S23" i="39"/>
  <c r="AC19" i="37"/>
  <c r="S13" i="21"/>
  <c r="AC17" i="33"/>
  <c r="U23" i="33"/>
  <c r="AB25" i="33"/>
  <c r="W32" i="33"/>
  <c r="U21" i="39"/>
  <c r="C28" i="67"/>
  <c r="W19" i="40"/>
  <c r="H67" i="43"/>
  <c r="D120" i="9"/>
  <c r="U27" i="34"/>
  <c r="S30" i="40"/>
  <c r="S14" i="40"/>
  <c r="W44" i="33"/>
  <c r="AZ513" i="3"/>
  <c r="AZ525" i="3"/>
  <c r="AA45" i="33"/>
  <c r="S45" i="33"/>
  <c r="S12" i="36"/>
  <c r="AC12" i="34"/>
  <c r="S12" i="21"/>
  <c r="AA12" i="21"/>
  <c r="H14" i="33"/>
  <c r="J14" i="33"/>
  <c r="H13" i="34"/>
  <c r="F13" i="34"/>
  <c r="H14" i="37"/>
  <c r="F14" i="37"/>
  <c r="J14" i="37"/>
  <c r="AC40" i="39"/>
  <c r="W40" i="39"/>
  <c r="U30" i="36"/>
  <c r="AB30" i="36"/>
  <c r="BA584" i="3"/>
  <c r="AZ584" i="3" s="1"/>
  <c r="BL582" i="3"/>
  <c r="AZ582" i="3" s="1"/>
  <c r="BL557" i="3"/>
  <c r="AZ557" i="3" s="1"/>
  <c r="BA555" i="3"/>
  <c r="AZ555" i="3" s="1"/>
  <c r="BA554" i="3"/>
  <c r="AZ554" i="3" s="1"/>
  <c r="BL553" i="3"/>
  <c r="AZ553" i="3" s="1"/>
  <c r="AA17" i="33"/>
  <c r="D19" i="53"/>
  <c r="B38" i="72" s="1"/>
  <c r="D16" i="53"/>
  <c r="B34" i="72" s="1"/>
  <c r="AB15" i="21"/>
  <c r="AA39" i="39"/>
  <c r="S20" i="35"/>
  <c r="AA27" i="40"/>
  <c r="AB27" i="40"/>
  <c r="F29" i="6"/>
  <c r="W40" i="37"/>
  <c r="AZ568" i="3"/>
  <c r="AC47" i="34"/>
  <c r="W47" i="34"/>
  <c r="S14" i="33"/>
  <c r="AA14" i="33"/>
  <c r="AC11" i="40"/>
  <c r="W36" i="35"/>
  <c r="AA41" i="21"/>
  <c r="H28" i="21"/>
  <c r="J28" i="21"/>
  <c r="AC33" i="33"/>
  <c r="W33" i="33"/>
  <c r="J9" i="36"/>
  <c r="H9" i="36"/>
  <c r="F9" i="36"/>
  <c r="J43" i="39"/>
  <c r="F43" i="39"/>
  <c r="S9" i="40"/>
  <c r="AA9" i="40"/>
  <c r="AA38" i="40"/>
  <c r="S38" i="40"/>
  <c r="AC41" i="33"/>
  <c r="W41" i="33"/>
  <c r="BL559" i="3"/>
  <c r="AZ559" i="3" s="1"/>
  <c r="BA558" i="3"/>
  <c r="AZ558" i="3" s="1"/>
  <c r="AZ541" i="3"/>
  <c r="AZ579" i="3"/>
  <c r="AZ580" i="3"/>
  <c r="AB46" i="33"/>
  <c r="U46" i="33"/>
  <c r="AA11" i="36"/>
  <c r="S11" i="36"/>
  <c r="W31" i="33"/>
  <c r="AC31" i="33"/>
  <c r="AB36" i="39"/>
  <c r="U36" i="39"/>
  <c r="BA587" i="3"/>
  <c r="AZ587" i="3" s="1"/>
  <c r="BL586" i="3"/>
  <c r="AZ586" i="3" s="1"/>
  <c r="J9" i="33"/>
  <c r="H9" i="33"/>
  <c r="AC8" i="34"/>
  <c r="W8" i="34"/>
  <c r="J25" i="37"/>
  <c r="H25" i="37"/>
  <c r="F25" i="37"/>
  <c r="U8" i="39"/>
  <c r="AB8" i="39"/>
  <c r="F31" i="39"/>
  <c r="J31" i="39"/>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400" i="3"/>
  <c r="F27" i="21"/>
  <c r="J13" i="21"/>
  <c r="F44" i="21"/>
  <c r="C25" i="39"/>
  <c r="J35" i="39"/>
  <c r="H23" i="35"/>
  <c r="J23" i="35"/>
  <c r="H44" i="39"/>
  <c r="F44" i="39"/>
  <c r="G562" i="3"/>
  <c r="AZ398" i="3"/>
  <c r="U40" i="33"/>
  <c r="AA12" i="34"/>
  <c r="W9" i="34"/>
  <c r="B79" i="43"/>
  <c r="B75" i="43"/>
  <c r="J40" i="40"/>
  <c r="G578" i="3"/>
  <c r="BL548" i="3"/>
  <c r="AZ548" i="3" s="1"/>
  <c r="J26" i="37"/>
  <c r="F26" i="37"/>
  <c r="A15" i="62"/>
  <c r="B61" i="72" s="1"/>
  <c r="BL398" i="3"/>
  <c r="BL401" i="3"/>
  <c r="AZ401" i="3" s="1"/>
  <c r="G402" i="3"/>
  <c r="BL404" i="3"/>
  <c r="AZ404" i="3" s="1"/>
  <c r="BL405" i="3"/>
  <c r="AZ405" i="3" s="1"/>
  <c r="G406" i="3"/>
  <c r="AZ411" i="3"/>
  <c r="AZ414" i="3"/>
  <c r="AZ421" i="3"/>
  <c r="AZ432" i="3"/>
  <c r="AZ445" i="3"/>
  <c r="AZ464" i="3"/>
  <c r="AZ472" i="3"/>
  <c r="AZ474" i="3"/>
  <c r="G409" i="3"/>
  <c r="G416" i="3"/>
  <c r="BL417" i="3"/>
  <c r="AZ417" i="3" s="1"/>
  <c r="BL418" i="3"/>
  <c r="AZ418" i="3" s="1"/>
  <c r="G419" i="3"/>
  <c r="AZ455" i="3"/>
  <c r="AZ424" i="3"/>
  <c r="AZ426" i="3"/>
  <c r="AZ448" i="3"/>
  <c r="AZ450" i="3"/>
  <c r="AZ456" i="3"/>
  <c r="AZ469" i="3"/>
  <c r="AZ489" i="3"/>
  <c r="BA399" i="3"/>
  <c r="AZ399" i="3" s="1"/>
  <c r="BA409" i="3"/>
  <c r="AZ409" i="3" s="1"/>
  <c r="AZ410" i="3"/>
  <c r="BA412" i="3"/>
  <c r="AZ412" i="3" s="1"/>
  <c r="AZ413" i="3"/>
  <c r="AZ415" i="3"/>
  <c r="BA416" i="3"/>
  <c r="AZ416" i="3" s="1"/>
  <c r="AZ420" i="3"/>
  <c r="BA422" i="3"/>
  <c r="AZ422" i="3" s="1"/>
  <c r="AZ425" i="3"/>
  <c r="AZ431" i="3"/>
  <c r="AZ434" i="3"/>
  <c r="AZ435" i="3"/>
  <c r="AZ442" i="3"/>
  <c r="AZ444" i="3"/>
  <c r="AZ446" i="3"/>
  <c r="AZ449" i="3"/>
  <c r="AZ476" i="3"/>
  <c r="AZ478" i="3"/>
  <c r="AZ486" i="3"/>
  <c r="G454" i="3"/>
  <c r="BA459" i="3"/>
  <c r="G465" i="3"/>
  <c r="G468" i="3"/>
  <c r="BA471" i="3"/>
  <c r="AZ471" i="3" s="1"/>
  <c r="G475" i="3"/>
  <c r="BL479" i="3"/>
  <c r="BL483" i="3"/>
  <c r="AZ483" i="3" s="1"/>
  <c r="BL487" i="3"/>
  <c r="AZ487" i="3" s="1"/>
  <c r="BL491" i="3"/>
  <c r="AZ491" i="3" s="1"/>
  <c r="AZ332" i="3"/>
  <c r="BA223" i="3"/>
  <c r="AZ223" i="3" s="1"/>
  <c r="AZ118" i="3"/>
  <c r="AZ451" i="3"/>
  <c r="AZ462" i="3"/>
  <c r="AZ479" i="3"/>
  <c r="AZ221" i="3"/>
  <c r="AZ246" i="3"/>
  <c r="BA261" i="3"/>
  <c r="AZ261" i="3" s="1"/>
  <c r="AZ262" i="3"/>
  <c r="AZ278" i="3"/>
  <c r="BL452" i="3"/>
  <c r="AZ452" i="3" s="1"/>
  <c r="BL456" i="3"/>
  <c r="BA460" i="3"/>
  <c r="AZ460" i="3" s="1"/>
  <c r="BL463" i="3"/>
  <c r="AZ463" i="3" s="1"/>
  <c r="BL466" i="3"/>
  <c r="AZ466" i="3" s="1"/>
  <c r="BL473" i="3"/>
  <c r="AZ473" i="3" s="1"/>
  <c r="BL477" i="3"/>
  <c r="BL481" i="3"/>
  <c r="BL485" i="3"/>
  <c r="AZ485" i="3" s="1"/>
  <c r="BL489" i="3"/>
  <c r="BA354" i="3"/>
  <c r="AZ354" i="3" s="1"/>
  <c r="BL368" i="3"/>
  <c r="AZ368" i="3" s="1"/>
  <c r="BA384" i="3"/>
  <c r="AZ384" i="3" s="1"/>
  <c r="BA396" i="3"/>
  <c r="AZ396" i="3" s="1"/>
  <c r="AZ397" i="3"/>
  <c r="BA209" i="3"/>
  <c r="AZ209" i="3" s="1"/>
  <c r="AZ210" i="3"/>
  <c r="AZ216" i="3"/>
  <c r="AZ217" i="3"/>
  <c r="BL221" i="3"/>
  <c r="BL238" i="3"/>
  <c r="AZ238" i="3" s="1"/>
  <c r="AZ242" i="3"/>
  <c r="BA244" i="3"/>
  <c r="AZ244" i="3" s="1"/>
  <c r="AZ247" i="3"/>
  <c r="AZ252" i="3"/>
  <c r="BL459" i="3"/>
  <c r="G472" i="3"/>
  <c r="BA477" i="3"/>
  <c r="BA480" i="3"/>
  <c r="AZ480" i="3" s="1"/>
  <c r="BA481" i="3"/>
  <c r="AZ481" i="3" s="1"/>
  <c r="BA484" i="3"/>
  <c r="AZ484" i="3" s="1"/>
  <c r="BA488" i="3"/>
  <c r="AZ488" i="3" s="1"/>
  <c r="BL490" i="3"/>
  <c r="AZ490" i="3" s="1"/>
  <c r="BA492" i="3"/>
  <c r="AZ492" i="3" s="1"/>
  <c r="BL316" i="3"/>
  <c r="AZ316" i="3" s="1"/>
  <c r="BL332" i="3"/>
  <c r="BL346" i="3"/>
  <c r="AZ346" i="3" s="1"/>
  <c r="BA350" i="3"/>
  <c r="AZ350" i="3" s="1"/>
  <c r="BA367" i="3"/>
  <c r="AZ367" i="3" s="1"/>
  <c r="BA370" i="3"/>
  <c r="AZ370" i="3" s="1"/>
  <c r="BL385" i="3"/>
  <c r="AZ385" i="3" s="1"/>
  <c r="AZ212" i="3"/>
  <c r="BL217" i="3"/>
  <c r="AZ226" i="3"/>
  <c r="BL240" i="3"/>
  <c r="BL250" i="3"/>
  <c r="BA258" i="3"/>
  <c r="AZ258" i="3" s="1"/>
  <c r="BA220" i="3"/>
  <c r="AZ220" i="3" s="1"/>
  <c r="BA225" i="3"/>
  <c r="AZ225" i="3" s="1"/>
  <c r="G229" i="3"/>
  <c r="G232" i="3"/>
  <c r="G236" i="3"/>
  <c r="BA248" i="3"/>
  <c r="AZ248" i="3" s="1"/>
  <c r="G256" i="3"/>
  <c r="BA260" i="3"/>
  <c r="AZ260" i="3" s="1"/>
  <c r="BL264" i="3"/>
  <c r="BA269" i="3"/>
  <c r="BA270" i="3"/>
  <c r="AZ270" i="3" s="1"/>
  <c r="BA280" i="3"/>
  <c r="BL282" i="3"/>
  <c r="BL285" i="3"/>
  <c r="BA296" i="3"/>
  <c r="BL298" i="3"/>
  <c r="BL301" i="3"/>
  <c r="BL302" i="3"/>
  <c r="BA114" i="3"/>
  <c r="G120" i="3"/>
  <c r="BL125" i="3"/>
  <c r="BL126" i="3"/>
  <c r="G127" i="3"/>
  <c r="BA129" i="3"/>
  <c r="G132" i="3"/>
  <c r="BL133" i="3"/>
  <c r="AZ133" i="3" s="1"/>
  <c r="BL134" i="3"/>
  <c r="G135" i="3"/>
  <c r="BA137" i="3"/>
  <c r="G140" i="3"/>
  <c r="BA142" i="3"/>
  <c r="BL145" i="3"/>
  <c r="G146" i="3"/>
  <c r="BA150" i="3"/>
  <c r="AZ150" i="3" s="1"/>
  <c r="BA153" i="3"/>
  <c r="AZ153" i="3" s="1"/>
  <c r="BL162" i="3"/>
  <c r="AZ162" i="3" s="1"/>
  <c r="BA165" i="3"/>
  <c r="AZ165" i="3" s="1"/>
  <c r="AZ169" i="3"/>
  <c r="AZ23" i="3"/>
  <c r="BL219" i="3"/>
  <c r="AZ219" i="3" s="1"/>
  <c r="BL224" i="3"/>
  <c r="AZ224" i="3" s="1"/>
  <c r="BA228" i="3"/>
  <c r="AZ228" i="3" s="1"/>
  <c r="BA231" i="3"/>
  <c r="AZ231" i="3" s="1"/>
  <c r="BA235" i="3"/>
  <c r="AZ235" i="3" s="1"/>
  <c r="BA255" i="3"/>
  <c r="AZ255" i="3" s="1"/>
  <c r="BL259" i="3"/>
  <c r="AZ259" i="3" s="1"/>
  <c r="BL262" i="3"/>
  <c r="AZ264" i="3"/>
  <c r="BL267" i="3"/>
  <c r="AZ267" i="3" s="1"/>
  <c r="AZ272" i="3"/>
  <c r="BL278" i="3"/>
  <c r="AZ282" i="3"/>
  <c r="AZ285" i="3"/>
  <c r="BL294" i="3"/>
  <c r="AZ294" i="3" s="1"/>
  <c r="AZ298" i="3"/>
  <c r="AZ301" i="3"/>
  <c r="AZ125" i="3"/>
  <c r="BA128" i="3"/>
  <c r="AZ128" i="3" s="1"/>
  <c r="BA136" i="3"/>
  <c r="AZ136" i="3" s="1"/>
  <c r="AZ177" i="3"/>
  <c r="AB29" i="39"/>
  <c r="U29" i="39"/>
  <c r="BL222" i="3"/>
  <c r="AZ222" i="3" s="1"/>
  <c r="BL227" i="3"/>
  <c r="AZ227" i="3" s="1"/>
  <c r="BL230" i="3"/>
  <c r="AZ230" i="3" s="1"/>
  <c r="G234" i="3"/>
  <c r="BA240" i="3"/>
  <c r="BA245" i="3"/>
  <c r="AZ245" i="3" s="1"/>
  <c r="BA250" i="3"/>
  <c r="AZ250" i="3" s="1"/>
  <c r="BL254" i="3"/>
  <c r="AZ254" i="3" s="1"/>
  <c r="G258" i="3"/>
  <c r="BA265" i="3"/>
  <c r="AZ265" i="3" s="1"/>
  <c r="BL269" i="3"/>
  <c r="G270" i="3"/>
  <c r="G276" i="3"/>
  <c r="BL280" i="3"/>
  <c r="G281" i="3"/>
  <c r="BA283" i="3"/>
  <c r="AZ283" i="3" s="1"/>
  <c r="BA286" i="3"/>
  <c r="AZ286" i="3" s="1"/>
  <c r="G289" i="3"/>
  <c r="G292" i="3"/>
  <c r="BL296" i="3"/>
  <c r="G297" i="3"/>
  <c r="BA299" i="3"/>
  <c r="AZ299" i="3" s="1"/>
  <c r="BA302" i="3"/>
  <c r="AZ302" i="3" s="1"/>
  <c r="BL114" i="3"/>
  <c r="G115" i="3"/>
  <c r="BA117" i="3"/>
  <c r="AZ117" i="3" s="1"/>
  <c r="BA124" i="3"/>
  <c r="AZ124" i="3" s="1"/>
  <c r="BA126" i="3"/>
  <c r="BL129" i="3"/>
  <c r="G130" i="3"/>
  <c r="BA134" i="3"/>
  <c r="AZ134" i="3" s="1"/>
  <c r="BL137" i="3"/>
  <c r="G138" i="3"/>
  <c r="BL142" i="3"/>
  <c r="G143" i="3"/>
  <c r="BA145" i="3"/>
  <c r="AZ145" i="3" s="1"/>
  <c r="G148" i="3"/>
  <c r="BL149" i="3"/>
  <c r="AZ149" i="3" s="1"/>
  <c r="BL151" i="3"/>
  <c r="AZ151" i="3" s="1"/>
  <c r="G152" i="3"/>
  <c r="G166" i="3"/>
  <c r="BL171" i="3"/>
  <c r="AZ171" i="3" s="1"/>
  <c r="BA176" i="3"/>
  <c r="AZ176" i="3" s="1"/>
  <c r="D83" i="71"/>
  <c r="C82" i="71"/>
  <c r="D82" i="71" s="1"/>
  <c r="AZ30" i="3"/>
  <c r="AZ40" i="3"/>
  <c r="AZ48" i="3"/>
  <c r="BL82" i="3"/>
  <c r="BL84" i="3"/>
  <c r="BL86" i="3"/>
  <c r="BL97" i="3"/>
  <c r="AA37" i="71"/>
  <c r="AA26" i="71"/>
  <c r="AA35" i="71"/>
  <c r="AA38" i="71"/>
  <c r="AA12" i="71"/>
  <c r="AA30" i="71"/>
  <c r="E39" i="71"/>
  <c r="E40" i="71" s="1"/>
  <c r="U40" i="71" s="1"/>
  <c r="AA25" i="71"/>
  <c r="BA19" i="3"/>
  <c r="AZ19" i="3" s="1"/>
  <c r="BA24" i="3"/>
  <c r="AZ24" i="3" s="1"/>
  <c r="BL26" i="3"/>
  <c r="AZ26" i="3" s="1"/>
  <c r="BL32" i="3"/>
  <c r="AZ32" i="3" s="1"/>
  <c r="BA34" i="3"/>
  <c r="AZ34" i="3" s="1"/>
  <c r="BA35" i="3"/>
  <c r="AZ35" i="3" s="1"/>
  <c r="BL37" i="3"/>
  <c r="AZ37" i="3" s="1"/>
  <c r="BA44" i="3"/>
  <c r="AZ44" i="3" s="1"/>
  <c r="BL49" i="3"/>
  <c r="AZ49" i="3" s="1"/>
  <c r="BL51" i="3"/>
  <c r="AZ51" i="3" s="1"/>
  <c r="BA57" i="3"/>
  <c r="AZ57" i="3" s="1"/>
  <c r="BA59" i="3"/>
  <c r="AZ59" i="3" s="1"/>
  <c r="BA60" i="3"/>
  <c r="AZ60" i="3" s="1"/>
  <c r="BL65" i="3"/>
  <c r="AZ65" i="3" s="1"/>
  <c r="G66" i="3"/>
  <c r="BL67" i="3"/>
  <c r="AZ67" i="3" s="1"/>
  <c r="BA75" i="3"/>
  <c r="AZ75" i="3" s="1"/>
  <c r="AZ76" i="3"/>
  <c r="BA80" i="3"/>
  <c r="AZ80" i="3" s="1"/>
  <c r="AZ81" i="3"/>
  <c r="BA89" i="3"/>
  <c r="AZ89" i="3" s="1"/>
  <c r="AZ90" i="3"/>
  <c r="BA92" i="3"/>
  <c r="AZ92" i="3" s="1"/>
  <c r="BA94" i="3"/>
  <c r="AZ94" i="3" s="1"/>
  <c r="BA95" i="3"/>
  <c r="AZ95" i="3" s="1"/>
  <c r="AZ96" i="3"/>
  <c r="BL100" i="3"/>
  <c r="AZ100" i="3" s="1"/>
  <c r="AZ106" i="3"/>
  <c r="G207" i="3"/>
  <c r="G22" i="3"/>
  <c r="BL33" i="3"/>
  <c r="AZ33" i="3" s="1"/>
  <c r="BL46" i="3"/>
  <c r="AZ46" i="3" s="1"/>
  <c r="G47" i="3"/>
  <c r="BL48" i="3"/>
  <c r="BA54" i="3"/>
  <c r="AZ54" i="3" s="1"/>
  <c r="AZ56" i="3"/>
  <c r="BL62" i="3"/>
  <c r="AZ62" i="3" s="1"/>
  <c r="G63" i="3"/>
  <c r="BL64" i="3"/>
  <c r="AZ64" i="3" s="1"/>
  <c r="BA70" i="3"/>
  <c r="AZ70" i="3" s="1"/>
  <c r="BA72" i="3"/>
  <c r="AZ72" i="3" s="1"/>
  <c r="BA73" i="3"/>
  <c r="AZ73" i="3" s="1"/>
  <c r="BA77" i="3"/>
  <c r="AZ77" i="3" s="1"/>
  <c r="BA78" i="3"/>
  <c r="AZ78" i="3" s="1"/>
  <c r="BA82" i="3"/>
  <c r="AZ82" i="3" s="1"/>
  <c r="BA84" i="3"/>
  <c r="BA86" i="3"/>
  <c r="BA97" i="3"/>
  <c r="AZ97" i="3" s="1"/>
  <c r="B13" i="1"/>
  <c r="E13" i="1" s="1"/>
  <c r="K13" i="1"/>
  <c r="M13" i="1" s="1"/>
  <c r="O13" i="1" s="1"/>
  <c r="P13" i="1" s="1"/>
  <c r="AA18" i="35"/>
  <c r="S18" i="35"/>
  <c r="AA29" i="71"/>
  <c r="Y30" i="71"/>
  <c r="Z30" i="71" s="1"/>
  <c r="Y25" i="71"/>
  <c r="Z25" i="71" s="1"/>
  <c r="Y27" i="71"/>
  <c r="Z27" i="71" s="1"/>
  <c r="Y29" i="71"/>
  <c r="Z29" i="71" s="1"/>
  <c r="Y26" i="71"/>
  <c r="Z26" i="71" s="1"/>
  <c r="C31" i="71"/>
  <c r="Y24" i="71"/>
  <c r="Z24" i="71" s="1"/>
  <c r="Y28" i="71"/>
  <c r="Z28" i="71" s="1"/>
  <c r="AA32" i="71"/>
  <c r="BA108" i="3"/>
  <c r="AZ108" i="3" s="1"/>
  <c r="BL112" i="3"/>
  <c r="B88" i="43"/>
  <c r="C25" i="40"/>
  <c r="D71" i="71"/>
  <c r="C70" i="71"/>
  <c r="D70" i="71" s="1"/>
  <c r="Y35" i="71"/>
  <c r="Z35" i="71" s="1"/>
  <c r="Y32" i="71"/>
  <c r="Z32" i="71" s="1"/>
  <c r="Y34" i="71"/>
  <c r="Z34" i="71" s="1"/>
  <c r="B38" i="71"/>
  <c r="B39" i="71" s="1"/>
  <c r="B40" i="71" s="1"/>
  <c r="S40" i="71" s="1"/>
  <c r="X37" i="71"/>
  <c r="X29" i="71"/>
  <c r="X31" i="71"/>
  <c r="X28" i="71"/>
  <c r="C55" i="71"/>
  <c r="D54" i="71"/>
  <c r="AB24" i="71"/>
  <c r="F24" i="71"/>
  <c r="F23" i="71" s="1"/>
  <c r="F22" i="71" s="1"/>
  <c r="F21" i="71" s="1"/>
  <c r="F20" i="71" s="1"/>
  <c r="F19" i="71" s="1"/>
  <c r="F18" i="71" s="1"/>
  <c r="F17" i="71" s="1"/>
  <c r="Y21" i="71"/>
  <c r="Z21" i="71" s="1"/>
  <c r="Y22" i="71"/>
  <c r="Z22" i="71" s="1"/>
  <c r="Y23" i="71"/>
  <c r="Z23" i="71" s="1"/>
  <c r="AA14" i="71"/>
  <c r="BA105" i="3"/>
  <c r="AZ105" i="3" s="1"/>
  <c r="G108" i="3"/>
  <c r="BA110" i="3"/>
  <c r="AZ110" i="3" s="1"/>
  <c r="BA112" i="3"/>
  <c r="AZ112" i="3" s="1"/>
  <c r="P27" i="6"/>
  <c r="D75" i="71"/>
  <c r="C74" i="71"/>
  <c r="D74" i="71" s="1"/>
  <c r="C40" i="71"/>
  <c r="D39" i="71"/>
  <c r="AB29" i="71"/>
  <c r="AB26" i="71"/>
  <c r="F30" i="71"/>
  <c r="F31" i="71" s="1"/>
  <c r="F32" i="71" s="1"/>
  <c r="V32" i="71" s="1"/>
  <c r="AB27" i="71"/>
  <c r="AB28" i="71"/>
  <c r="C52" i="71"/>
  <c r="D51" i="71"/>
  <c r="Y11" i="71"/>
  <c r="Z11" i="71" s="1"/>
  <c r="Y12" i="71"/>
  <c r="Z12" i="71" s="1"/>
  <c r="Y14" i="71"/>
  <c r="Z14" i="71" s="1"/>
  <c r="Y13" i="71"/>
  <c r="Z13" i="71" s="1"/>
  <c r="X17" i="71"/>
  <c r="BL104" i="3"/>
  <c r="AZ104" i="3" s="1"/>
  <c r="BL107" i="3"/>
  <c r="AZ107" i="3" s="1"/>
  <c r="BL109" i="3"/>
  <c r="AZ109" i="3" s="1"/>
  <c r="F3" i="35"/>
  <c r="AA21" i="34"/>
  <c r="S21" i="34"/>
  <c r="E27" i="71"/>
  <c r="E26" i="71" s="1"/>
  <c r="V28" i="71"/>
  <c r="D79" i="71"/>
  <c r="C78" i="71"/>
  <c r="D78" i="71" s="1"/>
  <c r="X10" i="71"/>
  <c r="X9" i="71"/>
  <c r="X39" i="71"/>
  <c r="X38" i="71"/>
  <c r="B59" i="71"/>
  <c r="B60" i="71" s="1"/>
  <c r="S60" i="71" s="1"/>
  <c r="C29" i="39"/>
  <c r="B77" i="43"/>
  <c r="AA28" i="71"/>
  <c r="AA3" i="71"/>
  <c r="C27" i="71"/>
  <c r="C35" i="71"/>
  <c r="D34" i="71"/>
  <c r="AA34" i="71"/>
  <c r="AA36" i="71"/>
  <c r="Y9" i="71"/>
  <c r="Z9" i="71" s="1"/>
  <c r="Y39" i="71"/>
  <c r="Z39" i="71" s="1"/>
  <c r="Y10" i="71"/>
  <c r="Z10" i="71" s="1"/>
  <c r="B71" i="71"/>
  <c r="B70" i="71" s="1"/>
  <c r="M56" i="9"/>
  <c r="N56" i="9"/>
  <c r="K56" i="9"/>
  <c r="X26" i="71"/>
  <c r="E23" i="71"/>
  <c r="E22" i="71" s="1"/>
  <c r="E21" i="71" s="1"/>
  <c r="E20" i="71" s="1"/>
  <c r="V24" i="71"/>
  <c r="X22" i="71"/>
  <c r="AA21" i="71"/>
  <c r="AB21" i="71"/>
  <c r="Y17" i="71"/>
  <c r="Z17" i="71" s="1"/>
  <c r="AB17" i="71"/>
  <c r="C59" i="71"/>
  <c r="C47" i="71"/>
  <c r="D47" i="71" s="1"/>
  <c r="E31" i="71"/>
  <c r="E32" i="71" s="1"/>
  <c r="U32" i="71" s="1"/>
  <c r="AA31" i="71"/>
  <c r="AB32" i="71"/>
  <c r="Y31" i="71"/>
  <c r="Z31" i="71" s="1"/>
  <c r="Y33" i="71"/>
  <c r="Z33" i="71" s="1"/>
  <c r="AB35" i="71"/>
  <c r="C43" i="71"/>
  <c r="D42" i="71"/>
  <c r="AA22" i="71"/>
  <c r="C23" i="71"/>
  <c r="AB23" i="71"/>
  <c r="X21" i="71"/>
  <c r="AA18" i="71"/>
  <c r="AB10" i="71"/>
  <c r="AB18" i="71"/>
  <c r="B68" i="43"/>
  <c r="X30" i="71"/>
  <c r="E34" i="71"/>
  <c r="E35" i="71" s="1"/>
  <c r="E36" i="71" s="1"/>
  <c r="U36" i="71" s="1"/>
  <c r="AA33" i="71"/>
  <c r="X33" i="71"/>
  <c r="X34" i="71"/>
  <c r="X36" i="71"/>
  <c r="X32" i="71"/>
  <c r="AB36" i="71"/>
  <c r="AB37" i="71"/>
  <c r="AA9" i="71"/>
  <c r="S68" i="71"/>
  <c r="B67" i="71"/>
  <c r="X27" i="71"/>
  <c r="AA24" i="71"/>
  <c r="X24" i="71"/>
  <c r="X18" i="71"/>
  <c r="X11" i="71"/>
  <c r="AA17" i="71"/>
  <c r="AB9" i="71"/>
  <c r="AA23" i="71"/>
  <c r="AA15" i="71"/>
  <c r="AB13" i="71"/>
  <c r="AA13" i="71"/>
  <c r="X12" i="71"/>
  <c r="AB15" i="71"/>
  <c r="AB12" i="71"/>
  <c r="AB14" i="71"/>
  <c r="X13" i="71"/>
  <c r="X15" i="71"/>
  <c r="AB11" i="71"/>
  <c r="AA11" i="71"/>
  <c r="AA10"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P6" i="1" s="1"/>
  <c r="C13" i="12"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D9" i="68"/>
  <c r="M9" i="15"/>
  <c r="M6" i="15"/>
  <c r="F7" i="15"/>
  <c r="F38" i="15"/>
  <c r="F8" i="15"/>
  <c r="M29" i="15"/>
  <c r="F6" i="15"/>
  <c r="C16" i="67"/>
  <c r="F37" i="15"/>
  <c r="F13" i="15"/>
  <c r="L48" i="15"/>
  <c r="M8" i="15"/>
  <c r="F16" i="15"/>
  <c r="F9" i="15"/>
  <c r="C76" i="15"/>
  <c r="M26" i="15"/>
  <c r="D7" i="73"/>
  <c r="F26" i="15"/>
  <c r="F43" i="15"/>
  <c r="M28" i="15"/>
  <c r="M23" i="15"/>
  <c r="M24" i="15"/>
  <c r="D3" i="73"/>
  <c r="M22" i="15"/>
  <c r="F36" i="15"/>
  <c r="F40" i="15"/>
  <c r="L47" i="15"/>
  <c r="F42" i="15"/>
  <c r="J15" i="15"/>
  <c r="AB28" i="34" l="1"/>
  <c r="S9" i="34"/>
  <c r="C48" i="69"/>
  <c r="C30" i="69"/>
  <c r="M7" i="15"/>
  <c r="M17" i="15" s="1"/>
  <c r="F50" i="15"/>
  <c r="F65" i="15"/>
  <c r="F66" i="15"/>
  <c r="G26" i="43"/>
  <c r="N94" i="46"/>
  <c r="H26" i="43"/>
  <c r="N370" i="46"/>
  <c r="G16" i="1"/>
  <c r="F10" i="39" s="1"/>
  <c r="J26" i="43"/>
  <c r="Q16" i="1"/>
  <c r="F27" i="69" s="1"/>
  <c r="C47" i="69" s="1"/>
  <c r="D45" i="69" s="1"/>
  <c r="K16" i="1"/>
  <c r="H16" i="1"/>
  <c r="F31" i="15"/>
  <c r="C6" i="15"/>
  <c r="F68" i="15"/>
  <c r="M59" i="15"/>
  <c r="N59" i="15"/>
  <c r="L59" i="15"/>
  <c r="Q61" i="15" s="1"/>
  <c r="L58" i="15"/>
  <c r="Q60" i="15" s="1"/>
  <c r="F64" i="15"/>
  <c r="K1" i="73"/>
  <c r="J57" i="15"/>
  <c r="J55" i="15" s="1"/>
  <c r="J58" i="15" s="1"/>
  <c r="Q50" i="15" s="1"/>
  <c r="I54" i="15"/>
  <c r="J53" i="15"/>
  <c r="L56" i="15" s="1"/>
  <c r="F71" i="15"/>
  <c r="C27" i="15"/>
  <c r="F51" i="15"/>
  <c r="Q71" i="15"/>
  <c r="F7" i="36"/>
  <c r="H7" i="36"/>
  <c r="B66" i="71"/>
  <c r="N67" i="71"/>
  <c r="E19" i="71"/>
  <c r="E18" i="71" s="1"/>
  <c r="E17" i="71" s="1"/>
  <c r="E16" i="71" s="1"/>
  <c r="V20" i="71"/>
  <c r="D35" i="71"/>
  <c r="C36" i="71"/>
  <c r="AZ84" i="3"/>
  <c r="AZ5" i="3" s="1"/>
  <c r="AZ126" i="3"/>
  <c r="AZ142" i="3"/>
  <c r="AZ114" i="3"/>
  <c r="AZ296" i="3"/>
  <c r="AZ459" i="3"/>
  <c r="AC23" i="35"/>
  <c r="W23" i="35"/>
  <c r="S44" i="21"/>
  <c r="AA44" i="21"/>
  <c r="AZ504" i="3"/>
  <c r="AB9" i="36"/>
  <c r="U9" i="36"/>
  <c r="AC28" i="21"/>
  <c r="W28" i="21"/>
  <c r="AA14" i="37"/>
  <c r="S14" i="37"/>
  <c r="W14" i="33"/>
  <c r="AC14" i="33"/>
  <c r="D121" i="9"/>
  <c r="D7" i="52" s="1"/>
  <c r="D6" i="52"/>
  <c r="BL5" i="3"/>
  <c r="D43" i="71"/>
  <c r="C44" i="71"/>
  <c r="D59" i="71"/>
  <c r="C60" i="71"/>
  <c r="D27" i="71"/>
  <c r="C26" i="71"/>
  <c r="D26" i="71" s="1"/>
  <c r="C56" i="71"/>
  <c r="D55" i="71"/>
  <c r="AZ269" i="3"/>
  <c r="AA26" i="37"/>
  <c r="S26" i="37"/>
  <c r="U23" i="35"/>
  <c r="AB23" i="35"/>
  <c r="AC13" i="21"/>
  <c r="W13" i="21"/>
  <c r="W31" i="39"/>
  <c r="AC31" i="39"/>
  <c r="AA25" i="37"/>
  <c r="S25" i="37"/>
  <c r="AA43" i="39"/>
  <c r="S43" i="39"/>
  <c r="AC9" i="36"/>
  <c r="W9" i="36"/>
  <c r="U28" i="21"/>
  <c r="AB28" i="21"/>
  <c r="AB14" i="37"/>
  <c r="U14" i="37"/>
  <c r="U14" i="33"/>
  <c r="AB14" i="33"/>
  <c r="D23" i="71"/>
  <c r="C22" i="71"/>
  <c r="T40" i="71"/>
  <c r="D40" i="71"/>
  <c r="AZ137" i="3"/>
  <c r="AC26" i="37"/>
  <c r="W26" i="37"/>
  <c r="AC40" i="40"/>
  <c r="W40" i="40"/>
  <c r="AA44" i="39"/>
  <c r="S44" i="39"/>
  <c r="AC35" i="39"/>
  <c r="W35" i="39"/>
  <c r="AA27" i="21"/>
  <c r="S27" i="21"/>
  <c r="AA31" i="39"/>
  <c r="S31" i="39"/>
  <c r="U25" i="37"/>
  <c r="AB25" i="37"/>
  <c r="AB9" i="33"/>
  <c r="U9" i="33"/>
  <c r="AC43" i="39"/>
  <c r="W43" i="39"/>
  <c r="AA13" i="34"/>
  <c r="S13" i="34"/>
  <c r="B15" i="71"/>
  <c r="B14" i="71" s="1"/>
  <c r="B13" i="71" s="1"/>
  <c r="B12" i="71" s="1"/>
  <c r="S16" i="71"/>
  <c r="T52" i="71"/>
  <c r="D52" i="71"/>
  <c r="C32" i="71"/>
  <c r="D31" i="71"/>
  <c r="AZ86" i="3"/>
  <c r="AZ240" i="3"/>
  <c r="AZ129" i="3"/>
  <c r="AZ280" i="3"/>
  <c r="AZ477" i="3"/>
  <c r="AB44" i="39"/>
  <c r="U44" i="39"/>
  <c r="W25" i="37"/>
  <c r="AC25" i="37"/>
  <c r="AC9" i="33"/>
  <c r="W9" i="33"/>
  <c r="AA9" i="36"/>
  <c r="S9" i="36"/>
  <c r="BA5" i="3"/>
  <c r="E27" i="6" s="1"/>
  <c r="K26" i="6" s="1"/>
  <c r="M26" i="6" s="1"/>
  <c r="I26" i="6" s="1"/>
  <c r="S26" i="6" s="1"/>
  <c r="AC14" i="37"/>
  <c r="W14" i="37"/>
  <c r="U13" i="34"/>
  <c r="AB13" i="34"/>
  <c r="G5" i="3"/>
  <c r="B3" i="3" s="1"/>
  <c r="E152" i="3" s="1"/>
  <c r="E61" i="43"/>
  <c r="B59" i="43" s="1"/>
  <c r="C28" i="43" s="1"/>
  <c r="B116" i="43"/>
  <c r="Z7" i="43"/>
  <c r="E30" i="6"/>
  <c r="E56" i="39"/>
  <c r="H7" i="34"/>
  <c r="AB7" i="34" s="1"/>
  <c r="E67" i="39"/>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J10" i="40"/>
  <c r="AC10" i="40"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AE6" i="1"/>
  <c r="F41" i="67"/>
  <c r="C16" i="15"/>
  <c r="G1" i="73"/>
  <c r="C10" i="34" l="1"/>
  <c r="E10" i="34" s="1"/>
  <c r="J6" i="15"/>
  <c r="J18" i="15" s="1"/>
  <c r="Q74" i="15"/>
  <c r="H10" i="39"/>
  <c r="U10" i="39" s="1"/>
  <c r="C49" i="15"/>
  <c r="F59" i="15"/>
  <c r="C29" i="69"/>
  <c r="D27" i="69" s="1"/>
  <c r="Q73" i="15"/>
  <c r="Q52" i="15"/>
  <c r="F1" i="15"/>
  <c r="B40" i="1"/>
  <c r="AY6" i="3"/>
  <c r="E3" i="6"/>
  <c r="E65" i="39"/>
  <c r="E409" i="3"/>
  <c r="E276" i="3"/>
  <c r="E148" i="3"/>
  <c r="E416" i="3"/>
  <c r="E292" i="3"/>
  <c r="T44" i="71"/>
  <c r="D44" i="71"/>
  <c r="E63" i="3"/>
  <c r="N65" i="71"/>
  <c r="N66" i="71"/>
  <c r="E419" i="3"/>
  <c r="E297" i="3"/>
  <c r="E132" i="3"/>
  <c r="E47" i="3"/>
  <c r="E127" i="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92" i="3"/>
  <c r="E241" i="3"/>
  <c r="E363" i="3"/>
  <c r="E349" i="3"/>
  <c r="E389" i="3"/>
  <c r="E544" i="3"/>
  <c r="E76" i="3"/>
  <c r="E59" i="3"/>
  <c r="E484" i="3"/>
  <c r="E425" i="3"/>
  <c r="E467" i="3"/>
  <c r="E64" i="3"/>
  <c r="E46" i="3"/>
  <c r="E103" i="3"/>
  <c r="E160" i="3"/>
  <c r="E142" i="3"/>
  <c r="E200" i="3"/>
  <c r="E267" i="3"/>
  <c r="E249" i="3"/>
  <c r="E300" i="3"/>
  <c r="E371" i="3"/>
  <c r="E310" i="3"/>
  <c r="E492" i="3"/>
  <c r="E23" i="3"/>
  <c r="E84" i="3"/>
  <c r="E67" i="3"/>
  <c r="E33" i="3"/>
  <c r="E144" i="3"/>
  <c r="E184" i="3"/>
  <c r="E233" i="3"/>
  <c r="E355" i="3"/>
  <c r="E381" i="3"/>
  <c r="E68" i="3"/>
  <c r="E81" i="3"/>
  <c r="E118" i="3"/>
  <c r="E264" i="3"/>
  <c r="E283" i="3"/>
  <c r="E309" i="3"/>
  <c r="E513" i="3"/>
  <c r="E21" i="3"/>
  <c r="E329" i="3"/>
  <c r="E16" i="3"/>
  <c r="E188" i="3"/>
  <c r="E223" i="3"/>
  <c r="E116" i="3"/>
  <c r="E105" i="3"/>
  <c r="E393" i="3"/>
  <c r="E564" i="3"/>
  <c r="E543" i="3"/>
  <c r="E427" i="3"/>
  <c r="E486" i="3"/>
  <c r="E507" i="3"/>
  <c r="E422" i="3"/>
  <c r="E440" i="3"/>
  <c r="E490" i="3"/>
  <c r="E376" i="3"/>
  <c r="AH6" i="3"/>
  <c r="E498" i="3"/>
  <c r="E483" i="3"/>
  <c r="E463" i="3"/>
  <c r="E40" i="3"/>
  <c r="E25" i="3"/>
  <c r="E178" i="3"/>
  <c r="E202" i="3"/>
  <c r="E242" i="3"/>
  <c r="E333" i="3"/>
  <c r="E372" i="3"/>
  <c r="E60" i="3"/>
  <c r="E540" i="3"/>
  <c r="E15" i="3"/>
  <c r="E79" i="3"/>
  <c r="E100" i="3"/>
  <c r="E137" i="3"/>
  <c r="E299" i="3"/>
  <c r="E325" i="3"/>
  <c r="AQ6" i="3"/>
  <c r="E52" i="3"/>
  <c r="E112" i="3"/>
  <c r="E147" i="3"/>
  <c r="E340" i="3"/>
  <c r="E50" i="3"/>
  <c r="E62" i="3"/>
  <c r="E218" i="3"/>
  <c r="E365" i="3"/>
  <c r="E101" i="3"/>
  <c r="E205" i="3"/>
  <c r="E296" i="3"/>
  <c r="E197" i="3"/>
  <c r="E369" i="3"/>
  <c r="E525" i="3"/>
  <c r="E534" i="3"/>
  <c r="T6" i="3"/>
  <c r="E405" i="3"/>
  <c r="E456" i="3"/>
  <c r="E469" i="3"/>
  <c r="E512" i="3"/>
  <c r="E408" i="3"/>
  <c r="E451" i="3"/>
  <c r="E360" i="3"/>
  <c r="E556" i="3"/>
  <c r="E497" i="3"/>
  <c r="E494" i="3"/>
  <c r="E452" i="3"/>
  <c r="E470" i="3"/>
  <c r="E420" i="3"/>
  <c r="E26" i="3"/>
  <c r="E104" i="3"/>
  <c r="E41" i="3"/>
  <c r="E198" i="3"/>
  <c r="E139" i="3"/>
  <c r="E225" i="3"/>
  <c r="E243" i="3"/>
  <c r="E391" i="3"/>
  <c r="E356" i="3"/>
  <c r="AL6" i="3"/>
  <c r="E42" i="3"/>
  <c r="E94" i="3"/>
  <c r="E75" i="3"/>
  <c r="E428" i="3"/>
  <c r="E482" i="3"/>
  <c r="E412" i="3"/>
  <c r="E18" i="3"/>
  <c r="E96" i="3"/>
  <c r="E78" i="3"/>
  <c r="E129" i="3"/>
  <c r="E190" i="3"/>
  <c r="E174" i="3"/>
  <c r="E220" i="3"/>
  <c r="E275" i="3"/>
  <c r="E235" i="3"/>
  <c r="E324" i="3"/>
  <c r="E383" i="3"/>
  <c r="E342" i="3"/>
  <c r="E35" i="3"/>
  <c r="E86" i="3"/>
  <c r="E34" i="3"/>
  <c r="E49" i="3"/>
  <c r="E206" i="3"/>
  <c r="E251" i="3"/>
  <c r="E370" i="3"/>
  <c r="AF6" i="3"/>
  <c r="E102" i="3"/>
  <c r="E80" i="3"/>
  <c r="E158" i="3"/>
  <c r="E287" i="3"/>
  <c r="E308" i="3"/>
  <c r="E83" i="3"/>
  <c r="E493" i="3"/>
  <c r="J6" i="3"/>
  <c r="E401" i="3"/>
  <c r="E119" i="3"/>
  <c r="E226" i="3"/>
  <c r="E346" i="3"/>
  <c r="L6" i="3"/>
  <c r="E43" i="3"/>
  <c r="E473" i="3"/>
  <c r="E455" i="3"/>
  <c r="E38" i="3"/>
  <c r="E170" i="3"/>
  <c r="E194" i="3"/>
  <c r="E219" i="3"/>
  <c r="E339" i="3"/>
  <c r="E392" i="3"/>
  <c r="E36" i="3"/>
  <c r="E123" i="3"/>
  <c r="E364" i="3"/>
  <c r="E20" i="3"/>
  <c r="E176" i="3"/>
  <c r="E265" i="3"/>
  <c r="E524" i="3"/>
  <c r="E165" i="3"/>
  <c r="E244" i="3"/>
  <c r="E149" i="3"/>
  <c r="E167" i="3"/>
  <c r="AD6" i="3"/>
  <c r="E542" i="3"/>
  <c r="E552" i="3"/>
  <c r="E421" i="3"/>
  <c r="E464" i="3"/>
  <c r="E487" i="3"/>
  <c r="E398" i="3"/>
  <c r="E459" i="3"/>
  <c r="E374" i="3"/>
  <c r="E566" i="3"/>
  <c r="E500" i="3"/>
  <c r="E582" i="3"/>
  <c r="E413" i="3"/>
  <c r="E460" i="3"/>
  <c r="E520" i="3"/>
  <c r="E436" i="3"/>
  <c r="E39" i="3"/>
  <c r="E90" i="3"/>
  <c r="E57" i="3"/>
  <c r="E131" i="3"/>
  <c r="E187" i="3"/>
  <c r="E155" i="3"/>
  <c r="E240" i="3"/>
  <c r="E259" i="3"/>
  <c r="E378" i="3"/>
  <c r="E504" i="3"/>
  <c r="E58" i="3"/>
  <c r="E110" i="3"/>
  <c r="E488" i="3"/>
  <c r="E462" i="3"/>
  <c r="E521" i="3"/>
  <c r="E446" i="3"/>
  <c r="E98" i="3"/>
  <c r="E65" i="3"/>
  <c r="E195" i="3"/>
  <c r="E163" i="3"/>
  <c r="E248" i="3"/>
  <c r="E209" i="3"/>
  <c r="E266" i="3"/>
  <c r="E307" i="3"/>
  <c r="E354" i="3"/>
  <c r="E584" i="3"/>
  <c r="E24" i="3"/>
  <c r="E48" i="3"/>
  <c r="E87" i="3"/>
  <c r="E250" i="3"/>
  <c r="E284" i="3"/>
  <c r="E341" i="3"/>
  <c r="Y6" i="3"/>
  <c r="E51" i="3"/>
  <c r="E19" i="3"/>
  <c r="E154" i="3"/>
  <c r="E179" i="3"/>
  <c r="E222" i="3"/>
  <c r="E323" i="3"/>
  <c r="E373" i="3"/>
  <c r="E82" i="3"/>
  <c r="E386"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41" i="3"/>
  <c r="E332"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5" i="3"/>
  <c r="E522" i="3"/>
  <c r="E312" i="3"/>
  <c r="E32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8" i="3"/>
  <c r="E1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15" i="3"/>
  <c r="C21" i="71"/>
  <c r="D22" i="71"/>
  <c r="E140" i="3"/>
  <c r="T60" i="71"/>
  <c r="D60" i="71"/>
  <c r="E66" i="3"/>
  <c r="E108" i="3"/>
  <c r="E15" i="71"/>
  <c r="E14" i="71" s="1"/>
  <c r="E13" i="71" s="1"/>
  <c r="E12" i="71" s="1"/>
  <c r="V16" i="71"/>
  <c r="E232" i="3"/>
  <c r="E258" i="3"/>
  <c r="E138" i="3"/>
  <c r="T32" i="71"/>
  <c r="D32" i="71"/>
  <c r="B11" i="71"/>
  <c r="B10" i="71" s="1"/>
  <c r="B9" i="71" s="1"/>
  <c r="B8" i="71" s="1"/>
  <c r="B7" i="71" s="1"/>
  <c r="B6" i="71" s="1"/>
  <c r="B5" i="71" s="1"/>
  <c r="S12" i="71"/>
  <c r="E289" i="3"/>
  <c r="E281" i="3"/>
  <c r="T56" i="71"/>
  <c r="D56" i="71"/>
  <c r="E234" i="3"/>
  <c r="E22" i="3"/>
  <c r="T36" i="71"/>
  <c r="D36"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F41" i="15"/>
  <c r="M27" i="15"/>
  <c r="G10" i="34" l="1"/>
  <c r="I10" i="34"/>
  <c r="J5" i="15"/>
  <c r="J24" i="15" s="1"/>
  <c r="F10" i="34"/>
  <c r="H10" i="34"/>
  <c r="J10" i="34"/>
  <c r="C48" i="15"/>
  <c r="C66" i="15" s="1"/>
  <c r="L36" i="43"/>
  <c r="L37" i="43" s="1"/>
  <c r="P37" i="43" s="1"/>
  <c r="F25" i="81"/>
  <c r="H6" i="3"/>
  <c r="AC6" i="3"/>
  <c r="F22" i="68"/>
  <c r="F41" i="68" s="1"/>
  <c r="F25" i="12"/>
  <c r="C26" i="12" s="1"/>
  <c r="D25" i="12" s="1"/>
  <c r="F24" i="67"/>
  <c r="C24" i="67" s="1"/>
  <c r="F22" i="11"/>
  <c r="C26" i="11" s="1"/>
  <c r="D22" i="11" s="1"/>
  <c r="F24" i="15"/>
  <c r="C24" i="15" s="1"/>
  <c r="F22" i="69"/>
  <c r="F41" i="69" s="1"/>
  <c r="C20" i="71"/>
  <c r="D21" i="71"/>
  <c r="D116" i="43"/>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N37" i="43" l="1"/>
  <c r="Q37" i="43"/>
  <c r="AB10" i="34"/>
  <c r="T49" i="34" s="1"/>
  <c r="G49" i="34" s="1"/>
  <c r="U10" i="34"/>
  <c r="AA10" i="34"/>
  <c r="R49" i="34" s="1"/>
  <c r="S10" i="34"/>
  <c r="AC10" i="34"/>
  <c r="V49" i="34" s="1"/>
  <c r="I49" i="34" s="1"/>
  <c r="I53" i="34" s="1"/>
  <c r="J53" i="34" s="1"/>
  <c r="W10" i="34"/>
  <c r="M37" i="43"/>
  <c r="O37" i="43"/>
  <c r="O36" i="43"/>
  <c r="P36" i="43"/>
  <c r="M36" i="43"/>
  <c r="Q36" i="43"/>
  <c r="C44" i="11"/>
  <c r="D41" i="11" s="1"/>
  <c r="C24" i="11"/>
  <c r="C23" i="11"/>
  <c r="N36" i="43"/>
  <c r="C26" i="81"/>
  <c r="D25" i="81" s="1"/>
  <c r="C27" i="81"/>
  <c r="C25" i="81" s="1"/>
  <c r="C25" i="11"/>
  <c r="C44" i="68"/>
  <c r="D41" i="68" s="1"/>
  <c r="C44" i="69"/>
  <c r="D41" i="69" s="1"/>
  <c r="C26" i="68"/>
  <c r="D22" i="68" s="1"/>
  <c r="C23" i="68"/>
  <c r="C26" i="69"/>
  <c r="D22" i="69" s="1"/>
  <c r="E6" i="3"/>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G53" i="34" l="1"/>
  <c r="H53" i="34" s="1"/>
  <c r="G54" i="34"/>
  <c r="H54" i="34" s="1"/>
  <c r="R50" i="34"/>
  <c r="E49" i="34"/>
  <c r="C22" i="11"/>
  <c r="C31" i="11" s="1"/>
  <c r="C32" i="81"/>
  <c r="B2" i="81" s="1"/>
  <c r="B3" i="8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I54" i="34" l="1"/>
  <c r="J54" i="34" s="1"/>
  <c r="E54" i="34"/>
  <c r="F54" i="34" s="1"/>
  <c r="E53" i="34"/>
  <c r="F53" i="34" s="1"/>
  <c r="C49" i="34"/>
  <c r="C50" i="34"/>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C16" i="71"/>
  <c r="D17"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15"/>
  <c r="F35" i="67"/>
  <c r="F35" i="15"/>
  <c r="M21" i="67"/>
  <c r="C15" i="71" l="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C19" i="9"/>
  <c r="D2" i="36"/>
  <c r="D2" i="37"/>
  <c r="C102" i="9" l="1"/>
  <c r="C21" i="9"/>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19" i="9"/>
  <c r="C20" i="9"/>
  <c r="AO9" i="1"/>
  <c r="AO7" i="1"/>
  <c r="AO11" i="1"/>
  <c r="AO12" i="1"/>
  <c r="AO6" i="1"/>
  <c r="AO8" i="1"/>
  <c r="AO10" i="1"/>
  <c r="D102" i="9" l="1"/>
  <c r="D21" i="9"/>
  <c r="D22" i="9"/>
  <c r="G19" i="9"/>
  <c r="B3" i="34"/>
  <c r="C103" i="9"/>
  <c r="L46" i="15"/>
  <c r="B2" i="15" s="1"/>
  <c r="B3" i="15" s="1"/>
  <c r="D11" i="71"/>
  <c r="C10"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4" i="52"/>
  <c r="C104" i="9"/>
  <c r="D52" i="9"/>
  <c r="D53" i="9"/>
  <c r="B48" i="72"/>
  <c r="C78" i="9"/>
  <c r="C73" i="9"/>
  <c r="B32" i="72"/>
  <c r="E4" i="52"/>
  <c r="M48" i="9"/>
  <c r="P57" i="9"/>
  <c r="N58" i="9"/>
  <c r="N61" i="9"/>
  <c r="N59" i="9"/>
  <c r="N60" i="9"/>
  <c r="M54" i="9"/>
  <c r="B22" i="72"/>
  <c r="M55" i="9"/>
  <c r="D8" i="52"/>
  <c r="I4" i="52"/>
  <c r="C105" i="9"/>
  <c r="C5" i="74"/>
  <c r="D55" i="9"/>
  <c r="M53" i="9"/>
  <c r="N57" i="9"/>
  <c r="D5" i="52"/>
  <c r="B49" i="72"/>
  <c r="G4" i="52"/>
  <c r="B52" i="72"/>
  <c r="B53" i="72"/>
  <c r="C81" i="9"/>
  <c r="C6" i="74"/>
  <c r="H119" i="9"/>
  <c r="H5" i="52"/>
  <c r="D14" i="53"/>
  <c r="D13" i="53"/>
  <c r="B30" i="72"/>
  <c r="C97" i="9"/>
  <c r="D58" i="9"/>
  <c r="D56" i="9"/>
  <c r="D6" i="53"/>
  <c r="D5" i="53"/>
  <c r="B20" i="72"/>
  <c r="D119" i="9"/>
  <c r="H108" i="9"/>
  <c r="D15" i="53"/>
  <c r="B31" i="72"/>
  <c r="E118" i="9"/>
  <c r="D118" i="9"/>
  <c r="D4" i="52"/>
  <c r="B47" i="72"/>
  <c r="C93" i="9"/>
  <c r="C86" i="9"/>
  <c r="E81" i="9"/>
  <c r="C80" i="9"/>
  <c r="E80" i="9"/>
  <c r="C72" i="9"/>
  <c r="C79" i="9"/>
  <c r="F4" i="52"/>
  <c r="B51" i="72"/>
  <c r="C85" i="9"/>
  <c r="C95" i="9"/>
  <c r="C96" i="9"/>
  <c r="E96" i="9"/>
  <c r="E97" i="9"/>
  <c r="G118" i="9"/>
  <c r="F118" i="9"/>
  <c r="F119" i="9"/>
  <c r="F5" i="52"/>
  <c r="D59" i="9"/>
  <c r="H102" i="9"/>
  <c r="D7" i="53"/>
  <c r="B21" i="72"/>
  <c r="H107" i="9"/>
  <c r="D122" i="9"/>
  <c r="D123" i="9"/>
  <c r="D9" i="52"/>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<sst xmlns="http://schemas.openxmlformats.org/spreadsheetml/2006/main" count="7915" uniqueCount="3432">
  <si>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</si>
  <si>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</si>
  <si>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</si>
  <si>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</si>
  <si>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</si>
  <si>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</si>
  <si>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</si>
  <si>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</si>
  <si>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</si>
  <si>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</si>
  <si>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</si>
  <si>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</si>
  <si>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</si>
  <si>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</si>
  <si>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</si>
  <si>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</si>
  <si>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</si>
  <si>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</si>
  <si>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</si>
  <si>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</si>
  <si>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</si>
  <si>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</si>
  <si>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</si>
  <si>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</si>
  <si>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</si>
  <si>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</si>
  <si>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</si>
  <si>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</si>
  <si>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</si>
  <si>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</si>
  <si>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</si>
  <si>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</si>
  <si>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</si>
  <si>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</si>
  <si>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</si>
  <si>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</si>
  <si>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</si>
  <si>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</si>
  <si>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</si>
  <si>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</si>
  <si>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</si>
  <si>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</si>
  <si>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</si>
  <si>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</si>
  <si>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</si>
  <si>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</si>
  <si>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</si>
  <si>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</si>
  <si>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</si>
  <si>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</si>
  <si>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</si>
  <si>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</si>
  <si>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</si>
  <si>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</si>
  <si>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</si>
  <si>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</si>
  <si>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</si>
  <si>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</si>
  <si>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</si>
  <si>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</si>
  <si>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</si>
  <si>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</si>
  <si>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</si>
  <si>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</si>
  <si>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</si>
  <si>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</si>
  <si>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</si>
  <si>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</si>
  <si>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</si>
  <si>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</si>
  <si>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</si>
  <si>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</si>
  <si>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</si>
  <si>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</si>
  <si>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</si>
  <si>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</si>
  <si>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</si>
  <si>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</si>
  <si>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</si>
  <si>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</si>
  <si>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</si>
  <si>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</si>
  <si>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</si>
  <si>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</si>
  <si>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</si>
  <si>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</si>
  <si>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</si>
  <si>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</si>
  <si>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</si>
  <si>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</si>
  <si>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</si>
  <si>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</si>
  <si>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</si>
  <si>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</si>
  <si>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</si>
  <si>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</si>
  <si>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</si>
  <si>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</si>
  <si>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</si>
  <si>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</si>
  <si>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</si>
  <si>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</si>
  <si>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</si>
  <si>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</si>
  <si>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</si>
  <si>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</si>
  <si>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</si>
  <si>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</si>
  <si>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</si>
  <si>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</si>
  <si>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</si>
  <si>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</si>
  <si>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</si>
  <si>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</si>
  <si>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</si>
  <si>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</si>
  <si>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</si>
  <si>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</si>
  <si>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</si>
  <si>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</si>
  <si>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</si>
  <si>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</si>
  <si>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</si>
  <si>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</si>
  <si>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</si>
  <si>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</si>
  <si>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</si>
  <si>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</si>
  <si>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</si>
  <si>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</si>
  <si>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</si>
  <si>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</si>
  <si>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</si>
  <si>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</si>
  <si>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</si>
  <si>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</si>
  <si>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</si>
  <si>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</si>
  <si>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</si>
  <si>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</si>
  <si>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</si>
  <si>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</si>
  <si>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</si>
  <si>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</si>
  <si>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</si>
  <si>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</si>
  <si>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</si>
  <si>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</si>
  <si>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</si>
  <si>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</si>
  <si>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</si>
  <si>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</si>
  <si>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</si>
  <si>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</si>
  <si>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</si>
  <si>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</si>
  <si>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</si>
  <si>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</si>
  <si>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</si>
  <si>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</si>
  <si>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</si>
  <si>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</si>
  <si>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</si>
  <si>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</si>
  <si>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</si>
  <si>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</si>
  <si>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</si>
  <si>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</si>
  <si>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</si>
  <si>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</si>
  <si>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</si>
  <si>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</si>
  <si>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</si>
  <si>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</si>
  <si>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</si>
  <si>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</si>
  <si>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</si>
  <si>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</si>
  <si>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</si>
  <si>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</si>
  <si>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</si>
  <si>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</si>
  <si>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</si>
  <si>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</si>
  <si>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</si>
  <si>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</si>
  <si>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</si>
  <si>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</si>
  <si>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</si>
  <si>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</si>
  <si>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</si>
  <si>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</si>
  <si>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</si>
  <si>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</si>
  <si>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</si>
  <si>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</si>
  <si>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</si>
  <si>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</si>
  <si>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</si>
  <si>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</si>
  <si>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</si>
  <si>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</si>
  <si>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</si>
  <si>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</si>
  <si>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</si>
  <si>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</si>
  <si>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</si>
  <si>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</si>
  <si>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</si>
  <si>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</si>
  <si>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</si>
  <si>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</si>
  <si>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</si>
  <si>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</si>
  <si>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</si>
  <si>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</si>
  <si>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</si>
  <si>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</si>
  <si>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</si>
  <si>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</si>
  <si>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</si>
  <si>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</si>
  <si>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</si>
  <si>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</si>
  <si>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</si>
  <si>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</si>
  <si>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</si>
  <si>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</si>
  <si>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</si>
  <si>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</si>
  <si>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</si>
  <si>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</si>
  <si>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</si>
  <si>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</si>
  <si>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</si>
  <si>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</si>
  <si>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</si>
  <si>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</si>
  <si>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</si>
  <si>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</si>
  <si>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</si>
  <si>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</si>
  <si>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</si>
  <si>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</si>
  <si>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</si>
  <si>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</si>
  <si>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</si>
  <si>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</si>
  <si>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</si>
  <si>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</si>
  <si>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</si>
  <si>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</si>
  <si>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</si>
  <si>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</si>
  <si>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</si>
  <si>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</si>
  <si>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</si>
  <si>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</si>
  <si>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</si>
  <si>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</si>
  <si>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</si>
  <si>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</si>
  <si>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</si>
  <si>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</si>
  <si>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</si>
  <si>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</si>
  <si>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</si>
  <si>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</si>
  <si>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</si>
  <si>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</si>
  <si>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</si>
  <si>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</si>
  <si>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</si>
  <si>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</si>
  <si>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</si>
  <si>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</si>
  <si>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</si>
  <si>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</si>
  <si>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</si>
  <si>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</si>
  <si>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</si>
  <si>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</si>
  <si>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</si>
  <si>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</si>
  <si>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</si>
  <si>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</si>
  <si>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</si>
  <si>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</si>
  <si>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</si>
  <si>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</si>
  <si>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</si>
  <si>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</si>
  <si>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</si>
  <si>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</si>
  <si>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</si>
  <si>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</si>
  <si>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</si>
  <si>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</si>
  <si>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</si>
  <si>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</si>
  <si>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</si>
  <si>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</si>
  <si>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</si>
  <si>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</si>
  <si>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</si>
  <si>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</si>
  <si>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</si>
  <si>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</si>
  <si>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</si>
  <si>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</si>
  <si>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</si>
  <si>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</si>
  <si>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</si>
  <si>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</si>
  <si>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</si>
  <si>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</si>
  <si>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</si>
  <si>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</si>
  <si>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</si>
  <si>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</si>
  <si>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</si>
  <si>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</si>
  <si>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</si>
  <si>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</si>
  <si>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</si>
  <si>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</si>
  <si>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</si>
  <si>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</si>
  <si>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</si>
  <si>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</si>
  <si>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</si>
  <si>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</si>
  <si>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</si>
  <si>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</si>
  <si>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</si>
  <si>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</si>
  <si>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</si>
  <si>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</si>
  <si>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</si>
  <si>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</si>
  <si>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</si>
  <si>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</si>
  <si>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</si>
  <si>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</si>
  <si>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</si>
  <si>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</si>
  <si>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</si>
  <si>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</si>
  <si>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</si>
  <si>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</si>
  <si>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</si>
  <si>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</si>
  <si>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</si>
  <si>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</si>
  <si>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</si>
  <si>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</si>
  <si>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</si>
  <si>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</si>
  <si>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</si>
  <si>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</si>
  <si>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</si>
  <si>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</si>
  <si>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</si>
  <si>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</si>
  <si>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</si>
  <si>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</si>
  <si>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</si>
  <si>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</si>
  <si>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</si>
  <si>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</si>
  <si>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</si>
  <si>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</si>
  <si>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</si>
  <si>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</si>
  <si>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</si>
  <si>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</si>
  <si>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</si>
  <si>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</si>
  <si>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</si>
  <si>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</si>
  <si>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</si>
  <si>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</si>
  <si>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</si>
  <si>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</si>
  <si>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</si>
  <si>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</si>
  <si>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</si>
  <si>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</si>
  <si>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</si>
  <si>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</si>
  <si>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</si>
  <si>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</si>
  <si>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</si>
  <si>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</si>
  <si>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</si>
  <si>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</si>
  <si>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</si>
  <si>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</si>
  <si>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</si>
  <si>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</si>
  <si>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</si>
  <si>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</si>
  <si>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</si>
  <si>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</si>
  <si>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</si>
  <si>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</si>
  <si>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</si>
  <si>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</si>
  <si>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</si>
  <si>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</si>
  <si>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</si>
  <si>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</si>
  <si>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</si>
  <si>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</si>
  <si>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</si>
  <si>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</si>
  <si>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</si>
  <si>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</si>
  <si>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</si>
  <si>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</si>
  <si>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</si>
  <si>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</si>
  <si>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</si>
  <si>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</si>
  <si>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</si>
  <si>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</si>
  <si>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</si>
  <si>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</si>
  <si>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</si>
  <si>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</si>
  <si>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</si>
  <si>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</si>
  <si>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</si>
  <si>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</si>
  <si>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</si>
  <si>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</si>
  <si>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</si>
  <si>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</si>
  <si>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</si>
  <si>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</si>
  <si>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</si>
  <si>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</si>
  <si>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</si>
  <si>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</si>
  <si>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</si>
  <si>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</si>
  <si>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</si>
  <si>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</si>
  <si>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</si>
  <si>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</si>
  <si>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</si>
  <si>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</si>
  <si>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</si>
  <si>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</si>
  <si>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</si>
  <si>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</si>
  <si>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</si>
  <si>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</si>
  <si>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</si>
  <si>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</si>
  <si>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</si>
  <si>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</si>
  <si>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</si>
  <si>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</si>
  <si>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</si>
  <si>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</si>
  <si>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</si>
  <si>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</si>
  <si>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</si>
  <si>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</si>
  <si>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</si>
  <si>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</si>
  <si>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</si>
  <si>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</si>
  <si>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</si>
  <si>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</si>
  <si>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</si>
  <si>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</si>
  <si>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</si>
  <si>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</si>
  <si>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</si>
  <si>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</si>
  <si>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</si>
  <si>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</si>
  <si>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</si>
  <si>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</si>
  <si>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</si>
  <si>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</si>
  <si>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</si>
  <si>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</si>
  <si>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</si>
  <si>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</si>
  <si>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</si>
  <si>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</si>
  <si>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</si>
  <si>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</si>
  <si>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</si>
  <si>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</si>
  <si>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</si>
  <si>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</si>
  <si>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</si>
  <si>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</si>
  <si>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</si>
  <si>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</si>
  <si>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</si>
  <si>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</si>
  <si>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</si>
  <si>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</si>
  <si>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</si>
  <si>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</si>
  <si>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</si>
  <si>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</si>
  <si>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</si>
  <si>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</si>
  <si>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</si>
  <si>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</si>
  <si>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</si>
  <si>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</si>
  <si>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</si>
  <si>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</si>
  <si>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</si>
  <si>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</si>
  <si>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</si>
  <si>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</si>
  <si>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</si>
  <si>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</si>
  <si>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</si>
  <si>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</si>
  <si>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</si>
  <si>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</si>
  <si>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</si>
  <si>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</si>
  <si>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</si>
  <si>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</si>
  <si>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</si>
  <si>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</si>
  <si>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</si>
  <si>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</si>
  <si>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</si>
  <si>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</si>
  <si>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</si>
  <si>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</si>
  <si>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</si>
  <si>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</si>
  <si>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</si>
  <si>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</si>
  <si>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</si>
  <si>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</si>
  <si>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</si>
  <si>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</si>
  <si>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</si>
  <si>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</si>
  <si>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</si>
  <si>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</si>
  <si>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</si>
  <si>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</si>
  <si>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</si>
  <si>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</si>
  <si>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</si>
  <si>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</si>
  <si>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</si>
  <si>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</si>
  <si>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</si>
  <si>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</si>
  <si>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</si>
  <si>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</si>
  <si>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</si>
  <si>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</si>
  <si>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</si>
  <si>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</si>
  <si>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</si>
  <si>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</si>
  <si>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</si>
  <si>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</si>
  <si>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</si>
  <si>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</si>
  <si>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</si>
  <si>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</si>
  <si>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</si>
  <si>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</si>
  <si>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</si>
  <si>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</si>
  <si>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</si>
  <si>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</si>
  <si>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</si>
  <si>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</si>
  <si>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</si>
  <si>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</si>
  <si>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</si>
  <si>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</si>
  <si>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</si>
  <si>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</si>
  <si>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</si>
  <si>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</si>
  <si>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</si>
  <si>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</si>
  <si>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</si>
  <si>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</si>
  <si>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</si>
  <si>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</si>
  <si>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</si>
  <si>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</si>
  <si>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</si>
  <si>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</si>
  <si>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</si>
  <si>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</si>
  <si>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</si>
  <si>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</si>
  <si>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</si>
  <si>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</si>
  <si>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</si>
  <si>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</si>
  <si>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</si>
  <si>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</si>
  <si>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</si>
  <si>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</si>
  <si>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</si>
  <si>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</si>
  <si>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</si>
  <si>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</si>
  <si>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</si>
  <si>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</si>
  <si>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</si>
  <si>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</si>
  <si>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</si>
  <si>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</si>
  <si>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</si>
  <si>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</si>
  <si>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</si>
  <si>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</si>
  <si>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</si>
  <si>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</si>
  <si>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</si>
  <si>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</si>
  <si>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</si>
  <si>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</si>
  <si>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</si>
  <si>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</si>
  <si>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</si>
  <si>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</si>
  <si>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</si>
  <si>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</si>
  <si>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</si>
  <si>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</si>
  <si>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</si>
  <si>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</si>
  <si>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</si>
  <si>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</si>
  <si>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</si>
  <si>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</si>
  <si>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</si>
  <si>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</si>
  <si>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</si>
  <si>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</si>
  <si>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</si>
  <si>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</si>
  <si>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</si>
  <si>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</si>
  <si>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</si>
  <si>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</si>
  <si>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</si>
  <si>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</si>
  <si>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</si>
  <si>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</si>
  <si>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</si>
  <si>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</si>
  <si>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</si>
  <si>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</si>
  <si>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</si>
  <si>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</si>
  <si>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</si>
  <si>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</si>
  <si>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</si>
  <si>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</si>
  <si>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</si>
  <si>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</si>
  <si>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</si>
  <si>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</si>
  <si>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</si>
  <si>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</si>
  <si>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</si>
  <si>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</si>
  <si>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</si>
  <si>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</si>
  <si>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</si>
  <si>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</si>
  <si>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</si>
  <si>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</si>
  <si>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</si>
  <si>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</si>
  <si>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</si>
  <si>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</si>
  <si>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</si>
  <si>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</si>
  <si>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</si>
  <si>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</si>
  <si>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</si>
  <si>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</si>
  <si>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</si>
  <si>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</si>
  <si>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</si>
  <si>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</si>
  <si>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</si>
  <si>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</si>
  <si>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</si>
  <si>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</si>
  <si>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</si>
  <si>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</si>
  <si>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</si>
  <si>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</si>
  <si>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</si>
  <si>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</si>
  <si>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</si>
  <si>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</si>
  <si>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</si>
  <si>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</si>
  <si>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</si>
  <si>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</si>
  <si>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</si>
  <si>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</si>
  <si>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</si>
  <si>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</si>
  <si>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</si>
  <si>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</si>
  <si>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</si>
  <si>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</si>
  <si>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</si>
  <si>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</si>
  <si>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</si>
  <si>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</si>
  <si>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</si>
  <si>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</si>
  <si>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</si>
  <si>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</si>
  <si>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</si>
  <si>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</si>
  <si>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</si>
  <si>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</si>
  <si>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</si>
  <si>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</si>
  <si>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</si>
  <si>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</si>
  <si>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</si>
  <si>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</si>
  <si>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</si>
  <si>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</si>
  <si>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</si>
  <si>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</si>
  <si>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</si>
  <si>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</si>
  <si>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</si>
  <si>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</si>
  <si>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</si>
  <si>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</si>
  <si>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</si>
  <si>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</si>
  <si>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</si>
  <si>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</si>
  <si>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</si>
  <si>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</si>
  <si>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</si>
  <si>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</si>
  <si>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</si>
  <si>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</si>
  <si>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</si>
  <si>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</si>
  <si>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</si>
  <si>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</si>
  <si>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</si>
  <si>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</si>
  <si>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</si>
  <si>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</si>
  <si>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</si>
  <si>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</si>
  <si>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</si>
  <si>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</si>
  <si>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</si>
  <si>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</si>
  <si>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</si>
  <si>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</si>
  <si>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</si>
  <si>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</si>
  <si>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</si>
  <si>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</si>
  <si>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</si>
  <si>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</si>
  <si>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</si>
  <si>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</si>
  <si>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</si>
  <si>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</si>
  <si>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</si>
  <si>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</si>
  <si>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</si>
  <si>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</si>
  <si>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</si>
  <si>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</si>
  <si>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</si>
  <si>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</si>
  <si>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</si>
  <si>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</si>
  <si>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</si>
  <si>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</si>
  <si>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</si>
  <si>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</si>
  <si>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</si>
  <si>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</si>
  <si>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</si>
  <si>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</si>
  <si>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</si>
  <si>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</si>
  <si>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</si>
  <si>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</si>
  <si>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</si>
  <si>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</si>
  <si>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</si>
  <si>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</si>
  <si>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</si>
  <si>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</si>
  <si>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</si>
  <si>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</si>
  <si>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</si>
  <si>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</si>
  <si>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</si>
  <si>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</si>
  <si>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</si>
  <si>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</si>
  <si>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</si>
  <si>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</si>
  <si>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</si>
  <si>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</si>
  <si>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</si>
  <si>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</si>
  <si>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</si>
  <si>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</si>
  <si>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</si>
  <si>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</si>
  <si>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</si>
  <si>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</si>
  <si>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</si>
  <si>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</si>
  <si>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</si>
  <si>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</si>
  <si>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</si>
  <si>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</si>
  <si>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</si>
  <si>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</si>
  <si>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</si>
  <si>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</si>
  <si>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</si>
  <si>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</si>
  <si>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</si>
  <si>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</si>
  <si>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</si>
  <si>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</si>
  <si>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</si>
  <si>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</si>
  <si>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</si>
  <si>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</si>
  <si>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</si>
  <si>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</si>
  <si>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</si>
  <si>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</si>
  <si>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</si>
  <si>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</si>
  <si>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</si>
  <si>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</si>
  <si>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</si>
  <si>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</si>
  <si>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</si>
  <si>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</si>
  <si>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</si>
  <si>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</si>
  <si>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</si>
  <si>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</si>
  <si>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</si>
  <si>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</si>
  <si>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</si>
  <si>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</si>
  <si>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</si>
  <si>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</si>
  <si>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</si>
  <si>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</si>
  <si>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</si>
  <si>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</si>
  <si>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</si>
  <si>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</si>
  <si>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</si>
  <si>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</si>
  <si>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</si>
  <si>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</si>
  <si>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</si>
  <si>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</si>
  <si>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</si>
  <si>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</si>
  <si>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</si>
  <si>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</si>
  <si>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</si>
  <si>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</si>
  <si>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</si>
  <si>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</si>
  <si>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</si>
  <si>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</si>
  <si>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</si>
  <si>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</si>
  <si>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</si>
  <si>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</si>
  <si>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</si>
  <si>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</si>
  <si>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</si>
  <si>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</si>
  <si>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</si>
  <si>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</si>
  <si>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</si>
  <si>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</si>
  <si>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</si>
  <si>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</si>
  <si>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</si>
  <si>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</si>
  <si>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</si>
  <si>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</si>
  <si>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</si>
  <si>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</si>
  <si>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</si>
  <si>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</si>
  <si>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</si>
  <si>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</si>
  <si>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</si>
  <si>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</si>
  <si>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</si>
  <si>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</si>
  <si>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</si>
  <si>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</si>
  <si>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</si>
  <si>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</si>
  <si>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</si>
  <si>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</si>
  <si>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</si>
  <si>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</si>
  <si>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</si>
  <si>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</si>
  <si>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</si>
  <si>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</si>
  <si>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</si>
  <si>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</si>
  <si>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</si>
  <si>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</si>
  <si>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</si>
  <si>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</si>
  <si>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</si>
  <si>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</si>
  <si>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</si>
  <si>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</si>
  <si>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</si>
  <si>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</si>
  <si>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</si>
  <si>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</si>
  <si>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</si>
  <si>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</si>
  <si>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</si>
  <si>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</si>
  <si>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</si>
  <si>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</si>
  <si>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</si>
  <si>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</si>
  <si>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</si>
  <si>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</si>
  <si>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</si>
  <si>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</si>
  <si>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</si>
  <si>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</si>
  <si>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</si>
  <si>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</si>
  <si>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</si>
  <si>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</si>
  <si>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</si>
  <si>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</si>
  <si>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</si>
  <si>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</si>
  <si>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</si>
  <si>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</si>
  <si>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</si>
  <si>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</si>
  <si>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</si>
  <si>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</si>
  <si>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</si>
  <si>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</si>
  <si>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</si>
  <si>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</si>
  <si>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</si>
  <si>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</si>
  <si>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</si>
  <si>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</si>
  <si>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</si>
  <si>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</si>
  <si>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</si>
  <si>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</si>
  <si>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</si>
  <si>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</si>
  <si>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</si>
  <si>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</si>
  <si>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</si>
  <si>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</si>
  <si>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</si>
  <si>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</si>
  <si>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</si>
  <si>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</si>
  <si>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</si>
  <si>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</si>
  <si>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</si>
  <si>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</si>
  <si>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</si>
  <si>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</si>
  <si>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</si>
  <si>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</si>
  <si>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</si>
  <si>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</si>
  <si>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</si>
  <si>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</si>
  <si>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</si>
  <si>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</si>
  <si>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</si>
  <si>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</si>
  <si>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</si>
  <si>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</si>
  <si>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</si>
  <si>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</si>
  <si>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</si>
  <si>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</si>
  <si>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</si>
  <si>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</si>
  <si>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</si>
  <si>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</si>
  <si>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</si>
  <si>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</si>
  <si>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</si>
  <si>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</si>
  <si>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</si>
  <si>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</si>
  <si>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</si>
  <si>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</si>
  <si>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</si>
  <si>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</si>
  <si>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</si>
  <si>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</si>
  <si>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</si>
  <si>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</si>
  <si>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</si>
  <si>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</si>
  <si>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</si>
  <si>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</si>
  <si>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</si>
  <si>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</si>
  <si>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</si>
  <si>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</si>
  <si>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</si>
  <si>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</si>
  <si>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</si>
  <si>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</si>
  <si>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</si>
  <si>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</si>
  <si>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</si>
  <si>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</si>
  <si>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</si>
  <si>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</si>
  <si>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</si>
  <si>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</si>
  <si>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</si>
  <si>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</si>
  <si>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</si>
  <si>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</si>
  <si>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</si>
  <si>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</si>
  <si>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</si>
  <si>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</si>
  <si>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</si>
  <si>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</si>
  <si>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</si>
  <si>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</si>
  <si>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</si>
  <si>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</si>
  <si>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</si>
  <si>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</si>
  <si>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</si>
  <si>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</si>
  <si>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</si>
  <si>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</si>
  <si>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</si>
  <si>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</si>
  <si>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</si>
  <si>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</si>
  <si>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</si>
  <si>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</si>
  <si>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</si>
  <si>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</si>
  <si>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</si>
  <si>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</si>
  <si>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</si>
  <si>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</si>
  <si>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</si>
  <si>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</si>
  <si>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</si>
  <si>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</si>
  <si>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</si>
  <si>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</si>
  <si>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</si>
  <si>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</si>
  <si>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</si>
  <si>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</si>
  <si>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</si>
  <si>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</si>
  <si>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</si>
  <si>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</si>
  <si>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</si>
  <si>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</si>
  <si>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</si>
  <si>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</si>
  <si>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</si>
  <si>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</si>
  <si>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</si>
  <si>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</si>
  <si>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</si>
  <si>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</si>
  <si>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</si>
  <si>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</si>
  <si>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</si>
  <si>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</si>
  <si>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</si>
  <si>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</si>
  <si>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</si>
  <si>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</si>
  <si>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</si>
  <si>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</si>
  <si>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</si>
  <si>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</si>
  <si>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</si>
  <si>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</si>
  <si>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</si>
  <si>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</si>
  <si>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</si>
  <si>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</si>
  <si>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</si>
  <si>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</si>
  <si>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</si>
  <si>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</si>
  <si>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</si>
  <si>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</si>
  <si>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</si>
  <si>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</si>
  <si>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</si>
  <si>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</si>
  <si>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</si>
  <si>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</si>
  <si>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</si>
  <si>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</si>
  <si>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</si>
  <si>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</si>
  <si>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</si>
  <si>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</si>
  <si>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</si>
  <si>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</si>
  <si>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</si>
  <si>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</si>
  <si>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</si>
  <si>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</si>
  <si>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</si>
  <si>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</si>
  <si>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</si>
  <si>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</si>
  <si>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</si>
  <si>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</si>
  <si>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</si>
  <si>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</si>
  <si>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</si>
  <si>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</si>
  <si>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</si>
  <si>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</si>
  <si>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</si>
  <si>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</si>
  <si>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</si>
  <si>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</si>
  <si>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</si>
  <si>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</si>
  <si>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</si>
  <si>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</si>
  <si>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</si>
  <si>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</si>
  <si>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</si>
  <si>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</si>
  <si>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</si>
  <si>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</si>
  <si>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</si>
  <si>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</si>
  <si>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</si>
  <si>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</si>
  <si>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</si>
  <si>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</si>
  <si>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</si>
  <si>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</si>
  <si>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</si>
  <si>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</si>
  <si>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</si>
  <si>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</si>
  <si>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</si>
  <si>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</si>
  <si>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</si>
  <si>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</si>
  <si>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</si>
  <si>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</si>
  <si>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</si>
  <si>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</si>
  <si>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</si>
  <si>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</si>
  <si>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</si>
  <si>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</si>
  <si>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</si>
  <si>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</si>
  <si>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</si>
  <si>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</si>
  <si>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</si>
  <si>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</si>
  <si>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</si>
  <si>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</si>
  <si>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</si>
  <si>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</si>
  <si>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</si>
  <si>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</si>
  <si>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</si>
  <si>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</si>
  <si>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</si>
  <si>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</si>
  <si>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</si>
  <si>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</si>
  <si>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</si>
  <si>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</si>
  <si>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</si>
  <si>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</si>
  <si>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</si>
  <si>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</si>
  <si>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</si>
  <si>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</si>
  <si>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</si>
  <si>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</si>
  <si>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</si>
  <si>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</si>
  <si>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</si>
  <si>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</si>
  <si>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</si>
  <si>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</si>
  <si>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</si>
  <si>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</si>
  <si>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</si>
  <si>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</si>
  <si>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</si>
  <si>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</si>
  <si>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</si>
  <si>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</si>
  <si>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</si>
  <si>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</si>
  <si>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</si>
  <si>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</si>
  <si>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</si>
  <si>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</si>
  <si>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</si>
  <si>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</si>
  <si>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</si>
  <si>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</si>
  <si>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</si>
  <si>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</si>
  <si>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</si>
  <si>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</si>
  <si>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</si>
  <si>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</si>
  <si>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</si>
  <si>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</si>
  <si>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</si>
  <si>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</si>
  <si>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</si>
  <si>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</si>
  <si>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</si>
  <si>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</si>
  <si>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</si>
  <si>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</si>
  <si>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</si>
  <si>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</si>
  <si>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</si>
  <si>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</si>
  <si>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</si>
  <si>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</si>
  <si>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</si>
  <si>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</si>
  <si>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</si>
  <si>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</si>
  <si>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</si>
  <si>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</si>
  <si>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</si>
  <si>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</si>
  <si>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</si>
  <si>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</si>
  <si>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</si>
  <si>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</si>
  <si>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</si>
  <si>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</si>
  <si>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</si>
  <si>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</si>
  <si>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</si>
  <si>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</si>
  <si>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</si>
  <si>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</si>
  <si>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</si>
  <si>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</si>
  <si>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</si>
  <si>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</si>
  <si>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</si>
  <si>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</si>
  <si>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</si>
  <si>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</si>
  <si>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</si>
  <si>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</si>
  <si>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</si>
  <si>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</si>
  <si>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</si>
  <si>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</si>
  <si>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</si>
  <si>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</si>
  <si>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</si>
  <si>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</si>
  <si>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</si>
  <si>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</si>
  <si>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</si>
  <si>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</si>
  <si>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</si>
  <si>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</si>
  <si>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</si>
  <si>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</si>
  <si>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</si>
  <si>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</si>
  <si>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</si>
  <si>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</si>
  <si>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</si>
  <si>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</si>
  <si>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</si>
  <si>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</si>
  <si>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</si>
  <si>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</si>
  <si>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</si>
  <si>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</si>
  <si>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</si>
  <si>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</si>
  <si>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</si>
  <si>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</si>
  <si>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</si>
  <si>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</si>
  <si>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</si>
  <si>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</si>
  <si>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</si>
  <si>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</si>
  <si>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</si>
  <si>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</si>
  <si>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</si>
  <si>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</si>
  <si>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</si>
  <si>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</si>
  <si>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</si>
  <si>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</si>
  <si>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</si>
  <si>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</si>
  <si>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</si>
  <si>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</si>
  <si>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</si>
  <si>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</si>
  <si>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</si>
  <si>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</si>
  <si>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</si>
  <si>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</si>
  <si>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</si>
  <si>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</si>
  <si>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</si>
  <si>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</si>
  <si>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</si>
  <si>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</si>
  <si>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</si>
  <si>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</si>
  <si>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</si>
  <si>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</si>
  <si>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</si>
  <si>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</si>
  <si>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</si>
  <si>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</si>
  <si>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</si>
  <si>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</si>
  <si>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</si>
  <si>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</si>
  <si>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</si>
  <si>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</si>
  <si>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</si>
  <si>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</si>
  <si>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</si>
  <si>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</si>
  <si>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</si>
  <si>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</si>
  <si>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</si>
  <si>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</si>
  <si>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</si>
  <si>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</si>
  <si>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</si>
  <si>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</si>
  <si>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</si>
  <si>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</si>
  <si>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</si>
  <si>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</si>
  <si>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</si>
  <si>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</si>
  <si>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</si>
  <si>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</si>
  <si>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</si>
  <si>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</si>
  <si>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</si>
  <si>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</si>
  <si>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</si>
  <si>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</si>
  <si>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</si>
  <si>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</si>
  <si>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</si>
  <si>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</si>
  <si>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</si>
  <si>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</si>
  <si>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</si>
  <si>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</si>
  <si>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</si>
  <si>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</si>
  <si>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</si>
  <si>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</si>
  <si>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</si>
  <si>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</si>
  <si>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</si>
  <si>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</si>
  <si>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</si>
  <si>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</si>
  <si>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</si>
  <si>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</si>
  <si>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</si>
  <si>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</si>
  <si>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</si>
  <si>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</si>
  <si>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</si>
  <si>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</si>
  <si>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</si>
  <si>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</si>
  <si>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</si>
  <si>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</si>
  <si>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</si>
  <si>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</si>
  <si>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</si>
  <si>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</si>
  <si>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</si>
  <si>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</si>
  <si>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</si>
  <si>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</si>
  <si>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</si>
  <si>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</si>
  <si>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</si>
  <si>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</si>
  <si>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</si>
  <si>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</si>
  <si>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</si>
  <si>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</si>
  <si>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</si>
  <si>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</si>
  <si>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</si>
  <si>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</si>
  <si>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</si>
  <si>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</si>
  <si>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</si>
  <si>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</si>
  <si>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</si>
  <si>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</si>
  <si>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</si>
  <si>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</si>
  <si>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</si>
  <si>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</si>
  <si>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</si>
  <si>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</si>
  <si>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</si>
  <si>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</si>
  <si>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</si>
  <si>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</si>
  <si>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</si>
  <si>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</si>
  <si>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</si>
  <si>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</si>
  <si>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</si>
  <si>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</si>
  <si>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</si>
  <si>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</si>
  <si>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</si>
  <si>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</si>
  <si>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</si>
  <si>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</si>
  <si>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</si>
  <si>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</si>
  <si>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</si>
  <si>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</si>
  <si>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</si>
  <si>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</si>
  <si>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</si>
  <si>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</si>
  <si>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</si>
  <si>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</si>
  <si>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</si>
  <si>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</si>
  <si>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</si>
  <si>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</si>
  <si>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</si>
  <si>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</si>
  <si>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</si>
  <si>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</si>
  <si>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</si>
  <si>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</si>
  <si>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</si>
  <si>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</si>
  <si>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</si>
  <si>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</si>
  <si>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</si>
  <si>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</si>
  <si>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</si>
  <si>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</si>
  <si>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</si>
  <si>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</si>
  <si>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</si>
  <si>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</si>
  <si>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</si>
  <si>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</si>
  <si>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</si>
  <si>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</si>
  <si>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</si>
  <si>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</si>
  <si>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</si>
  <si>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</si>
  <si>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</si>
  <si>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</si>
  <si>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</si>
  <si>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</si>
  <si>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</si>
  <si>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</si>
  <si>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</si>
  <si>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</si>
  <si>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</si>
  <si>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</si>
  <si>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</si>
  <si>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</si>
  <si>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</si>
  <si>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</si>
  <si>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</si>
  <si>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</si>
  <si>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</si>
  <si>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</si>
  <si>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</si>
  <si>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</si>
  <si>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</si>
  <si>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</si>
  <si>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</si>
  <si>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</si>
  <si>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</si>
  <si>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</si>
  <si>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</si>
  <si>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</si>
  <si>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</si>
  <si>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</si>
  <si>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</si>
  <si>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</si>
  <si>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</si>
  <si>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</si>
  <si>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</si>
  <si>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</si>
  <si>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</si>
  <si>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</si>
  <si>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</si>
  <si>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</si>
  <si>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</si>
  <si>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</si>
  <si>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</si>
  <si>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</si>
  <si>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</si>
  <si>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</si>
  <si>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</si>
  <si>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</si>
  <si>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</si>
  <si>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</si>
  <si>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</si>
  <si>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</si>
  <si>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</si>
  <si>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</si>
  <si>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</si>
  <si>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</si>
  <si>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</si>
  <si>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</si>
  <si>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</si>
  <si>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</si>
  <si>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</si>
  <si>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</si>
  <si>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</si>
  <si>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</si>
  <si>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</si>
  <si>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</si>
  <si>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</si>
  <si>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</si>
  <si>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</si>
  <si>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</si>
  <si>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</si>
  <si>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</si>
  <si>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</si>
  <si>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</si>
  <si>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</si>
  <si>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</si>
  <si>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</si>
  <si>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</si>
  <si>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</si>
  <si>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</si>
  <si>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</si>
  <si>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</si>
  <si>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</si>
  <si>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</si>
  <si>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</si>
  <si>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</si>
  <si>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</si>
  <si>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</si>
  <si>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</si>
  <si>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</si>
  <si>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</si>
  <si>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</si>
  <si>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</si>
  <si>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</si>
  <si>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</si>
  <si>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</si>
  <si>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</si>
  <si>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</si>
  <si>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</si>
  <si>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</si>
  <si>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</si>
  <si>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</si>
  <si>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</si>
  <si>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</si>
  <si>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</si>
  <si>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</si>
  <si>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</si>
  <si>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</si>
  <si>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</si>
  <si>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</si>
  <si>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</si>
  <si>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</si>
  <si>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</si>
  <si>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</si>
  <si>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</si>
  <si>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</si>
  <si>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</si>
  <si>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</si>
  <si>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</si>
  <si>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</si>
  <si>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</si>
  <si>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</si>
  <si>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</si>
  <si>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</si>
  <si>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</si>
  <si>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</si>
  <si>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</si>
  <si>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</si>
  <si>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</si>
  <si>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</si>
  <si>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</si>
  <si>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</si>
  <si>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</si>
  <si>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</si>
  <si>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</si>
  <si>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</si>
  <si>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</si>
  <si>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</si>
  <si>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</si>
  <si>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</si>
  <si>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</si>
  <si>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</si>
  <si>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</si>
  <si>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</si>
  <si>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</si>
  <si>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</si>
  <si>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</si>
  <si>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</si>
  <si>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</si>
  <si>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</si>
  <si>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</si>
  <si>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</si>
  <si>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</si>
  <si>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</si>
  <si>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</si>
  <si>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</si>
  <si>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</si>
  <si>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</si>
  <si>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</si>
  <si>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</si>
  <si>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</si>
  <si>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</si>
  <si>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</si>
  <si>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</si>
  <si>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</si>
  <si>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</si>
  <si>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</si>
  <si>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</si>
  <si>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</si>
  <si>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</si>
  <si>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</si>
  <si>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</si>
  <si>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</si>
  <si>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</si>
  <si>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</si>
  <si>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</si>
  <si>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</si>
  <si>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</si>
  <si>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</si>
  <si>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</si>
  <si>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</si>
  <si>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</si>
  <si>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</si>
  <si>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</si>
  <si>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</si>
  <si>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</si>
  <si>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</si>
  <si>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</si>
  <si>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</si>
  <si>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</si>
  <si>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</si>
  <si>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</si>
  <si>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</si>
  <si>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</si>
  <si>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</si>
  <si>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</si>
  <si>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</si>
  <si>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</si>
  <si>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</si>
  <si>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</si>
  <si>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</si>
  <si>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</si>
  <si>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</si>
  <si>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</si>
  <si>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</si>
  <si>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</si>
  <si>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</si>
  <si>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</si>
  <si>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</si>
  <si>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</si>
  <si>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</si>
  <si>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</si>
  <si>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</si>
  <si>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</si>
  <si>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</si>
  <si>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</si>
  <si>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</si>
  <si>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</si>
  <si>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</si>
  <si>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</si>
  <si>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</si>
  <si>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</si>
  <si>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</si>
  <si>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</si>
  <si>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</si>
  <si>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</si>
  <si>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</si>
  <si>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</si>
  <si>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</si>
  <si>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</si>
  <si>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</si>
  <si>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</si>
  <si>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</si>
  <si>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</si>
  <si>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</si>
  <si>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</si>
  <si>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</si>
  <si>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</si>
  <si>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</si>
  <si>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</si>
  <si>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</si>
  <si>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</si>
  <si>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</si>
  <si>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</si>
  <si>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</si>
  <si>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</si>
  <si>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</si>
  <si>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</si>
  <si>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</si>
  <si>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</si>
  <si>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</si>
  <si>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</si>
  <si>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</si>
  <si>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</si>
  <si>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</si>
  <si>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</si>
  <si>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</si>
  <si>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</si>
  <si>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</si>
  <si>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</si>
  <si>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</si>
  <si>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</si>
  <si>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</si>
  <si>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</si>
  <si>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</si>
  <si>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</si>
  <si>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</si>
  <si>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</si>
  <si>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</si>
  <si>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</si>
  <si>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</si>
  <si>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</si>
  <si>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</si>
  <si>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</si>
  <si>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</si>
  <si>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</si>
  <si>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</si>
  <si>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</si>
  <si>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</si>
  <si>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</si>
  <si>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</si>
  <si>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</si>
  <si>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</si>
  <si>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</si>
  <si>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</si>
  <si>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</si>
  <si>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</si>
  <si>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</si>
  <si>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</si>
  <si>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</si>
  <si>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</si>
  <si>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</si>
  <si>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</si>
  <si>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</si>
  <si>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</si>
  <si>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</si>
  <si>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</si>
  <si>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</si>
  <si>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</si>
  <si>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</si>
  <si>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</si>
  <si>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</si>
  <si>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</si>
  <si>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</si>
  <si>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</si>
  <si>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</si>
  <si>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</si>
  <si>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</si>
  <si>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</si>
  <si>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</si>
  <si>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</si>
  <si>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</si>
  <si>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</si>
  <si>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</si>
  <si>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</si>
  <si>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</si>
  <si>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</si>
  <si>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</si>
  <si>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</si>
  <si>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</si>
  <si>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</si>
  <si>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</si>
  <si>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</si>
  <si>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</si>
  <si>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</si>
  <si>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</si>
  <si>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</si>
  <si>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</si>
  <si>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</si>
  <si>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</si>
  <si>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</si>
  <si>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</si>
  <si>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</si>
  <si>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</si>
  <si>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</si>
  <si>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</si>
  <si>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</si>
  <si>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</si>
  <si>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</si>
  <si>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</si>
  <si>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</si>
  <si>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</si>
  <si>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</si>
  <si>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</si>
  <si>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</si>
  <si>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</si>
  <si>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</si>
  <si>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</si>
  <si>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</si>
  <si>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</si>
  <si>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</si>
  <si>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</si>
  <si>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</si>
  <si>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</si>
  <si>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</si>
  <si>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</si>
  <si>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</si>
  <si>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</si>
  <si>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</si>
  <si>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</si>
  <si>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</si>
  <si>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</si>
  <si>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</si>
  <si>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</si>
  <si>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</si>
  <si>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</si>
  <si>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</si>
  <si>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</si>
  <si>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</si>
  <si>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</si>
  <si>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</si>
  <si>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</si>
  <si>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</si>
  <si>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</si>
  <si>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</si>
  <si>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</si>
  <si>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</si>
  <si>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</si>
  <si>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</si>
  <si>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</si>
  <si>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</si>
  <si>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</si>
  <si>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</si>
  <si>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</si>
  <si>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</si>
  <si>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</si>
  <si>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</si>
  <si>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</si>
  <si>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</si>
  <si>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</si>
  <si>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</si>
  <si>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</si>
  <si>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</si>
  <si>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</si>
  <si>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</si>
  <si>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</si>
  <si>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</si>
  <si>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</si>
  <si>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</si>
  <si>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</si>
  <si>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</si>
  <si>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</si>
  <si>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</si>
  <si>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</si>
  <si>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</si>
  <si>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</si>
  <si>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</si>
  <si>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</si>
  <si>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</si>
  <si>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</si>
  <si>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</si>
  <si>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</si>
  <si>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</si>
  <si>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</si>
  <si>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</si>
  <si>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</si>
  <si>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</si>
  <si>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</si>
  <si>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</si>
  <si>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</si>
  <si>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</si>
  <si>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</si>
  <si>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</si>
  <si>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</si>
  <si>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</si>
  <si>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</si>
  <si>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</si>
  <si>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</si>
  <si>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</si>
  <si>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</si>
  <si>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</si>
  <si>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</si>
  <si>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</si>
  <si>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</si>
  <si>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</si>
  <si>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</si>
  <si>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</si>
  <si>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</si>
  <si>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</si>
  <si>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</si>
  <si>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</si>
  <si>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</si>
  <si>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</si>
  <si>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</si>
  <si>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</si>
  <si>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</si>
  <si>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</si>
  <si>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</si>
  <si>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</si>
  <si>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</si>
  <si>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</si>
  <si>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</si>
  <si>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</si>
  <si>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</si>
  <si>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</si>
  <si>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</si>
  <si>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</si>
  <si>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</si>
  <si>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</si>
  <si>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</si>
  <si>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</si>
  <si>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</si>
  <si>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</si>
  <si>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</si>
  <si>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</si>
  <si>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</si>
  <si>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</si>
  <si>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</si>
  <si>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</si>
  <si>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</si>
  <si>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</si>
  <si>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</si>
  <si>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</si>
  <si>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</si>
  <si>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</si>
  <si>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</si>
  <si>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</si>
  <si>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</si>
  <si>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</si>
  <si>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</si>
  <si>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</si>
  <si>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</si>
  <si>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</si>
  <si>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</si>
  <si>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</si>
  <si>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</si>
  <si>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</si>
  <si>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</si>
  <si>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</si>
  <si>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</si>
  <si>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</si>
  <si>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</si>
  <si>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</si>
  <si>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</si>
  <si>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</si>
  <si>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</si>
  <si>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</si>
  <si>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</si>
  <si>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</si>
  <si>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</si>
  <si>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</si>
  <si>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</si>
  <si>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</si>
  <si>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</si>
  <si>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</si>
  <si>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</si>
  <si>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</si>
  <si>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</si>
  <si>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</si>
  <si>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</si>
  <si>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</si>
  <si>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</si>
  <si>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</si>
  <si>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</si>
  <si>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</si>
  <si>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</si>
  <si>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</si>
  <si>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</si>
  <si>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</si>
  <si>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</si>
  <si>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</si>
  <si>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</si>
  <si>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</si>
  <si>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</si>
  <si>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</si>
  <si>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</si>
  <si>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</si>
  <si>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</si>
  <si>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</si>
  <si>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</si>
  <si>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</si>
  <si>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</si>
  <si>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</si>
  <si>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</si>
  <si>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</si>
  <si>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</si>
  <si>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</si>
  <si>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</si>
  <si>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</si>
  <si>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</si>
  <si>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</si>
  <si>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</si>
  <si>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</si>
  <si>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</si>
  <si>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</si>
  <si>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</si>
  <si>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</si>
  <si>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</si>
  <si>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</si>
  <si>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</si>
  <si>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</si>
  <si>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</si>
  <si>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</si>
  <si>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</si>
  <si>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</si>
  <si>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</si>
  <si>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</si>
  <si>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</si>
  <si>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</si>
  <si>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</si>
  <si>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</si>
  <si>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</si>
  <si>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</si>
  <si>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</si>
  <si>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</si>
  <si>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</si>
  <si>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</si>
  <si>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</si>
  <si>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</si>
  <si>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</si>
  <si>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</si>
  <si>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</si>
  <si>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</si>
  <si>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</si>
  <si>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</si>
  <si>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</si>
  <si>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</si>
  <si>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</si>
  <si>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</si>
  <si>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</si>
  <si>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</si>
  <si>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</si>
  <si>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</si>
  <si>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</si>
  <si>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</si>
  <si>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</si>
  <si>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</si>
  <si>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</si>
  <si>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</si>
  <si>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</si>
  <si>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</si>
  <si>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</si>
  <si>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</si>
  <si>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</si>
  <si>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</si>
  <si>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</si>
  <si>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</si>
  <si>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</si>
  <si>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</si>
  <si>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</si>
  <si>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</si>
  <si>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</si>
  <si>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</si>
  <si>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</si>
  <si>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</si>
  <si>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</si>
  <si>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</si>
  <si>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</si>
  <si>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</si>
  <si>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</si>
  <si>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</si>
  <si>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</si>
  <si>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</si>
  <si>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</si>
  <si>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</si>
  <si>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</si>
  <si>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</si>
  <si>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</si>
  <si>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</si>
  <si>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</si>
  <si>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</si>
  <si>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</si>
  <si>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</si>
  <si>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</si>
  <si>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</si>
  <si>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</si>
  <si>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</si>
  <si>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</si>
  <si>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</si>
  <si>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</si>
  <si>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</si>
  <si>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</si>
  <si>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</si>
  <si>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</si>
  <si>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</si>
  <si>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</si>
  <si>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</si>
  <si>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</si>
  <si>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</si>
  <si>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</si>
  <si>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</si>
  <si>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</si>
  <si>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</si>
  <si>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</si>
  <si>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</si>
  <si>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</si>
  <si>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</si>
  <si>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</si>
  <si>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</si>
  <si>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</si>
  <si>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</si>
  <si>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</si>
  <si>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</si>
  <si>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</si>
  <si>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</si>
  <si>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</si>
  <si>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</si>
  <si>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</si>
  <si>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</si>
  <si>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</si>
  <si>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</si>
  <si>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</si>
  <si>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</si>
  <si>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</si>
  <si>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</si>
  <si>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</si>
  <si>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</si>
  <si>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</si>
  <si>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</si>
  <si>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</si>
  <si>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</si>
  <si>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</si>
  <si>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</si>
  <si>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</si>
  <si>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</si>
  <si>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</si>
  <si>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</si>
  <si>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</si>
  <si>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</si>
  <si>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</si>
  <si>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</si>
  <si>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</si>
  <si>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</si>
  <si>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</si>
  <si>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</si>
  <si>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</si>
  <si>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</si>
  <si>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</si>
  <si>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</si>
  <si>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</si>
  <si>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</si>
  <si>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</si>
  <si>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</si>
  <si>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</si>
  <si>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</si>
  <si>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</si>
  <si>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</si>
  <si>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</si>
  <si>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</si>
  <si>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</si>
  <si>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</si>
  <si>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</si>
  <si>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</si>
  <si>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</si>
  <si>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</si>
  <si>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</si>
  <si>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</si>
  <si>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</si>
  <si>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</si>
  <si>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</si>
  <si>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</si>
  <si>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</si>
  <si>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</si>
  <si>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</si>
  <si>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</si>
  <si>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</si>
  <si>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</si>
  <si>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</si>
  <si>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</si>
  <si>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</si>
  <si>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</si>
  <si>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</si>
  <si>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</si>
  <si>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</si>
  <si>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</si>
  <si>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</si>
  <si>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</si>
  <si>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</si>
  <si>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</si>
  <si>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</si>
  <si>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</si>
  <si>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</si>
  <si>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</si>
  <si>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</si>
  <si>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</si>
  <si>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</si>
  <si>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</si>
  <si>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</si>
  <si>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</si>
  <si>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</si>
  <si>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</si>
  <si>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</si>
  <si>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</si>
  <si>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</si>
  <si>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</si>
  <si>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</si>
  <si>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</si>
  <si>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</si>
  <si>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</si>
  <si>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</si>
  <si>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</si>
  <si>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</si>
  <si>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</si>
  <si>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</si>
  <si>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</si>
  <si>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</si>
  <si>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</si>
  <si>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</si>
  <si>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</si>
  <si>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</si>
  <si>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</si>
  <si>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</si>
  <si>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</si>
  <si>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</si>
  <si>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</si>
  <si>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</si>
  <si>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</si>
  <si>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</si>
  <si>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</si>
  <si>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</si>
  <si>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</si>
  <si>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</si>
  <si>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</si>
  <si>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</si>
  <si>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</si>
  <si>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</si>
  <si>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</si>
  <si>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</si>
  <si>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</si>
  <si>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</si>
  <si>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</si>
  <si>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</si>
  <si>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</si>
  <si>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</si>
  <si>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</si>
  <si>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</si>
  <si>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</si>
  <si>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</si>
  <si>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</si>
  <si>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</si>
  <si>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</si>
  <si>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</si>
  <si>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</si>
  <si>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</si>
  <si>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</si>
  <si>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</si>
  <si>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</si>
  <si>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</si>
  <si>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</si>
  <si>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</si>
  <si>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</si>
  <si>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</si>
  <si>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</si>
  <si>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</si>
  <si>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</si>
  <si>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</si>
  <si>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</si>
  <si>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</si>
  <si>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</si>
  <si>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</si>
  <si>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</si>
  <si>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</si>
  <si>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</si>
  <si>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</si>
  <si>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</si>
  <si>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</si>
  <si>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</si>
  <si>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</si>
  <si>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</si>
  <si>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</si>
  <si>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</si>
  <si>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</si>
  <si>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</si>
  <si>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</si>
  <si>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</si>
  <si>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</si>
  <si>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</si>
  <si>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</si>
  <si>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</si>
  <si>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</si>
  <si>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</si>
  <si>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</si>
  <si>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</si>
  <si>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</si>
  <si>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</si>
  <si>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</si>
  <si>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</si>
  <si>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</si>
  <si>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</si>
  <si>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</si>
  <si>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</si>
  <si>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</si>
  <si>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</si>
  <si>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</si>
  <si>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</si>
  <si>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</si>
  <si>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</si>
  <si>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</si>
  <si>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</si>
  <si>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</si>
  <si>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</si>
  <si>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</si>
  <si>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</si>
  <si>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</si>
  <si>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</si>
  <si>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</si>
  <si>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</si>
  <si>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</si>
  <si>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</si>
  <si>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</si>
  <si>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</si>
  <si>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</si>
  <si>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</si>
  <si>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</si>
  <si>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</si>
  <si>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</si>
  <si>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</si>
  <si>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</si>
  <si>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</si>
  <si>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</si>
  <si>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</si>
  <si>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</si>
  <si>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</si>
  <si>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</si>
  <si>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</si>
  <si>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</si>
  <si>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</si>
  <si>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</si>
  <si>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</si>
  <si>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</si>
  <si>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</si>
  <si>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</si>
  <si>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</si>
  <si>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</si>
  <si>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</si>
  <si>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</si>
  <si>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</si>
  <si>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</si>
  <si>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</si>
  <si>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</si>
  <si>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</si>
  <si>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</si>
  <si>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</si>
  <si>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</si>
  <si>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</si>
  <si>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</si>
  <si>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</si>
  <si>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</si>
  <si>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</si>
  <si>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</si>
  <si>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</si>
  <si>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</si>
  <si>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</si>
  <si>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</si>
  <si>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</si>
  <si>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</si>
  <si>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</si>
  <si>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</si>
  <si>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</si>
  <si>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</si>
  <si>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</si>
  <si>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</si>
  <si>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</si>
  <si>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</si>
  <si>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</si>
  <si>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</si>
  <si>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</si>
  <si>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</si>
  <si>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</si>
  <si>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</si>
  <si>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</si>
  <si>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</si>
  <si>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</si>
  <si>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</si>
  <si>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</si>
  <si>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</si>
  <si>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</si>
  <si>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</si>
  <si>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</si>
  <si>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</si>
  <si>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</si>
  <si>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</si>
  <si>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</si>
  <si>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</si>
  <si>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</si>
  <si>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</si>
  <si>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</si>
  <si>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</si>
  <si>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</si>
  <si>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</si>
  <si>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</si>
  <si>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</si>
  <si>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</si>
  <si>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</si>
  <si>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</si>
  <si>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</si>
  <si>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</si>
  <si>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</si>
  <si>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</si>
  <si>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</si>
  <si>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</si>
  <si>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</si>
  <si>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</si>
  <si>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</si>
  <si>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</si>
  <si>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</si>
  <si>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</si>
  <si>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</si>
  <si>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</si>
  <si>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</si>
  <si>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</si>
  <si>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</si>
  <si>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</si>
  <si>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</si>
  <si>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</si>
  <si>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</si>
  <si>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</si>
  <si>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</si>
  <si>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</si>
  <si>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</si>
  <si>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</si>
  <si>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</si>
  <si>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</si>
  <si>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</si>
  <si>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</si>
  <si>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</si>
  <si>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</si>
  <si>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</si>
  <si>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</si>
  <si>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</si>
  <si>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</si>
  <si>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</si>
  <si>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</si>
  <si>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</si>
  <si>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</si>
  <si>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</si>
  <si>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</si>
  <si>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</si>
  <si>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</si>
  <si>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</si>
  <si>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</si>
  <si>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</si>
  <si>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</si>
  <si>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</si>
  <si>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</si>
  <si>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</si>
  <si>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</si>
  <si>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</si>
  <si>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</si>
  <si>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</si>
  <si>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</si>
  <si>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</si>
  <si>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</si>
  <si>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</si>
  <si>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</si>
  <si>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</si>
  <si>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</si>
  <si>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</si>
  <si>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</si>
  <si>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</si>
  <si>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</si>
  <si>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</si>
  <si>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</si>
  <si>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</si>
  <si>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</si>
  <si>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</si>
  <si>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</si>
  <si>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</si>
  <si>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</si>
  <si>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</si>
  <si>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</si>
  <si>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</si>
  <si>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</si>
  <si>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</si>
  <si>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</si>
  <si>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</si>
  <si>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</si>
  <si>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</si>
  <si>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</si>
  <si>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</si>
  <si>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</si>
  <si>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</si>
  <si>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</si>
  <si>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</si>
  <si>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</si>
  <si>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</si>
  <si>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</si>
  <si>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</si>
  <si>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</si>
  <si>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</si>
  <si>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</si>
  <si>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</si>
  <si>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</si>
  <si>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</si>
  <si>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</si>
  <si>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</si>
  <si>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</si>
  <si>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</si>
  <si>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</si>
  <si>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</si>
  <si>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</si>
  <si>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</si>
  <si>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</si>
  <si>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</si>
  <si>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</si>
  <si>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</si>
  <si>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</si>
  <si>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</si>
  <si>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</si>
  <si>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</si>
  <si>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</si>
  <si>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</si>
  <si>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</si>
  <si>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</si>
  <si>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</si>
  <si>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</si>
  <si>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</si>
  <si>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</si>
  <si>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</si>
  <si>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</si>
  <si>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</si>
  <si>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</si>
  <si>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</si>
  <si>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</si>
  <si>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</si>
  <si>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</si>
  <si>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</si>
  <si>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</si>
  <si>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</si>
  <si>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</si>
  <si>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</si>
  <si>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</si>
  <si>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</si>
  <si>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</si>
  <si>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</si>
  <si>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</si>
  <si>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</si>
  <si>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</si>
  <si>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</si>
  <si>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</si>
  <si>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</si>
  <si>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</si>
  <si>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</si>
  <si>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</si>
  <si>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</si>
  <si>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</si>
  <si>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</si>
  <si>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</si>
  <si>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</si>
  <si>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</si>
  <si>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</si>
  <si>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</si>
  <si>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</si>
  <si>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</si>
  <si>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</si>
  <si>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</si>
  <si>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</si>
  <si>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</si>
  <si>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</si>
  <si>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</si>
  <si>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</si>
  <si>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</si>
  <si>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</si>
  <si>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</si>
  <si>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</si>
  <si>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</si>
  <si>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</si>
  <si>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</si>
  <si>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</si>
  <si>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</si>
  <si>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</si>
  <si>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</si>
  <si>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</si>
  <si>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</si>
  <si>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</si>
  <si>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</si>
  <si>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</si>
  <si>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</si>
  <si>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</si>
  <si>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</si>
  <si>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</si>
  <si>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</si>
  <si>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</si>
  <si>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</si>
  <si>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</si>
  <si>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</si>
  <si>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</si>
  <si>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</si>
  <si>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</si>
  <si>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</si>
  <si>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</si>
  <si>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</si>
  <si>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</si>
  <si>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</si>
  <si>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</si>
  <si>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</si>
  <si>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</si>
  <si>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</si>
  <si>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</si>
  <si>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</si>
  <si>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</si>
  <si>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</si>
  <si>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</si>
  <si>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</si>
  <si>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</si>
  <si>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</si>
  <si>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</si>
  <si>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</si>
  <si>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</si>
  <si>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</si>
  <si>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</si>
  <si>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</si>
  <si>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</si>
  <si>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</si>
  <si>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</si>
  <si>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</si>
  <si>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</si>
  <si>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</si>
  <si>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</si>
  <si>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</si>
  <si>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</si>
  <si>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</si>
  <si>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</si>
  <si>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</si>
  <si>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</si>
  <si>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</si>
  <si>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</si>
  <si>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</si>
  <si>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</si>
  <si>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</si>
  <si>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</si>
  <si>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</si>
  <si>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</si>
  <si>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</si>
  <si>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</si>
  <si>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</si>
  <si>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</si>
  <si>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</si>
  <si>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</si>
  <si>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</si>
  <si>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</si>
  <si>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</si>
  <si>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</si>
  <si>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</si>
  <si>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</si>
  <si>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</si>
  <si>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</si>
  <si>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</si>
  <si>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</si>
  <si>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</si>
  <si>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</si>
  <si>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</si>
  <si>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</si>
  <si>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</si>
  <si>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</si>
  <si>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</si>
  <si>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</si>
  <si>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</si>
  <si>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</si>
  <si>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</si>
  <si>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</si>
  <si>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</si>
  <si>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</si>
  <si>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</si>
  <si>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</si>
  <si>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</si>
  <si>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</si>
  <si>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</si>
  <si>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</si>
  <si>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</si>
  <si>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</si>
  <si>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</si>
  <si>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</si>
  <si>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</si>
  <si>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</si>
  <si>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</si>
  <si>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</si>
  <si>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</si>
  <si>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</si>
  <si>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</si>
  <si>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</si>
  <si>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</si>
  <si>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</si>
  <si>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</si>
  <si>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</si>
  <si>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</si>
  <si>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</si>
  <si>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</si>
  <si>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</si>
  <si>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</si>
  <si>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</si>
  <si>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</si>
  <si>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</si>
  <si>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</si>
  <si>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</si>
  <si>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</si>
  <si>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</si>
  <si>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</si>
  <si>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</si>
  <si>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</si>
  <si>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</si>
  <si>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</si>
  <si>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</si>
  <si>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</si>
  <si>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</si>
  <si>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</si>
  <si>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</si>
  <si>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</si>
  <si>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</si>
  <si>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</si>
  <si>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</si>
  <si>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</si>
  <si>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</si>
  <si>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</si>
  <si>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</si>
  <si>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</si>
  <si>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</si>
  <si>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</si>
  <si>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</si>
  <si>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</si>
  <si>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</si>
  <si>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</si>
  <si>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</si>
  <si>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</si>
  <si>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</si>
  <si>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</si>
  <si>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</si>
  <si>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</si>
  <si>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</si>
  <si>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</si>
  <si>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</si>
  <si>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</si>
  <si>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</si>
  <si>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</si>
  <si>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</si>
  <si>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</si>
  <si>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</si>
  <si>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</si>
  <si>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</si>
  <si>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</si>
  <si>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</si>
  <si>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</si>
  <si>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</si>
  <si>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</si>
  <si>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</si>
  <si>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</si>
  <si>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</si>
  <si>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</si>
  <si>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</si>
  <si>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</si>
  <si>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</si>
  <si>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</si>
  <si>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</si>
  <si>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</si>
  <si>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</si>
  <si>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</si>
  <si>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</si>
  <si>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</si>
  <si>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</si>
  <si>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</si>
  <si>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</si>
  <si>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</si>
  <si>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</si>
  <si>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</si>
  <si>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</si>
  <si>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</si>
  <si>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</si>
  <si>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</si>
  <si>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</si>
  <si>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</si>
  <si>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</si>
  <si>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</si>
  <si>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</si>
  <si>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</si>
  <si>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</si>
  <si>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</si>
  <si>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</si>
  <si>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</si>
  <si>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</si>
  <si>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</si>
  <si>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</si>
  <si>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</si>
  <si>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</si>
  <si>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</si>
  <si>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</si>
  <si>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</si>
  <si>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</si>
  <si>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</si>
  <si>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</si>
  <si>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</si>
  <si>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</si>
  <si>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</si>
  <si>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</si>
  <si>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</si>
  <si>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</si>
  <si>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</si>
  <si>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</si>
  <si>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</si>
  <si>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</si>
  <si>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</si>
  <si>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</si>
  <si>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</si>
  <si>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</si>
  <si>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</si>
  <si>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</si>
  <si>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</si>
  <si>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</si>
  <si>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</si>
  <si>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</si>
  <si>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</si>
  <si>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</si>
  <si>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</si>
  <si>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</si>
  <si>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</si>
  <si>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</si>
  <si>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</si>
  <si>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</si>
  <si>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</si>
  <si>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</si>
  <si>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</si>
  <si>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</si>
  <si>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</si>
  <si>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</si>
  <si>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</si>
  <si>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</si>
  <si>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</si>
  <si>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</si>
  <si>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</si>
  <si>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</si>
  <si>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</si>
  <si>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</si>
  <si>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</si>
  <si>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</si>
  <si>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</si>
  <si>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</si>
  <si>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</si>
  <si>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</si>
  <si>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</si>
  <si>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</si>
  <si>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</si>
  <si>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</si>
  <si>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</si>
  <si>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</si>
  <si>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</si>
  <si>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</si>
  <si>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</si>
  <si>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</si>
  <si>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</si>
  <si>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</si>
  <si>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</si>
  <si>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</si>
  <si>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</si>
  <si>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</si>
  <si>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</si>
  <si>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</si>
  <si>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</si>
  <si>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</si>
  <si>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</si>
  <si>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</si>
  <si>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</si>
  <si>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</si>
  <si>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</si>
  <si>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</si>
  <si>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</si>
  <si>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</si>
  <si>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</si>
  <si>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</si>
  <si>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</si>
  <si>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</si>
  <si>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</si>
  <si>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</si>
  <si>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</si>
  <si>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</si>
  <si>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</si>
  <si>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</si>
  <si>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</si>
  <si>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</si>
  <si>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</si>
  <si>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</si>
  <si>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</si>
  <si>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</si>
  <si>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</si>
  <si>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</si>
  <si>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</si>
  <si>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</si>
  <si>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</si>
  <si>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</si>
  <si>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</si>
  <si>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</si>
  <si>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</si>
  <si>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</si>
  <si>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</si>
  <si>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</si>
  <si>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</si>
  <si>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</si>
  <si>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</si>
  <si>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</si>
  <si>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</si>
  <si>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</si>
  <si>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</si>
  <si>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</si>
  <si>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</si>
  <si>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</si>
  <si>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</si>
  <si>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</si>
  <si>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</si>
  <si>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</si>
  <si>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</si>
  <si>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</si>
  <si>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</si>
  <si>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</si>
  <si>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</si>
  <si>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</si>
  <si>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</si>
  <si>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</si>
  <si>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</si>
  <si>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</si>
  <si>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</si>
  <si>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</si>
  <si>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</si>
  <si>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</si>
  <si>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</si>
  <si>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</si>
  <si>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</si>
  <si>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</si>
  <si>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</si>
  <si>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</si>
  <si>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</si>
  <si>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</si>
  <si>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</si>
  <si>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</si>
  <si>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</si>
  <si>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</si>
  <si>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</si>
  <si>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</si>
  <si>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</si>
  <si>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</si>
  <si>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</si>
  <si>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</si>
  <si>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</si>
  <si>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</si>
  <si>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</si>
  <si>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</si>
  <si>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</si>
  <si>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</si>
  <si>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</si>
  <si>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</si>
  <si>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</si>
  <si>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</si>
  <si>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</si>
  <si>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</si>
  <si>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</si>
  <si>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</si>
  <si>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</si>
  <si>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</si>
  <si>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</si>
  <si>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</si>
  <si>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</si>
  <si>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</si>
  <si>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</si>
  <si>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</si>
  <si>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</si>
  <si>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</si>
  <si>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</si>
  <si>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</si>
  <si>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</si>
  <si>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</si>
  <si>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</si>
  <si>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</si>
  <si>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</si>
  <si>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</si>
  <si>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</si>
  <si>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</si>
  <si>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</si>
  <si>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</si>
  <si>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</si>
  <si>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</si>
  <si>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</si>
  <si>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</si>
  <si>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</si>
  <si>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</si>
  <si>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</si>
  <si>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</si>
  <si>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</si>
  <si>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</si>
  <si>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</si>
  <si>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</si>
  <si>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</si>
  <si>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</si>
  <si>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</si>
  <si>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</si>
  <si>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</si>
  <si>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</si>
  <si>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</si>
  <si>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</si>
  <si>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</si>
  <si>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</si>
  <si>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</si>
  <si>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</si>
  <si>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</si>
  <si>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</si>
  <si>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</si>
  <si>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</si>
  <si>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</si>
  <si>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</si>
  <si>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</si>
  <si>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</si>
  <si>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</si>
  <si>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</si>
  <si>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</si>
  <si>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</si>
  <si>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</si>
  <si>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</si>
  <si>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</si>
  <si>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</si>
  <si>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</si>
  <si>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</si>
  <si>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</si>
  <si>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</si>
  <si>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</si>
  <si>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</si>
  <si>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</si>
  <si>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</si>
  <si>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</si>
  <si>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</si>
  <si>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</si>
  <si>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</si>
  <si>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</si>
  <si>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</si>
  <si>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</si>
  <si>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</si>
  <si>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</si>
  <si>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</si>
  <si>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</si>
  <si>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</si>
  <si>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</si>
  <si>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</si>
  <si>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</si>
  <si>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</si>
  <si>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</si>
  <si>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</si>
  <si>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</si>
  <si>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</si>
  <si>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</si>
  <si>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</si>
  <si>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</si>
  <si>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</si>
  <si>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</si>
  <si>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</si>
  <si>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</si>
  <si>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</si>
  <si>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</si>
  <si>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</si>
  <si>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</si>
  <si>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</si>
  <si>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</si>
  <si>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</si>
  <si>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</si>
  <si>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</si>
  <si>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</si>
  <si>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</si>
  <si>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</si>
  <si>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</si>
  <si>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</si>
  <si>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</si>
  <si>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</si>
  <si>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</si>
  <si>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</si>
  <si>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</si>
  <si>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</si>
  <si>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</si>
  <si>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</si>
  <si>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</si>
  <si>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</si>
  <si>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</si>
  <si>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</si>
  <si>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</si>
  <si>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</si>
  <si>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</si>
  <si>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</si>
  <si>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</si>
  <si>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</si>
  <si>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</si>
  <si>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</si>
  <si>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</si>
  <si>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</si>
  <si>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</si>
  <si>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</si>
  <si>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</si>
  <si>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</si>
  <si>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</si>
  <si>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</si>
  <si>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</si>
  <si>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</si>
  <si>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</si>
  <si>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</si>
  <si>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</si>
  <si>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</si>
  <si>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</si>
  <si>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</si>
  <si>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</si>
  <si>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</si>
  <si>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</si>
  <si>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</si>
  <si>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</si>
  <si>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</si>
  <si>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</si>
  <si>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</si>
  <si>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</si>
  <si>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</si>
  <si>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</si>
  <si>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</si>
  <si>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</si>
  <si>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</si>
  <si>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</si>
  <si>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</si>
  <si>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</si>
  <si>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</si>
  <si>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</si>
  <si>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</si>
  <si>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</si>
  <si>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</si>
  <si>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</si>
  <si>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</si>
  <si>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</si>
  <si>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</si>
  <si>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</si>
  <si>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</si>
  <si>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</si>
  <si>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</si>
  <si>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</si>
  <si>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</si>
  <si>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</si>
  <si>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</si>
  <si>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</si>
  <si>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</si>
  <si>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</si>
  <si>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</si>
  <si>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</si>
  <si>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</si>
  <si>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</si>
  <si>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</si>
  <si>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</si>
  <si>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</si>
  <si>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</si>
  <si>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</si>
  <si>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</si>
  <si>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</si>
  <si>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</si>
  <si>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</si>
  <si>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</si>
  <si>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</si>
  <si>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</si>
  <si>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</si>
  <si>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</si>
  <si>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</si>
  <si>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</si>
  <si>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</si>
  <si>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</si>
  <si>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</si>
  <si>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</si>
  <si>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</si>
  <si>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</si>
  <si>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</si>
  <si>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</si>
  <si>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</si>
  <si>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</si>
  <si>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</si>
  <si>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</si>
  <si>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</si>
  <si>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</si>
  <si>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</si>
  <si>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</si>
  <si>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</si>
  <si>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</si>
  <si>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</si>
  <si>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</si>
  <si>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</si>
  <si>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</si>
  <si>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</si>
  <si>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</si>
  <si>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</si>
  <si>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</si>
  <si>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</si>
  <si>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</si>
  <si>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</si>
  <si>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</si>
  <si>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</si>
  <si>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</si>
  <si>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</si>
  <si>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</si>
  <si>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</si>
  <si>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</si>
  <si>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</si>
  <si>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</si>
  <si>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</si>
  <si>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</si>
  <si>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</si>
  <si>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</si>
  <si>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</si>
  <si>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</si>
  <si>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</si>
  <si>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</si>
  <si>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</si>
  <si>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</si>
  <si>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</si>
  <si>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</si>
  <si>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</si>
  <si>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</si>
  <si>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</si>
  <si>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</si>
  <si>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</si>
  <si>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</si>
  <si>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</si>
  <si>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</si>
  <si>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</si>
  <si>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</si>
  <si>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</si>
  <si>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</si>
  <si>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</si>
  <si>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</si>
  <si>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</si>
  <si>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</si>
  <si>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</si>
  <si>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</si>
  <si>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</si>
  <si>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</si>
  <si>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</si>
  <si>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</si>
  <si>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</si>
  <si>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</si>
  <si>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</si>
  <si>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</si>
  <si>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</si>
  <si>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</si>
  <si>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</si>
  <si>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</si>
  <si>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</si>
  <si>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</si>
  <si>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</si>
  <si>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</si>
  <si>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</si>
  <si>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</si>
  <si>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</si>
  <si>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</si>
  <si>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</si>
  <si>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</si>
  <si>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</si>
  <si>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</si>
  <si>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</si>
  <si>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</si>
  <si>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</si>
  <si>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</si>
  <si>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</si>
  <si>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</si>
  <si>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</si>
  <si>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</si>
  <si>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</si>
  <si>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</si>
  <si>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</si>
  <si>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</si>
  <si>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</si>
  <si>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</si>
  <si>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</si>
  <si>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</si>
  <si>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</si>
  <si>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</si>
  <si>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</si>
  <si>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</si>
  <si>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</si>
  <si>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</si>
  <si>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</si>
  <si>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</si>
  <si>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</si>
  <si>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</si>
  <si>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</si>
  <si>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</si>
  <si>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</si>
  <si>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</si>
  <si>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</si>
  <si>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</si>
  <si>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</si>
  <si>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</si>
  <si>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</si>
  <si>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</si>
  <si>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</si>
  <si>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</si>
  <si>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</si>
  <si>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</si>
  <si>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</si>
  <si>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</si>
  <si>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</si>
  <si>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陈颖</t>
  </si>
  <si>
    <t>核定资产</t>
  </si>
  <si>
    <t>房地产市场价值</t>
  </si>
  <si>
    <t>北京市</t>
  </si>
  <si>
    <r>
      <rPr>
        <sz val="10"/>
        <color indexed="8"/>
        <rFont val="宋体"/>
        <family val="3"/>
        <charset val="134"/>
      </rPr>
      <t>通州区兴贸三街</t>
    </r>
    <r>
      <rPr>
        <sz val="10"/>
        <color indexed="8"/>
        <rFont val="Arial"/>
        <family val="2"/>
      </rPr>
      <t>18</t>
    </r>
    <r>
      <rPr>
        <sz val="10"/>
        <color indexed="8"/>
        <rFont val="宋体"/>
        <family val="3"/>
        <charset val="134"/>
      </rPr>
      <t>号院</t>
    </r>
    <r>
      <rPr>
        <sz val="10"/>
        <color indexed="8"/>
        <rFont val="Arial"/>
        <family val="2"/>
      </rPr>
      <t>15</t>
    </r>
    <r>
      <rPr>
        <sz val="10"/>
        <color indexed="8"/>
        <rFont val="宋体"/>
        <family val="3"/>
        <charset val="134"/>
      </rPr>
      <t>号楼</t>
    </r>
    <r>
      <rPr>
        <sz val="10"/>
        <color indexed="8"/>
        <rFont val="Arial"/>
        <family val="2"/>
      </rPr>
      <t>11</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1111</t>
    </r>
    <phoneticPr fontId="6" type="noConversion"/>
  </si>
  <si>
    <t>自然人</t>
  </si>
  <si>
    <t>是</t>
  </si>
  <si>
    <t>地上</t>
  </si>
  <si>
    <t>办公</t>
    <phoneticPr fontId="7" type="noConversion"/>
  </si>
  <si>
    <t>成新度</t>
  </si>
  <si>
    <t>押一</t>
  </si>
  <si>
    <t>钢混</t>
  </si>
  <si>
    <t>非生产用房</t>
  </si>
  <si>
    <t>否</t>
  </si>
  <si>
    <t>收益法 (元)</t>
  </si>
  <si>
    <t>利息：取LPR加浮动点数</t>
  </si>
  <si>
    <t>按房产原值计税</t>
  </si>
  <si>
    <t>售价</t>
  </si>
  <si>
    <t>珠江四季悦城</t>
    <phoneticPr fontId="3" type="noConversion"/>
  </si>
  <si>
    <t>正常</t>
  </si>
  <si>
    <t>办公</t>
    <phoneticPr fontId="31"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</si>
  <si>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</si>
  <si>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</si>
  <si>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t>七通</t>
    <phoneticPr fontId="3" type="noConversion"/>
  </si>
  <si>
    <t>周边有星悦国际公寓、IN北京等商住项目较多，入驻率高，办公集聚程度较好</t>
    <phoneticPr fontId="3" type="noConversion"/>
  </si>
  <si>
    <t>区域自然环境：金马公园、凉水河；人文环境：；综合评价环境状况一般</t>
    <phoneticPr fontId="3" type="noConversion"/>
  </si>
  <si>
    <t>城市之路——兴贸南街</t>
    <phoneticPr fontId="3" type="noConversion"/>
  </si>
  <si>
    <t>A</t>
    <phoneticPr fontId="134" type="noConversion"/>
  </si>
  <si>
    <t>B</t>
    <phoneticPr fontId="134" type="noConversion"/>
  </si>
  <si>
    <t>南</t>
  </si>
  <si>
    <t>南</t>
    <phoneticPr fontId="31" type="noConversion"/>
  </si>
  <si>
    <t>东南</t>
  </si>
  <si>
    <t>东南</t>
    <phoneticPr fontId="31" type="noConversion"/>
  </si>
  <si>
    <r>
      <t>11/14</t>
    </r>
    <r>
      <rPr>
        <sz val="11"/>
        <color indexed="8"/>
        <rFont val="宋体"/>
        <family val="3"/>
        <charset val="134"/>
      </rPr>
      <t>（高楼层）</t>
    </r>
    <phoneticPr fontId="31" type="noConversion"/>
  </si>
  <si>
    <r>
      <t>7/14</t>
    </r>
    <r>
      <rPr>
        <sz val="11"/>
        <color indexed="8"/>
        <rFont val="宋体"/>
        <family val="3"/>
        <charset val="134"/>
      </rPr>
      <t>（中楼层）</t>
    </r>
    <phoneticPr fontId="31" type="noConversion"/>
  </si>
  <si>
    <r>
      <t>10/12</t>
    </r>
    <r>
      <rPr>
        <sz val="11"/>
        <color indexed="8"/>
        <rFont val="宋体"/>
        <family val="3"/>
        <charset val="134"/>
      </rPr>
      <t>（高楼层）</t>
    </r>
    <phoneticPr fontId="31" type="noConversion"/>
  </si>
  <si>
    <t>C</t>
    <phoneticPr fontId="134" type="noConversion"/>
  </si>
  <si>
    <r>
      <t>2/12</t>
    </r>
    <r>
      <rPr>
        <sz val="11"/>
        <color indexed="8"/>
        <rFont val="宋体"/>
        <family val="3"/>
        <charset val="134"/>
      </rPr>
      <t>（低楼层）</t>
    </r>
    <phoneticPr fontId="31" type="noConversion"/>
  </si>
  <si>
    <t>楼层-1</t>
    <phoneticPr fontId="31" type="noConversion"/>
  </si>
  <si>
    <t>连板</t>
  </si>
  <si>
    <t>连板</t>
    <phoneticPr fontId="31" type="noConversion"/>
  </si>
  <si>
    <t>钢混</t>
    <phoneticPr fontId="31" type="noConversion"/>
  </si>
  <si>
    <t>普装</t>
  </si>
  <si>
    <t>普装</t>
    <phoneticPr fontId="31" type="noConversion"/>
  </si>
  <si>
    <t>物业公司管理</t>
  </si>
  <si>
    <t>物业公司管理</t>
    <phoneticPr fontId="31" type="noConversion"/>
  </si>
  <si>
    <t>西</t>
  </si>
  <si>
    <t>西</t>
    <phoneticPr fontId="31" type="noConversion"/>
  </si>
  <si>
    <t>西南</t>
    <phoneticPr fontId="31" type="noConversion"/>
  </si>
  <si>
    <t>东</t>
    <phoneticPr fontId="31" type="noConversion"/>
  </si>
  <si>
    <t>比较法-办公</t>
  </si>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</sst>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6"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579581</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52381" cy="1638095"/>
        </a:xfrm>
        <a:prstGeom prst="rect">
          <a:avLst/>
        </a:prstGeom>
      </xdr:spPr>
    </xdr:pic>
    <xdr:clientData/>
  </xdr:twoCellAnchor>
  <xdr:twoCellAnchor editAs="oneCell">
    <xdr:from>
      <xdr:col>0</xdr:col>
      <xdr:colOff>9525</xdr:colOff>
      <xdr:row>9</xdr:row>
      <xdr:rowOff>104775</xdr:rowOff>
    </xdr:from>
    <xdr:to>
      <xdr:col>12</xdr:col>
      <xdr:colOff>363148</xdr:colOff>
      <xdr:row>45</xdr:row>
      <xdr:rowOff>48479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1647825"/>
          <a:ext cx="8583223" cy="6115904"/>
        </a:xfrm>
        <a:prstGeom prst="rect">
          <a:avLst/>
        </a:prstGeom>
      </xdr:spPr>
    </xdr:pic>
    <xdr:clientData/>
  </xdr:twoCellAnchor>
  <xdr:twoCellAnchor editAs="oneCell">
    <xdr:from>
      <xdr:col>0</xdr:col>
      <xdr:colOff>0</xdr:colOff>
      <xdr:row>45</xdr:row>
      <xdr:rowOff>119025</xdr:rowOff>
    </xdr:from>
    <xdr:to>
      <xdr:col>12</xdr:col>
      <xdr:colOff>448886</xdr:colOff>
      <xdr:row>82</xdr:row>
      <xdr:rowOff>43700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834275"/>
          <a:ext cx="8678486" cy="6268325"/>
        </a:xfrm>
        <a:prstGeom prst="rect">
          <a:avLst/>
        </a:prstGeom>
      </xdr:spPr>
    </xdr:pic>
    <xdr:clientData/>
  </xdr:twoCellAnchor>
  <xdr:twoCellAnchor editAs="oneCell">
    <xdr:from>
      <xdr:col>0</xdr:col>
      <xdr:colOff>0</xdr:colOff>
      <xdr:row>82</xdr:row>
      <xdr:rowOff>126150</xdr:rowOff>
    </xdr:from>
    <xdr:to>
      <xdr:col>12</xdr:col>
      <xdr:colOff>582255</xdr:colOff>
      <xdr:row>109</xdr:row>
      <xdr:rowOff>98217</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185050"/>
          <a:ext cx="8811855" cy="4601217"/>
        </a:xfrm>
        <a:prstGeom prst="rect">
          <a:avLst/>
        </a:prstGeom>
      </xdr:spPr>
    </xdr:pic>
    <xdr:clientData/>
  </xdr:twoCellAnchor>
  <xdr:twoCellAnchor editAs="oneCell">
    <xdr:from>
      <xdr:col>0</xdr:col>
      <xdr:colOff>0</xdr:colOff>
      <xdr:row>109</xdr:row>
      <xdr:rowOff>0</xdr:rowOff>
    </xdr:from>
    <xdr:to>
      <xdr:col>12</xdr:col>
      <xdr:colOff>344096</xdr:colOff>
      <xdr:row>145</xdr:row>
      <xdr:rowOff>124704</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8688050"/>
          <a:ext cx="8573696" cy="6296904"/>
        </a:xfrm>
        <a:prstGeom prst="rect">
          <a:avLst/>
        </a:prstGeom>
      </xdr:spPr>
    </xdr:pic>
    <xdr:clientData/>
  </xdr:twoCellAnchor>
  <xdr:twoCellAnchor editAs="oneCell">
    <xdr:from>
      <xdr:col>13</xdr:col>
      <xdr:colOff>419100</xdr:colOff>
      <xdr:row>9</xdr:row>
      <xdr:rowOff>123825</xdr:rowOff>
    </xdr:from>
    <xdr:to>
      <xdr:col>24</xdr:col>
      <xdr:colOff>503871</xdr:colOff>
      <xdr:row>22</xdr:row>
      <xdr:rowOff>75927</xdr:rowOff>
    </xdr:to>
    <xdr:pic>
      <xdr:nvPicPr>
        <xdr:cNvPr id="8" name="图片 7"/>
        <xdr:cNvPicPr>
          <a:picLocks noChangeAspect="1"/>
        </xdr:cNvPicPr>
      </xdr:nvPicPr>
      <xdr:blipFill>
        <a:blip xmlns:r="http://schemas.openxmlformats.org/officeDocument/2006/relationships" r:embed="rId6"/>
        <a:stretch>
          <a:fillRect/>
        </a:stretch>
      </xdr:blipFill>
      <xdr:spPr>
        <a:xfrm>
          <a:off x="9334500" y="1666875"/>
          <a:ext cx="7628571" cy="2180952"/>
        </a:xfrm>
        <a:prstGeom prst="rect">
          <a:avLst/>
        </a:prstGeom>
      </xdr:spPr>
    </xdr:pic>
    <xdr:clientData/>
  </xdr:twoCellAnchor>
  <xdr:twoCellAnchor editAs="oneCell">
    <xdr:from>
      <xdr:col>13</xdr:col>
      <xdr:colOff>476250</xdr:colOff>
      <xdr:row>24</xdr:row>
      <xdr:rowOff>0</xdr:rowOff>
    </xdr:from>
    <xdr:to>
      <xdr:col>24</xdr:col>
      <xdr:colOff>27688</xdr:colOff>
      <xdr:row>48</xdr:row>
      <xdr:rowOff>132819</xdr:rowOff>
    </xdr:to>
    <xdr:pic>
      <xdr:nvPicPr>
        <xdr:cNvPr id="9" name="图片 8"/>
        <xdr:cNvPicPr>
          <a:picLocks noChangeAspect="1"/>
        </xdr:cNvPicPr>
      </xdr:nvPicPr>
      <xdr:blipFill>
        <a:blip xmlns:r="http://schemas.openxmlformats.org/officeDocument/2006/relationships" r:embed="rId7"/>
        <a:stretch>
          <a:fillRect/>
        </a:stretch>
      </xdr:blipFill>
      <xdr:spPr>
        <a:xfrm>
          <a:off x="9391650" y="4114800"/>
          <a:ext cx="7095238" cy="4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估价对象为北京市房地产，为所有。根据《国有土地使用证》[]，估价对象（分摊）出让国有建设用地使用权面积为0平方米，建筑面积为90.65平方米。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估价对象为北京市房地产,属开发建设的，该项目尚在开发建设中。根据《国有土地使用证》[]，估价对象（分摊）出让国有建设用地使用权面积为0平方米，规划建筑面积为90.65平方米。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2024年3月15日（评估专业人员实地查勘之日）</v>
      </c>
    </row>
    <row r="13" spans="1:2" s="1203" customFormat="1">
      <c r="A13" s="1201" t="s">
        <v>529</v>
      </c>
      <c r="B13" s="1202" t="str">
        <f>'预评函-1'!A18</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90.65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00" t="s">
        <v>2581</v>
      </c>
      <c r="J2" s="3500"/>
      <c r="K2" s="3500"/>
      <c r="L2" s="3500"/>
      <c r="M2" s="3500"/>
      <c r="N2" s="3500"/>
      <c r="O2" s="3500"/>
      <c r="P2" s="3500"/>
      <c r="Q2" s="3500"/>
      <c r="R2" s="3500"/>
    </row>
    <row r="3" spans="1:18">
      <c r="A3" s="3019" t="s">
        <v>2502</v>
      </c>
      <c r="B3" s="3020">
        <f>项目基本情况!D3</f>
        <v>45366</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2.76</v>
      </c>
      <c r="D5" s="3024">
        <f>IF(ISERROR(ROUND(POWER(1+E5,A5-C5)*(POWER(1+E5,C5)-1)/(POWER(1+E5,A5)-1),3)),0,ROUND(POWER(1+E5,A5-C5)*(POWER(1+E5,C5)-1)/(POWER(1+E5,A5)-1),4))</f>
        <v>0.12959999999999999</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12.77</v>
      </c>
      <c r="D6" s="3024">
        <f>IF(ISERROR(ROUND(POWER(1+E6,A6-C6)*(POWER(1+E6,C6)-1)/(POWER(1+E6,A6)-1),3)),0,ROUND(POWER(1+E6,A6-C6)*(POWER(1+E6,C6)-1)/(POWER(1+E6,A6)-1),4))</f>
        <v>0.45850000000000002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32.78</v>
      </c>
      <c r="D7" s="3024">
        <f>IF(ISERROR(ROUND(POWER(1+E7,A7-C7)*(POWER(1+E7,C7)-1)/(POWER(1+E7,A7)-1),3)),0,ROUND(POWER(1+E7,A7-C7)*(POWER(1+E7,C7)-1)/(POWER(1+E7,A7)-1),4))</f>
        <v>0.7732</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45366</v>
      </c>
      <c r="C3" s="2374" t="s">
        <v>2171</v>
      </c>
      <c r="D3" s="2373">
        <f>B3</f>
        <v>45366</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2175</v>
      </c>
      <c r="B7" s="2387"/>
      <c r="C7" s="2385"/>
      <c r="D7" s="2386"/>
      <c r="E7" s="2661"/>
      <c r="F7" s="2663"/>
      <c r="G7" s="2663"/>
      <c r="H7" s="2663"/>
      <c r="I7" s="2663"/>
      <c r="J7" s="2439"/>
      <c r="K7" s="2615"/>
      <c r="L7" s="2612"/>
      <c r="M7" s="2612"/>
      <c r="N7" s="2439"/>
      <c r="O7" s="2450"/>
      <c r="P7" s="2439"/>
      <c r="Q7" s="2439"/>
      <c r="R7" s="2439"/>
    </row>
    <row r="8" spans="1:30">
      <c r="A8" s="2388" t="s">
        <v>2176</v>
      </c>
      <c r="B8" s="2389" t="s">
        <v>3381</v>
      </c>
      <c r="C8" s="2390"/>
      <c r="D8" s="3504" t="s">
        <v>2177</v>
      </c>
      <c r="E8" s="2391"/>
      <c r="F8" s="2392"/>
      <c r="G8" s="2662"/>
      <c r="H8" s="2662"/>
      <c r="I8" s="2662"/>
      <c r="J8" s="2439"/>
      <c r="K8" s="2613"/>
      <c r="L8" s="2612"/>
      <c r="M8" s="2612"/>
      <c r="N8" s="2439"/>
      <c r="O8" s="2450"/>
      <c r="P8" s="2439"/>
      <c r="Q8" s="2439"/>
      <c r="R8" s="2439"/>
    </row>
    <row r="9" spans="1:30" ht="13.5" thickBot="1">
      <c r="A9" s="2393" t="s">
        <v>2178</v>
      </c>
      <c r="B9" s="2394" t="s">
        <v>3382</v>
      </c>
      <c r="C9" s="2395"/>
      <c r="D9" s="3505"/>
      <c r="E9" s="2394"/>
      <c r="F9" s="2396"/>
      <c r="G9" s="2664"/>
      <c r="H9" s="2664"/>
      <c r="I9" s="2664"/>
      <c r="J9" s="2439"/>
      <c r="K9" s="2615"/>
      <c r="L9" s="2612"/>
      <c r="M9" s="2612"/>
      <c r="N9" s="2439"/>
      <c r="O9" s="2450"/>
      <c r="P9" s="2439"/>
      <c r="Q9" s="2439"/>
      <c r="R9" s="2439"/>
    </row>
    <row r="10" spans="1:30" ht="51" thickTop="1">
      <c r="A10" s="2397" t="s">
        <v>2179</v>
      </c>
      <c r="B10" s="2398" t="s">
        <v>3383</v>
      </c>
      <c r="C10" s="2399" t="s">
        <v>3384</v>
      </c>
      <c r="D10" s="2382"/>
      <c r="E10" s="2400" t="s">
        <v>2180</v>
      </c>
      <c r="F10" s="2665"/>
      <c r="G10" s="2666"/>
      <c r="H10" s="2667"/>
      <c r="I10" s="2668"/>
      <c r="J10" s="2439"/>
      <c r="K10" s="2615"/>
      <c r="L10" s="2612"/>
      <c r="M10" s="2612"/>
      <c r="N10" s="2439"/>
      <c r="O10" s="2450"/>
      <c r="P10" s="2439"/>
      <c r="Q10" s="2439"/>
      <c r="R10" s="2439"/>
    </row>
    <row r="11" spans="1:30">
      <c r="A11" s="2401" t="s">
        <v>2181</v>
      </c>
      <c r="B11" s="2402" t="s">
        <v>3385</v>
      </c>
      <c r="C11" s="2403"/>
      <c r="D11" s="2404"/>
      <c r="E11" s="2370"/>
      <c r="F11" s="2370"/>
      <c r="G11" s="2370"/>
      <c r="H11" s="2370"/>
      <c r="I11" s="2370"/>
      <c r="J11" s="3060"/>
      <c r="K11" s="3059"/>
      <c r="L11" s="2612"/>
      <c r="M11" s="2612"/>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2577</v>
      </c>
      <c r="J12" s="3061"/>
      <c r="K12" s="2612"/>
      <c r="L12" s="2612"/>
      <c r="M12" s="2439"/>
      <c r="N12" s="2450"/>
      <c r="O12" s="2439"/>
      <c r="P12" s="2439"/>
      <c r="Q12" s="2439"/>
      <c r="AD12" s="1745"/>
    </row>
    <row r="13" spans="1:30">
      <c r="A13" s="3422" t="s">
        <v>3333</v>
      </c>
      <c r="B13" s="2407" t="s">
        <v>2190</v>
      </c>
      <c r="C13" s="856"/>
      <c r="D13" s="856"/>
      <c r="E13" s="856">
        <v>59068</v>
      </c>
      <c r="F13" s="856"/>
      <c r="G13" s="856"/>
      <c r="H13" s="856"/>
      <c r="I13" s="856"/>
      <c r="J13" s="3061"/>
      <c r="K13" s="2612"/>
      <c r="L13" s="2612"/>
      <c r="M13" s="2439"/>
      <c r="N13" s="2450"/>
      <c r="O13" s="2439"/>
      <c r="P13" s="2439"/>
      <c r="Q13" s="2439"/>
      <c r="AD13" s="1745"/>
    </row>
    <row r="14" spans="1:30">
      <c r="A14" s="1081"/>
      <c r="B14" s="2407" t="s">
        <v>2191</v>
      </c>
      <c r="C14" s="2408"/>
      <c r="D14" s="2408"/>
      <c r="E14" s="2408"/>
      <c r="F14" s="2408"/>
      <c r="G14" s="2408"/>
      <c r="H14" s="2408"/>
      <c r="I14" s="2408"/>
      <c r="J14" s="3062"/>
      <c r="K14" s="2612"/>
      <c r="L14" s="2612"/>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37.53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2193</v>
      </c>
      <c r="B16" s="3511"/>
      <c r="C16" s="3512"/>
      <c r="D16" s="3513"/>
      <c r="E16" s="2413" t="s">
        <v>2194</v>
      </c>
      <c r="F16" s="3514"/>
      <c r="G16" s="3515"/>
      <c r="H16" s="3515"/>
      <c r="I16" s="3516"/>
      <c r="J16" s="2439"/>
      <c r="K16" s="2616"/>
      <c r="L16" s="2451"/>
      <c r="M16" s="2451"/>
      <c r="N16" s="2508"/>
      <c r="O16" s="2451"/>
      <c r="P16" s="2508"/>
      <c r="Q16" s="2439"/>
      <c r="R16" s="2439"/>
    </row>
    <row r="17" spans="1:28">
      <c r="A17" s="313" t="s">
        <v>2195</v>
      </c>
      <c r="B17" s="302" t="s">
        <v>2196</v>
      </c>
      <c r="C17" s="8">
        <f>'数据-汇总表'!E3</f>
        <v>90.65</v>
      </c>
      <c r="D17" s="2322" t="s">
        <v>2197</v>
      </c>
      <c r="E17" s="3517" t="s">
        <v>2198</v>
      </c>
      <c r="F17" s="3518"/>
      <c r="G17" s="3518"/>
      <c r="H17" s="3518"/>
      <c r="I17" s="3519"/>
      <c r="J17" s="2439"/>
      <c r="K17" s="2617"/>
      <c r="L17" s="2451"/>
      <c r="M17" s="2451"/>
      <c r="N17" s="2508"/>
      <c r="O17" s="2451"/>
      <c r="P17" s="2508"/>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7"/>
      <c r="L18" s="2451"/>
      <c r="M18" s="2451"/>
      <c r="N18" s="2508"/>
      <c r="O18" s="2451"/>
      <c r="P18" s="2508"/>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2205</v>
      </c>
      <c r="B20" s="3507" t="s">
        <v>2206</v>
      </c>
      <c r="C20" s="3508"/>
      <c r="D20" s="3509" t="s">
        <v>2207</v>
      </c>
      <c r="E20" s="3510"/>
      <c r="F20" s="2646" t="s">
        <v>1056</v>
      </c>
      <c r="G20" s="2663"/>
      <c r="H20" s="2663"/>
      <c r="I20" s="2663"/>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9"/>
      <c r="K23" s="2618"/>
      <c r="L23" s="2475"/>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5"/>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24" t="s">
        <v>2214</v>
      </c>
      <c r="B27" s="320" t="s">
        <v>2215</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24"/>
      <c r="B28" s="302" t="s">
        <v>2216</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24"/>
      <c r="B29" s="302" t="s">
        <v>2217</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25"/>
      <c r="B30" s="302" t="s">
        <v>2218</v>
      </c>
      <c r="C30" s="3526"/>
      <c r="D30" s="3527"/>
      <c r="E30" s="2663"/>
      <c r="F30" s="2663"/>
      <c r="G30" s="2663"/>
      <c r="H30" s="2663"/>
      <c r="I30" s="2663"/>
      <c r="J30" s="2439"/>
      <c r="K30" s="2615"/>
      <c r="L30" s="2612"/>
      <c r="M30" s="2612"/>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ht="51">
      <c r="A35" s="2429"/>
      <c r="B35" s="3530" t="s">
        <v>2229</v>
      </c>
      <c r="C35" s="3530"/>
      <c r="D35" s="3530"/>
      <c r="E35" s="3530"/>
      <c r="F35" s="664" t="str">
        <f>C10</f>
        <v>通州区兴贸三街18号院15号楼11层1单元1111</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2580</v>
      </c>
      <c r="G36" s="2663"/>
      <c r="H36" s="2663"/>
      <c r="I36" s="2663"/>
      <c r="J36" s="2439"/>
      <c r="K36" s="2615"/>
      <c r="L36" s="2612"/>
      <c r="M36" s="2612"/>
      <c r="N36" s="2439"/>
      <c r="O36" s="2450"/>
      <c r="P36" s="2439"/>
      <c r="Q36" s="2439"/>
      <c r="R36" s="2439"/>
      <c r="S36" s="2439"/>
      <c r="T36" s="2439"/>
      <c r="U36" s="2439"/>
      <c r="V36" s="2439"/>
    </row>
    <row r="37" spans="1:30">
      <c r="A37" s="2629" t="s">
        <v>2230</v>
      </c>
      <c r="B37" s="2431"/>
      <c r="C37" s="2431"/>
      <c r="D37" s="2431"/>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2231</v>
      </c>
      <c r="B38" s="2432"/>
      <c r="C38" s="2432"/>
      <c r="D38" s="2432"/>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2233</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90.65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90.65</v>
      </c>
      <c r="H5" s="13">
        <f t="shared" ref="H5:AT5" si="0">SUM(H13:H656)</f>
        <v>90.65</v>
      </c>
      <c r="I5" s="13">
        <f t="shared" si="0"/>
        <v>90.65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90.65</v>
      </c>
      <c r="BA5" s="15">
        <f t="shared" si="1"/>
        <v>90.65</v>
      </c>
      <c r="BB5" s="15">
        <f t="shared" si="1"/>
        <v>90.65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90.65</v>
      </c>
      <c r="H13" s="17">
        <f>SUMIF(I$12:AB$12,"总值",I13:AB13)</f>
        <v>90.65</v>
      </c>
      <c r="I13" s="1626">
        <v>90.65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90.65</v>
      </c>
      <c r="BA13" s="13">
        <f>SUM(BB13:BK13)</f>
        <v>90.65</v>
      </c>
      <c r="BB13" s="13">
        <f>IF($D13="是",I13-J13,0)</f>
        <v>90.65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8"/>
      <c r="G2" s="2649"/>
      <c r="H2" s="2650"/>
      <c r="I2" s="2325" t="s">
        <v>1132</v>
      </c>
      <c r="J2" s="2658"/>
      <c r="K2" s="2658"/>
      <c r="L2" s="2658"/>
      <c r="M2" s="2658"/>
      <c r="N2" s="2660"/>
      <c r="O2" s="2658"/>
      <c r="P2" s="2658"/>
    </row>
    <row r="3" spans="1:16" ht="15.75" thickBot="1">
      <c r="A3" s="3541" t="s">
        <v>1105</v>
      </c>
      <c r="B3" s="3541"/>
      <c r="C3" s="3541"/>
      <c r="D3" s="43">
        <f>'数据-基础表'!AY6</f>
        <v>0</v>
      </c>
      <c r="E3" s="43">
        <f>'数据-基础表'!AZ5</f>
        <v>90.65</v>
      </c>
      <c r="F3" s="2658"/>
      <c r="G3" s="1145"/>
      <c r="H3" s="1026" t="s">
        <v>1106</v>
      </c>
      <c r="I3" s="855" t="e">
        <f>ROUND('数据-基础表'!B3/'数据-基础表'!A3,2)</f>
        <v>#DIV/0!</v>
      </c>
      <c r="J3" s="2658"/>
      <c r="K3" s="2658"/>
      <c r="L3" s="2658"/>
      <c r="M3" s="2658"/>
      <c r="N3" s="2660"/>
      <c r="O3" s="2658"/>
      <c r="P3" s="2658"/>
    </row>
    <row r="4" spans="1:16" ht="15">
      <c r="A4" s="3542"/>
      <c r="B4" s="3543"/>
      <c r="C4" s="354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5" t="s">
        <v>1111</v>
      </c>
      <c r="C6" s="3545"/>
      <c r="D6" s="45">
        <f>ROUND($D$3*E6/$E$3,2)</f>
        <v>0</v>
      </c>
      <c r="E6" s="46">
        <f>E3-E5</f>
        <v>90.65</v>
      </c>
      <c r="F6" s="2658"/>
      <c r="G6" s="2652" t="s">
        <v>1112</v>
      </c>
      <c r="H6" s="1146" t="s">
        <v>1113</v>
      </c>
      <c r="I6" s="2653" t="e">
        <f>ROUND(F31/D31,2)</f>
        <v>#DIV/0!</v>
      </c>
      <c r="J6" s="2658"/>
      <c r="K6" s="2658"/>
      <c r="L6" s="2658"/>
      <c r="M6" s="2658"/>
      <c r="N6" s="2658"/>
      <c r="O6" s="2658"/>
      <c r="P6" s="2658"/>
    </row>
    <row r="7" spans="1:16" ht="15.75" thickBot="1">
      <c r="A7" s="3537"/>
      <c r="B7" s="3538"/>
      <c r="C7" s="3539"/>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90.65</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90.65</v>
      </c>
      <c r="F16" s="2658"/>
      <c r="G16" s="2659"/>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3388</v>
      </c>
      <c r="D19" s="45">
        <f>ROUND($D$3*E19/$E$3,2)</f>
        <v>0</v>
      </c>
      <c r="E19" s="53">
        <f t="shared" ref="E19:E26" si="1">SUM(F19:G19)</f>
        <v>90.65</v>
      </c>
      <c r="F19" s="2794">
        <f>'数据-基础表'!I13</f>
        <v>90.65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90.65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90.65</v>
      </c>
      <c r="F27" s="1140">
        <f>IF(SUM(F19:F26)=E8,SUM(F19:F26),"地上面积有误")</f>
        <v>90.65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90.65</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90.65</v>
      </c>
      <c r="F31" s="677">
        <f>F27+F30</f>
        <v>90.65</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45366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0</v>
      </c>
      <c r="E6" s="857">
        <f>IF(B6="","",SUMIF(项目基本情况!C$12:I$12,C6,项目基本情况!C$13:I$13))</f>
        <v>59068</v>
      </c>
      <c r="F6" s="64">
        <f>SUMIF(项目基本情况!C$12:I$12,C6,项目基本情况!C$15:I$15)</f>
        <v>37.53</v>
      </c>
      <c r="G6" s="65">
        <f>IF(ISERROR(ROUND(POWER(1+H6,D6-F6)*(POWER(1+H6,F6)-1)/(POWER(1+H6,D6)-1),3)),0,ROUND(POWER(1+H6,D6-F6)*(POWER(1+H6,F6)-1)/(POWER(1+H6,D6)-1),3))</f>
        <v>0</v>
      </c>
      <c r="H6" s="732">
        <v>4.4999999999999998E-2</v>
      </c>
      <c r="I6" s="732">
        <v>0.05</v>
      </c>
      <c r="J6" s="66"/>
      <c r="K6" s="1030">
        <f>SUMIF('数据-汇总表'!C$19:C$33,A6,'数据-汇总表'!E$19:E$33)</f>
        <v>90.65</v>
      </c>
      <c r="L6" s="733">
        <v>4000</v>
      </c>
      <c r="M6" s="67">
        <f t="shared" ref="M6:M14" si="0">ROUND(K6*L6/10000,0)</f>
        <v>36</v>
      </c>
      <c r="N6" s="731">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60</v>
      </c>
      <c r="V6" s="70">
        <v>3.5000000000000003E-2</v>
      </c>
      <c r="W6" s="70">
        <v>0.1</v>
      </c>
      <c r="X6" s="1040"/>
      <c r="Y6" s="71">
        <f>N6</f>
        <v>0.8</v>
      </c>
      <c r="Z6" s="72"/>
      <c r="AA6" s="66"/>
      <c r="AB6" s="66"/>
      <c r="AC6" s="1040"/>
      <c r="AD6" s="73"/>
      <c r="AE6" s="1041">
        <f ca="1">IF(AN6="",0,SUMIF(INDIRECT("'"&amp;AN6&amp;"'"&amp;"!E:E"),$AE$5,INDIRECT("'"&amp;AN6&amp;"'"&amp;"!F:F")))</f>
        <v>37.53</v>
      </c>
      <c r="AF6" s="1348"/>
      <c r="AG6" s="138">
        <f>IF(AF6="",0,AE6-AF6)</f>
        <v>0</v>
      </c>
      <c r="AH6" s="74">
        <f>'数据-汇总表'!F19</f>
        <v>90.65</v>
      </c>
      <c r="AI6" s="76">
        <v>12</v>
      </c>
      <c r="AJ6" s="77"/>
      <c r="AK6" s="78">
        <v>0.01</v>
      </c>
      <c r="AL6" s="79">
        <v>1.5E-3</v>
      </c>
      <c r="AM6" s="80">
        <v>0.01</v>
      </c>
      <c r="AN6" s="1715" t="s">
        <v>3394</v>
      </c>
      <c r="AO6" s="52">
        <f ca="1">SUMIF(INDIRECT("'"&amp;AN6&amp;"'"&amp;"!A:A"),"总价",INDIRECT("'"&amp;AN6&amp;"'"&amp;"!B:B"))</f>
        <v>137.52459999999999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90.65</v>
      </c>
      <c r="L16" s="93">
        <f>ROUND(M16*10000/SUM(K6:K14),0)</f>
        <v>3971</v>
      </c>
      <c r="M16" s="93">
        <f>SUM(M6:M14)</f>
        <v>36</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3395</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46" t="s">
        <v>2284</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2252</v>
      </c>
      <c r="C3" s="2464" t="s">
        <v>2282</v>
      </c>
      <c r="D3" s="2465"/>
      <c r="E3" s="2442" t="s">
        <v>2281</v>
      </c>
      <c r="F3" s="2466" t="s">
        <v>2253</v>
      </c>
      <c r="G3" s="2467" t="s">
        <v>2283</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
      <c r="A5" s="2442"/>
      <c r="B5" s="323" t="s">
        <v>2258</v>
      </c>
      <c r="C5" s="3452" t="s">
        <v>3404</v>
      </c>
      <c r="D5" s="2465"/>
      <c r="E5" s="2469"/>
      <c r="F5" s="323" t="s">
        <v>2259</v>
      </c>
      <c r="G5" s="2470" t="s">
        <v>2260</v>
      </c>
      <c r="H5" s="799"/>
      <c r="I5" s="799"/>
      <c r="J5" s="799"/>
      <c r="K5" s="799"/>
      <c r="L5" s="799"/>
      <c r="M5" s="799"/>
      <c r="N5" s="799"/>
      <c r="O5" s="799"/>
      <c r="P5" s="799"/>
      <c r="Q5" s="799"/>
      <c r="R5" s="799"/>
    </row>
    <row r="6" spans="1:29" ht="36">
      <c r="A6" s="2442"/>
      <c r="B6" s="323" t="s">
        <v>2261</v>
      </c>
      <c r="C6" s="2470" t="s">
        <v>3401</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3402</v>
      </c>
      <c r="D7" s="2471"/>
      <c r="E7" s="2472"/>
      <c r="F7" s="2473" t="s">
        <v>2264</v>
      </c>
      <c r="G7" s="2474" t="s">
        <v>2265</v>
      </c>
      <c r="H7" s="799"/>
      <c r="I7" s="799"/>
      <c r="J7" s="799"/>
      <c r="K7" s="799"/>
      <c r="L7" s="799"/>
      <c r="M7" s="799"/>
      <c r="N7" s="799"/>
      <c r="O7" s="799"/>
      <c r="P7" s="799"/>
      <c r="Q7" s="799"/>
      <c r="R7" s="799"/>
    </row>
    <row r="8" spans="1:29">
      <c r="A8" s="2442"/>
      <c r="B8" s="323" t="s">
        <v>2262</v>
      </c>
      <c r="C8" s="3453" t="s">
        <v>3403</v>
      </c>
      <c r="D8" s="2471"/>
      <c r="E8" s="2471"/>
      <c r="F8" s="2475"/>
      <c r="G8" s="2475"/>
      <c r="H8" s="799"/>
      <c r="I8" s="799"/>
      <c r="J8" s="799"/>
      <c r="K8" s="799"/>
      <c r="L8" s="799"/>
      <c r="M8" s="799"/>
      <c r="N8" s="799"/>
      <c r="O8" s="799"/>
      <c r="P8" s="799"/>
      <c r="Q8" s="799"/>
      <c r="R8" s="799"/>
    </row>
    <row r="9" spans="1:29" ht="36">
      <c r="A9" s="2442"/>
      <c r="B9" s="323" t="s">
        <v>2266</v>
      </c>
      <c r="C9" s="3452" t="s">
        <v>3405</v>
      </c>
      <c r="D9" s="2465"/>
      <c r="E9" s="2471"/>
      <c r="F9" s="2475"/>
      <c r="G9" s="2475"/>
      <c r="H9" s="799"/>
      <c r="I9" s="799"/>
      <c r="J9" s="799"/>
      <c r="K9" s="799"/>
      <c r="L9" s="799"/>
      <c r="M9" s="799"/>
      <c r="N9" s="799"/>
      <c r="O9" s="799"/>
      <c r="P9" s="799"/>
      <c r="Q9" s="799"/>
      <c r="R9" s="799"/>
    </row>
    <row r="10" spans="1:29" s="2480" customFormat="1" ht="15" thickBot="1">
      <c r="A10" s="2443"/>
      <c r="B10" s="2476" t="s">
        <v>2267</v>
      </c>
      <c r="C10" s="3454" t="s">
        <v>3406</v>
      </c>
      <c r="D10" s="2465"/>
      <c r="E10" s="2465"/>
      <c r="F10" s="2475"/>
      <c r="G10" s="2475"/>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1"/>
      <c r="C11" s="2465"/>
      <c r="D11" s="2465"/>
      <c r="E11" s="2465"/>
      <c r="F11" s="2471"/>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1"/>
      <c r="C12" s="2465"/>
      <c r="D12" s="2483"/>
      <c r="E12" s="2465"/>
      <c r="F12" s="2471"/>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2285</v>
      </c>
      <c r="B13" s="2483"/>
      <c r="C13" s="2483"/>
      <c r="D13" s="2481"/>
      <c r="E13" s="2483"/>
      <c r="F13" s="2483"/>
      <c r="G13" s="2483"/>
    </row>
    <row r="14" spans="1:29" ht="15" thickBot="1">
      <c r="A14" s="2493"/>
      <c r="B14" s="2493"/>
      <c r="C14" s="2494" t="s">
        <v>2268</v>
      </c>
      <c r="D14" s="2465"/>
      <c r="E14" s="2495"/>
      <c r="F14" s="2495"/>
      <c r="G14" s="2460" t="s">
        <v>2269</v>
      </c>
    </row>
    <row r="15" spans="1:29" ht="51">
      <c r="A15" s="2444" t="s">
        <v>2270</v>
      </c>
      <c r="B15" s="2496" t="s">
        <v>2252</v>
      </c>
      <c r="C15" s="2497" t="str">
        <f>C3</f>
        <v>估价对象周边居住用地比例、居住小区规模和社区发展完善程度，综合评价居住社区成熟度一般</v>
      </c>
      <c r="D15" s="2465"/>
      <c r="E15" s="2445" t="s">
        <v>2271</v>
      </c>
      <c r="F15" s="2496" t="s">
        <v>2272</v>
      </c>
      <c r="G15" s="2498" t="str">
        <f>G3</f>
        <v>估价对象位于XX开发区，园区建设成熟度XX，产业集聚程度XX</v>
      </c>
    </row>
    <row r="16" spans="1:29" ht="38.25">
      <c r="A16" s="2446"/>
      <c r="B16" s="2499" t="s">
        <v>2254</v>
      </c>
      <c r="C16" s="2500" t="str">
        <f>C4</f>
        <v>估价对象位于XX商圈，周边商业氛围成熟，人流量大，商业繁华度好</v>
      </c>
      <c r="D16" s="2465"/>
      <c r="E16" s="2447"/>
      <c r="F16" s="2501" t="s">
        <v>2256</v>
      </c>
      <c r="G16" s="2502" t="str">
        <f>G4</f>
        <v>估价对象周边道路状况、公共交通通达情况、停车便捷程度，综合评价交通便捷度较好</v>
      </c>
    </row>
    <row r="17" spans="1:18" ht="38.25">
      <c r="A17" s="2446"/>
      <c r="B17" s="2499" t="s">
        <v>2258</v>
      </c>
      <c r="C17" s="2500" t="str">
        <f>C5</f>
        <v>周边有星悦国际公寓、IN北京等商住项目较多，入驻率高，办公集聚程度较好</v>
      </c>
      <c r="D17" s="2471"/>
      <c r="E17" s="2447"/>
      <c r="F17" s="2501" t="s">
        <v>2273</v>
      </c>
      <c r="G17" s="2503"/>
    </row>
    <row r="18" spans="1:18" ht="38.25">
      <c r="A18" s="2446"/>
      <c r="B18" s="2501" t="s">
        <v>2261</v>
      </c>
      <c r="C18" s="2502" t="str">
        <f>C6</f>
        <v>估价对象周边道路状况、公共交通通达情况、停车便捷程度，综合评价交通便捷度较好</v>
      </c>
      <c r="D18" s="2471"/>
      <c r="E18" s="2447"/>
      <c r="F18" s="2501" t="s">
        <v>2264</v>
      </c>
      <c r="G18" s="2502" t="str">
        <f>G7</f>
        <v>该园区内是否有污染型企业，绿化情况，卫生条件，整体环境状况判断</v>
      </c>
    </row>
    <row r="19" spans="1:18" ht="25.5">
      <c r="A19" s="2446"/>
      <c r="B19" s="2501" t="s">
        <v>2274</v>
      </c>
      <c r="C19" s="2503"/>
      <c r="D19" s="2465"/>
      <c r="E19" s="2447"/>
      <c r="F19" s="323" t="s">
        <v>2259</v>
      </c>
      <c r="G19" s="2502" t="str">
        <f>G5</f>
        <v>估价对象所在区域公共配套设施齐备情况</v>
      </c>
    </row>
    <row r="20" spans="1:18" ht="38.25">
      <c r="A20" s="2446"/>
      <c r="B20" s="2501" t="s">
        <v>2275</v>
      </c>
      <c r="C20" s="2500" t="str">
        <f>C9</f>
        <v>区域自然环境：金马公园、凉水河；人文环境：；综合评价环境状况一般</v>
      </c>
      <c r="D20" s="2471"/>
      <c r="E20" s="2447"/>
      <c r="F20" s="323" t="s">
        <v>2262</v>
      </c>
      <c r="G20" s="2502" t="str">
        <f>G6</f>
        <v>估价对象所在区域基础设施水平</v>
      </c>
    </row>
    <row r="21" spans="1:18" ht="25.5">
      <c r="A21" s="2446"/>
      <c r="B21" s="323" t="s">
        <v>2259</v>
      </c>
      <c r="C21" s="2502" t="str">
        <f>C7</f>
        <v>估价对象所在区域公共配套设施齐备情况</v>
      </c>
      <c r="D21" s="2465"/>
      <c r="E21" s="2447"/>
      <c r="F21" s="2501" t="s">
        <v>2276</v>
      </c>
      <c r="G21" s="2504"/>
    </row>
    <row r="22" spans="1:18" ht="13.5" customHeight="1">
      <c r="A22" s="2446"/>
      <c r="B22" s="323" t="s">
        <v>2262</v>
      </c>
      <c r="C22" s="2502" t="str">
        <f>C8</f>
        <v>七通</v>
      </c>
      <c r="D22" s="2465"/>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t="str">
        <f>C10</f>
        <v>城市之路——兴贸南街</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90.65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45366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167</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3357</v>
      </c>
      <c r="D10" s="2511" t="s">
        <v>3358</v>
      </c>
      <c r="E10" s="3440"/>
      <c r="F10" s="3444" t="s">
        <v>3359</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'数据-汇总表'!F19</f>
        <v>90.65</v>
      </c>
      <c r="C14" s="2517"/>
      <c r="D14" s="2517">
        <f ca="1">结果表!G19</f>
        <v>167</v>
      </c>
      <c r="E14" s="2517">
        <f ca="1">ROUND(D14*10000/B14,0)</f>
        <v>18423</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3394</v>
      </c>
      <c r="D4" s="1756" t="s">
        <v>3430</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3" t="s">
        <v>1268</v>
      </c>
      <c r="B5" s="3618">
        <v>25</v>
      </c>
      <c r="C5" s="3621">
        <v>2</v>
      </c>
      <c r="D5" s="3609">
        <f>10-C5</f>
        <v>8</v>
      </c>
      <c r="E5" s="131" t="s">
        <v>1269</v>
      </c>
      <c r="F5" s="1757"/>
      <c r="G5" s="1757"/>
      <c r="H5" s="1757"/>
      <c r="I5" s="1373"/>
    </row>
    <row r="6" spans="1:12" ht="12.75">
      <c r="A6" s="3563"/>
      <c r="B6" s="3618"/>
      <c r="C6" s="3623"/>
      <c r="D6" s="3609"/>
      <c r="E6" s="131" t="s">
        <v>1270</v>
      </c>
      <c r="F6" s="1757"/>
      <c r="G6" s="1757"/>
      <c r="H6" s="1757"/>
      <c r="I6" s="1373"/>
    </row>
    <row r="7" spans="1:12" ht="12.75">
      <c r="A7" s="3563"/>
      <c r="B7" s="3618"/>
      <c r="C7" s="3622"/>
      <c r="D7" s="3609"/>
      <c r="E7" s="131" t="s">
        <v>1271</v>
      </c>
      <c r="F7" s="1757"/>
      <c r="G7" s="1757"/>
      <c r="H7" s="1757"/>
      <c r="I7" s="1373"/>
    </row>
    <row r="8" spans="1:12" ht="12.75">
      <c r="A8" s="3563" t="s">
        <v>1272</v>
      </c>
      <c r="B8" s="3618">
        <v>15</v>
      </c>
      <c r="C8" s="3621"/>
      <c r="D8" s="3609"/>
      <c r="E8" s="131" t="s">
        <v>1273</v>
      </c>
      <c r="F8" s="1757"/>
      <c r="G8" s="1757"/>
      <c r="H8" s="1757"/>
      <c r="I8" s="1373"/>
    </row>
    <row r="9" spans="1:12" ht="12.75">
      <c r="A9" s="3563"/>
      <c r="B9" s="3618"/>
      <c r="C9" s="3622"/>
      <c r="D9" s="3609"/>
      <c r="E9" s="131" t="s">
        <v>1274</v>
      </c>
      <c r="F9" s="1757"/>
      <c r="G9" s="1757"/>
      <c r="H9" s="1757"/>
      <c r="I9" s="1373"/>
    </row>
    <row r="10" spans="1:12" ht="12.75">
      <c r="A10" s="3563" t="s">
        <v>1275</v>
      </c>
      <c r="B10" s="3618">
        <v>15</v>
      </c>
      <c r="C10" s="3621"/>
      <c r="D10" s="3609"/>
      <c r="E10" s="131" t="s">
        <v>1276</v>
      </c>
      <c r="F10" s="1757"/>
      <c r="G10" s="1757"/>
      <c r="H10" s="1757"/>
      <c r="I10" s="1373"/>
    </row>
    <row r="11" spans="1:12" ht="12.75">
      <c r="A11" s="3563"/>
      <c r="B11" s="3618"/>
      <c r="C11" s="3622"/>
      <c r="D11" s="3609"/>
      <c r="E11" s="131" t="s">
        <v>1277</v>
      </c>
      <c r="F11" s="1757"/>
      <c r="G11" s="1757"/>
      <c r="H11" s="1757"/>
      <c r="I11" s="1373"/>
    </row>
    <row r="12" spans="1:12" ht="12.75">
      <c r="A12" s="3563" t="s">
        <v>1278</v>
      </c>
      <c r="B12" s="3618">
        <v>15</v>
      </c>
      <c r="C12" s="3621"/>
      <c r="D12" s="3609"/>
      <c r="E12" s="131" t="s">
        <v>1279</v>
      </c>
      <c r="F12" s="1757"/>
      <c r="G12" s="1757"/>
      <c r="H12" s="1757"/>
      <c r="I12" s="1373"/>
    </row>
    <row r="13" spans="1:12" ht="12.75">
      <c r="A13" s="3563"/>
      <c r="B13" s="3618"/>
      <c r="C13" s="3622"/>
      <c r="D13" s="3609"/>
      <c r="E13" s="131" t="s">
        <v>1280</v>
      </c>
      <c r="F13" s="1757"/>
      <c r="G13" s="1757"/>
      <c r="H13" s="1757"/>
      <c r="I13" s="1373"/>
    </row>
    <row r="14" spans="1:12" ht="12.75">
      <c r="A14" s="3563" t="s">
        <v>1281</v>
      </c>
      <c r="B14" s="3618">
        <v>30</v>
      </c>
      <c r="C14" s="3621"/>
      <c r="D14" s="3609"/>
      <c r="E14" s="131" t="s">
        <v>1282</v>
      </c>
      <c r="F14" s="1757"/>
      <c r="G14" s="1757"/>
      <c r="H14" s="1757"/>
      <c r="I14" s="1373"/>
    </row>
    <row r="15" spans="1:12" ht="12.75">
      <c r="A15" s="3563"/>
      <c r="B15" s="3618"/>
      <c r="C15" s="3623"/>
      <c r="D15" s="3609"/>
      <c r="E15" s="131" t="s">
        <v>1283</v>
      </c>
      <c r="F15" s="1757"/>
      <c r="G15" s="1757"/>
      <c r="H15" s="1757"/>
      <c r="I15" s="1373"/>
    </row>
    <row r="16" spans="1:12" ht="12.75">
      <c r="A16" s="3563"/>
      <c r="B16" s="3618"/>
      <c r="C16" s="3622"/>
      <c r="D16" s="3609"/>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40" t="s">
        <v>2131</v>
      </c>
      <c r="F18" s="3641"/>
      <c r="G18" s="3641"/>
      <c r="H18" s="3641"/>
      <c r="I18" s="3641"/>
      <c r="K18" s="302" t="s">
        <v>1289</v>
      </c>
      <c r="L18" s="302">
        <f>IF(C1="",'数据-汇总表'!E3,SUMIF(项目类型,C1,'数据-汇总表'!E17:E26)+SUMIF(项目类型,C1,'数据-汇总表'!I17:I26))</f>
        <v>90.65</v>
      </c>
      <c r="M18" s="302">
        <f>IF(C1="",'数据-汇总表'!E3,SUMIF(项目类型,C1,'数据-汇总表'!E17:E26))</f>
        <v>90.65</v>
      </c>
    </row>
    <row r="19" spans="1:36" ht="15">
      <c r="A19" s="1761" t="s">
        <v>1290</v>
      </c>
      <c r="B19" s="1762" t="s">
        <v>1291</v>
      </c>
      <c r="C19" s="134">
        <f ca="1">SUMIF(INDIRECT("'"&amp;C4&amp;"'"&amp;"!A:A"),结果表!B19,INDIRECT("'"&amp;C4&amp;"'"&amp;"!B:B"))</f>
        <v>137.52459999999999</v>
      </c>
      <c r="D19" s="135">
        <f ca="1">SUMIF(INDIRECT("'"&amp;D4&amp;"'"&amp;"!A:A"),结果表!B19,INDIRECT("'"&amp;D4&amp;"'"&amp;"!B:B"))</f>
        <v>174.10239999999999</v>
      </c>
      <c r="E19" s="1761" t="s">
        <v>1292</v>
      </c>
      <c r="F19" s="1762" t="s">
        <v>1291</v>
      </c>
      <c r="G19" s="136">
        <f ca="1">ROUND(C19*$C$18+D19*$D$18,0)</f>
        <v>167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15171</v>
      </c>
      <c r="D20" s="138">
        <f ca="1">SUMIF(INDIRECT("'"&amp;D4&amp;"'"&amp;"!A:A"),结果表!B20,INDIRECT("'"&amp;D4&amp;"'"&amp;"!B:B"))</f>
        <v>19206</v>
      </c>
      <c r="E20" s="1764"/>
      <c r="F20" s="1026" t="s">
        <v>1295</v>
      </c>
      <c r="G20" s="139">
        <f ca="1">ROUND(C20*$C$18+D20*$D$18,0)</f>
        <v>18399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0.26597277868832192</v>
      </c>
      <c r="E22" s="129"/>
      <c r="F22" s="129"/>
      <c r="G22" s="129"/>
      <c r="H22" s="129"/>
      <c r="I22" s="129"/>
    </row>
    <row r="23" spans="1:36" ht="13.5" thickBot="1">
      <c r="A23" s="1747"/>
      <c r="B23" s="1747"/>
      <c r="C23" s="1747"/>
      <c r="D23" s="1747"/>
      <c r="E23" s="129"/>
      <c r="F23" s="129"/>
      <c r="G23" s="129"/>
      <c r="H23" s="129"/>
      <c r="I23" s="129"/>
    </row>
    <row r="24" spans="1:36" ht="14.25">
      <c r="A24" s="3633" t="s">
        <v>1299</v>
      </c>
      <c r="B24" s="1762" t="s">
        <v>1291</v>
      </c>
      <c r="C24" s="136">
        <f>IF(B30=0,0,D30)</f>
        <v>0</v>
      </c>
      <c r="D24" s="1769"/>
      <c r="E24" s="129"/>
      <c r="F24" s="129"/>
      <c r="G24" s="129"/>
      <c r="H24" s="129"/>
      <c r="I24" s="129"/>
    </row>
    <row r="25" spans="1:36" ht="14.25">
      <c r="A25" s="363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18399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t="e">
        <f ca="1">ROUND(H101*F45,0)</f>
        <v>#REF!</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6"/>
      <c r="I46" s="159"/>
      <c r="J46" s="2522">
        <v>1</v>
      </c>
      <c r="K46" s="3551" t="s">
        <v>1331</v>
      </c>
      <c r="L46" s="3551"/>
      <c r="M46" s="3552"/>
      <c r="N46" s="3552"/>
      <c r="O46" s="3552"/>
    </row>
    <row r="47" spans="1:15" ht="12" customHeight="1">
      <c r="A47" s="160" t="s">
        <v>1332</v>
      </c>
      <c r="B47" s="161"/>
      <c r="C47" s="162"/>
      <c r="D47" s="1087" t="s">
        <v>1333</v>
      </c>
      <c r="E47" s="302" t="s">
        <v>1334</v>
      </c>
      <c r="F47" s="163" t="s">
        <v>1335</v>
      </c>
      <c r="G47" s="2545" t="s">
        <v>1336</v>
      </c>
      <c r="H47" s="2546"/>
      <c r="I47" s="159"/>
      <c r="J47" s="2522">
        <v>2</v>
      </c>
      <c r="K47" s="3551" t="s">
        <v>1337</v>
      </c>
      <c r="L47" s="3551"/>
      <c r="M47" s="3553">
        <f>'数据-取费表'!B2</f>
        <v>45366</v>
      </c>
      <c r="N47" s="3553"/>
      <c r="O47" s="3553"/>
    </row>
    <row r="48" spans="1:15" ht="25.5">
      <c r="A48" s="3613" t="s">
        <v>1338</v>
      </c>
      <c r="B48" s="3614"/>
      <c r="C48" s="3614"/>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51" t="s">
        <v>1340</v>
      </c>
      <c r="L48" s="3551"/>
      <c r="M48" s="3554" t="e">
        <f ca="1">H101</f>
        <v>#REF!</v>
      </c>
      <c r="N48" s="3554"/>
      <c r="O48" s="3554"/>
    </row>
    <row r="49" spans="1:35" ht="25.5" customHeight="1">
      <c r="A49" s="2333" t="s">
        <v>1341</v>
      </c>
      <c r="B49" s="3599" t="s">
        <v>1342</v>
      </c>
      <c r="C49" s="3599"/>
      <c r="D49" s="1590">
        <v>0</v>
      </c>
      <c r="E49" s="324" t="s">
        <v>1343</v>
      </c>
      <c r="F49" s="2424" t="s">
        <v>28</v>
      </c>
      <c r="G49" s="3582"/>
      <c r="H49" s="2310" t="s">
        <v>2134</v>
      </c>
      <c r="I49" s="2311"/>
      <c r="J49" s="2522">
        <v>4</v>
      </c>
      <c r="K49" s="3551" t="str">
        <f>IF(项目基本情况!E8="房地产抵押价值","房地产抵押价值","抵押担保权已注销时的房地产抵押价值")</f>
        <v>抵押担保权已注销时的房地产抵押价值</v>
      </c>
      <c r="L49" s="3551"/>
      <c r="M49" s="3554" t="str">
        <f>IF(项目基本情况!E8="房地产抵押价值",H107,H109)</f>
        <v>——</v>
      </c>
      <c r="N49" s="3554"/>
      <c r="O49" s="3554"/>
    </row>
    <row r="50" spans="1:35" ht="25.5" customHeight="1">
      <c r="A50" s="2550"/>
      <c r="B50" s="3599" t="s">
        <v>1344</v>
      </c>
      <c r="C50" s="3599"/>
      <c r="D50" s="2551"/>
      <c r="E50" s="332"/>
      <c r="F50" s="2424"/>
      <c r="G50" s="3583"/>
      <c r="H50" s="2312" t="s">
        <v>2135</v>
      </c>
      <c r="I50" s="2311"/>
      <c r="J50" s="3550" t="s">
        <v>1345</v>
      </c>
      <c r="K50" s="3550"/>
      <c r="L50" s="3550"/>
      <c r="M50" s="3550"/>
      <c r="N50" s="3550"/>
      <c r="O50" s="3550"/>
    </row>
    <row r="51" spans="1:35" ht="20.45" customHeight="1">
      <c r="A51" s="2552"/>
      <c r="B51" s="3599" t="s">
        <v>1346</v>
      </c>
      <c r="C51" s="3599"/>
      <c r="D51" s="1087"/>
      <c r="E51" s="327"/>
      <c r="F51" s="2424"/>
      <c r="G51" s="3584"/>
      <c r="H51" s="2312" t="s">
        <v>2136</v>
      </c>
      <c r="I51" s="2311"/>
      <c r="J51" s="2523" t="s">
        <v>1347</v>
      </c>
      <c r="K51" s="3551" t="s">
        <v>1348</v>
      </c>
      <c r="L51" s="3551"/>
      <c r="M51" s="2523" t="s">
        <v>1349</v>
      </c>
      <c r="N51" s="2523" t="s">
        <v>1350</v>
      </c>
      <c r="O51" s="2523" t="s">
        <v>1351</v>
      </c>
    </row>
    <row r="52" spans="1:35" ht="24" customHeight="1">
      <c r="A52" s="2335" t="s">
        <v>1352</v>
      </c>
      <c r="B52" s="3599" t="s">
        <v>1353</v>
      </c>
      <c r="C52" s="3599"/>
      <c r="D52" s="1087" t="e">
        <f ca="1">ROUND(D45*'数据-取费表'!B41/(1+'数据-取费表'!C42),0)</f>
        <v>#REF!</v>
      </c>
      <c r="E52" s="2334" t="s">
        <v>1354</v>
      </c>
      <c r="F52" s="2553">
        <f>'数据-取费表'!B41</f>
        <v>5.5000000000000007E-2</v>
      </c>
      <c r="G52" s="2554"/>
      <c r="H52" s="2543"/>
      <c r="I52" s="1807"/>
      <c r="J52" s="2522">
        <v>1</v>
      </c>
      <c r="K52" s="3576" t="s">
        <v>1355</v>
      </c>
      <c r="L52" s="3576"/>
      <c r="M52" s="2524" t="b">
        <f>D48</f>
        <v>0</v>
      </c>
      <c r="N52" s="2522" t="str">
        <f>E48</f>
        <v>销售额×税（费）率</v>
      </c>
      <c r="O52" s="2525">
        <f>F48</f>
        <v>5.5000000000000007E-2</v>
      </c>
    </row>
    <row r="53" spans="1:35" ht="12" customHeight="1">
      <c r="A53" s="2335" t="s">
        <v>1356</v>
      </c>
      <c r="B53" s="3600" t="s">
        <v>2289</v>
      </c>
      <c r="C53" s="3601"/>
      <c r="D53" s="1087" t="e">
        <f ca="1">ROUND(D45*'数据-取费表'!B41/(1+'数据-取费表'!C42),0)</f>
        <v>#REF!</v>
      </c>
      <c r="E53" s="2334" t="s">
        <v>1354</v>
      </c>
      <c r="F53" s="2553">
        <f>'数据-取费表'!B41</f>
        <v>5.5000000000000007E-2</v>
      </c>
      <c r="G53" s="2554"/>
      <c r="H53" s="2543"/>
      <c r="I53" s="1807"/>
      <c r="J53" s="2522">
        <v>2</v>
      </c>
      <c r="K53" s="3576" t="s">
        <v>1357</v>
      </c>
      <c r="L53" s="3576"/>
      <c r="M53" s="2524" t="e">
        <f t="shared" ref="M53:O54" ca="1" si="0">D55</f>
        <v>#REF!</v>
      </c>
      <c r="N53" s="2522" t="str">
        <f t="shared" si="0"/>
        <v>销售额×税（费）率</v>
      </c>
      <c r="O53" s="2525" t="str">
        <f t="shared" si="0"/>
        <v>免征</v>
      </c>
    </row>
    <row r="54" spans="1:35" ht="12" customHeight="1">
      <c r="A54" s="2335" t="s">
        <v>1358</v>
      </c>
      <c r="B54" s="3600" t="s">
        <v>2290</v>
      </c>
      <c r="C54" s="3601"/>
      <c r="D54" s="1087" t="e">
        <f ca="1">C68</f>
        <v>#REF!</v>
      </c>
      <c r="E54" s="327" t="s">
        <v>1359</v>
      </c>
      <c r="F54" s="2553">
        <f>'数据-取费表'!B41</f>
        <v>5.5000000000000007E-2</v>
      </c>
      <c r="G54" s="2554"/>
      <c r="H54" s="2555"/>
      <c r="I54" s="1807"/>
      <c r="J54" s="2522">
        <v>3</v>
      </c>
      <c r="K54" s="3576" t="s">
        <v>1360</v>
      </c>
      <c r="L54" s="3576"/>
      <c r="M54" s="2524" t="e">
        <f t="shared" ca="1" si="0"/>
        <v>#REF!</v>
      </c>
      <c r="N54" s="2522" t="str">
        <f t="shared" si="0"/>
        <v>增值额×税（费）率</v>
      </c>
      <c r="O54" s="2526" t="str">
        <f t="shared" si="0"/>
        <v>免征</v>
      </c>
    </row>
    <row r="55" spans="1:35" ht="24" customHeight="1">
      <c r="A55" s="3636" t="s">
        <v>1361</v>
      </c>
      <c r="B55" s="3614"/>
      <c r="C55" s="3614"/>
      <c r="D55" s="2324" t="e">
        <f ca="1">IF(H55="个人住宅",0,ROUND(D45*I55,0))</f>
        <v>#REF!</v>
      </c>
      <c r="E55" s="2334" t="s">
        <v>1362</v>
      </c>
      <c r="F55" s="2553" t="str">
        <f>IF(H55="正常",I55,"免征")</f>
        <v>免征</v>
      </c>
      <c r="G55" s="2554"/>
      <c r="H55" s="2549"/>
      <c r="I55" s="165">
        <f>'数据-取费表'!B49</f>
        <v>5.0000000000000001E-4</v>
      </c>
      <c r="J55" s="2522">
        <f>IF(H59="非个人房产","",4)</f>
        <v>4</v>
      </c>
      <c r="K55" s="3576" t="str">
        <f>IF(H59="非个人房产","——","个人所得税")</f>
        <v>个人所得税</v>
      </c>
      <c r="L55" s="3576"/>
      <c r="M55" s="2527" t="e">
        <f ca="1">D59</f>
        <v>#REF!</v>
      </c>
      <c r="N55" s="2040" t="str">
        <f>E59</f>
        <v>差额计税</v>
      </c>
      <c r="O55" s="2528">
        <f>F59</f>
        <v>0.01</v>
      </c>
    </row>
    <row r="56" spans="1:35" ht="24.75">
      <c r="A56" s="3636" t="s">
        <v>1363</v>
      </c>
      <c r="B56" s="3614"/>
      <c r="C56" s="3614"/>
      <c r="D56" s="2324" t="e">
        <f ca="1">IF(H56="个人住宅",D57,D58)</f>
        <v>#REF!</v>
      </c>
      <c r="E56" s="2334" t="s">
        <v>1364</v>
      </c>
      <c r="F56" s="2553" t="str">
        <f>IF(H56="正常",F58,"免征")</f>
        <v>免征</v>
      </c>
      <c r="G56" s="2556" t="s">
        <v>1365</v>
      </c>
      <c r="H56" s="2557"/>
      <c r="I56" s="1808"/>
      <c r="J56" s="2522" t="str">
        <f>IF(项目基本情况!K6="上海银行",IF(J55="",4,J55+1),"")</f>
        <v/>
      </c>
      <c r="K56" s="3557" t="str">
        <f>IF(项目基本情况!K6="上海银行","其他处置费用","")</f>
        <v/>
      </c>
      <c r="L56" s="3558"/>
      <c r="M56" s="2524" t="str">
        <f>IF(项目基本情况!K6="上海银行",M69,"")</f>
        <v/>
      </c>
      <c r="N56" s="3557" t="str">
        <f>IF(项目基本情况!K6="上海银行","包含处置中涉及的律师、诉讼、拍卖、评估等费用","")</f>
        <v/>
      </c>
      <c r="O56" s="3560"/>
    </row>
    <row r="57" spans="1:35" ht="12.75">
      <c r="A57" s="2335" t="s">
        <v>1341</v>
      </c>
      <c r="B57" s="3600" t="s">
        <v>1366</v>
      </c>
      <c r="C57" s="3601"/>
      <c r="D57" s="1590">
        <v>0</v>
      </c>
      <c r="E57" s="324" t="s">
        <v>1343</v>
      </c>
      <c r="F57" s="302"/>
      <c r="G57" s="2554"/>
      <c r="H57" s="2558"/>
      <c r="I57" s="1808"/>
      <c r="J57" s="3576">
        <f>IF(AND(J55="",J56=""),4,IF(项目基本情况!K6="上海银行",结果表!J56+1,结果表!J55+1))</f>
        <v>5</v>
      </c>
      <c r="K57" s="3576" t="s">
        <v>1367</v>
      </c>
      <c r="L57" s="2529" t="s">
        <v>1368</v>
      </c>
      <c r="M57" s="2530"/>
      <c r="N57" s="2531">
        <f ca="1">SUMIF(M52:M56,"&lt;9e307")</f>
        <v>0</v>
      </c>
      <c r="O57" s="2532"/>
      <c r="P57" s="2689" t="e">
        <f ca="1">N57/M49</f>
        <v>#VALUE!</v>
      </c>
    </row>
    <row r="58" spans="1:35" ht="24.75">
      <c r="A58" s="2335" t="s">
        <v>1352</v>
      </c>
      <c r="B58" s="3600" t="s">
        <v>1369</v>
      </c>
      <c r="C58" s="3599"/>
      <c r="D58" s="2324" t="e">
        <f ca="1">IF(H58="转让取得",C81,C97)</f>
        <v>#REF!</v>
      </c>
      <c r="E58" s="2334" t="s">
        <v>1364</v>
      </c>
      <c r="F58" s="302" t="s">
        <v>28</v>
      </c>
      <c r="G58" s="2554"/>
      <c r="H58" s="2557"/>
      <c r="I58" s="1808"/>
      <c r="J58" s="3576"/>
      <c r="K58" s="3576"/>
      <c r="L58" s="2529" t="s">
        <v>1370</v>
      </c>
      <c r="M58" s="2533"/>
      <c r="N58" s="2534" t="str">
        <f ca="1">NUMBERSTRING(INT(N57*10000),2)&amp;"元整"</f>
        <v>零元整</v>
      </c>
      <c r="O58" s="2535"/>
    </row>
    <row r="59" spans="1:35" ht="24.75" thickBot="1">
      <c r="A59" s="3580" t="s">
        <v>1371</v>
      </c>
      <c r="B59" s="3581"/>
      <c r="C59" s="3581"/>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78">
        <f>J57+1</f>
        <v>6</v>
      </c>
      <c r="K59" s="3576" t="s">
        <v>1372</v>
      </c>
      <c r="L59" s="2522" t="s">
        <v>1368</v>
      </c>
      <c r="M59" s="2536"/>
      <c r="N59" s="2537" t="e">
        <f ca="1">M49-N57</f>
        <v>#VALUE!</v>
      </c>
      <c r="O59" s="2538"/>
    </row>
    <row r="60" spans="1:35" ht="12" customHeight="1">
      <c r="A60" s="1809"/>
      <c r="B60" s="1747"/>
      <c r="C60" s="1747"/>
      <c r="D60" s="1747"/>
      <c r="E60" s="1578"/>
      <c r="F60" s="1808"/>
      <c r="G60" s="1808"/>
      <c r="H60" s="1810"/>
      <c r="I60" s="129"/>
      <c r="J60" s="3579"/>
      <c r="K60" s="3576"/>
      <c r="L60" s="2529" t="s">
        <v>1370</v>
      </c>
      <c r="M60" s="2533"/>
      <c r="N60" s="2534" t="e">
        <f ca="1">NUMBERSTRING(INT(N59*10000),2)&amp;"元整"</f>
        <v>#VALUE!</v>
      </c>
      <c r="O60" s="2535"/>
    </row>
    <row r="61" spans="1:35" ht="13.5" thickBot="1">
      <c r="A61" s="3635" t="s">
        <v>1373</v>
      </c>
      <c r="B61" s="3635"/>
      <c r="C61" s="3635"/>
      <c r="D61" s="3635"/>
      <c r="E61" s="3635"/>
      <c r="F61" s="1808"/>
      <c r="G61" s="1808"/>
      <c r="H61" s="1810"/>
      <c r="I61" s="129"/>
      <c r="J61" s="2522">
        <f>J59+1</f>
        <v>7</v>
      </c>
      <c r="K61" s="3576" t="s">
        <v>1374</v>
      </c>
      <c r="L61" s="3576"/>
      <c r="M61" s="2539"/>
      <c r="N61" s="2540" t="e">
        <f ca="1">ROUND(N59*10000/'数据-汇总表'!E3,0)</f>
        <v>#VALUE!</v>
      </c>
      <c r="O61" s="2541"/>
    </row>
    <row r="62" spans="1:35" ht="12.75">
      <c r="A62" s="3595" t="s">
        <v>1375</v>
      </c>
      <c r="B62" s="3596"/>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59"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59"/>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59"/>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5.5000000000000007E-2</v>
      </c>
      <c r="E68" s="178"/>
      <c r="F68" s="1808"/>
      <c r="G68" s="1808"/>
      <c r="H68" s="1810"/>
      <c r="I68" s="129"/>
      <c r="J68" s="3559"/>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59"/>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0" t="s">
        <v>1402</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5.000000000000001E-3</v>
      </c>
      <c r="E78" s="3592" t="s">
        <v>1406</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1" t="s">
        <v>2129</v>
      </c>
      <c r="H90" s="3562"/>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2" t="s">
        <v>1419</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2" t="s">
        <v>1422</v>
      </c>
      <c r="F92" s="3593"/>
      <c r="G92" s="3593"/>
      <c r="H92" s="3594"/>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5.000000000000001E-3</v>
      </c>
      <c r="E93" s="3592" t="s">
        <v>1406</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4" t="str">
        <f>C4</f>
        <v>收益法 (元)</v>
      </c>
      <c r="D101" s="2585" t="str">
        <f>D4</f>
        <v>比较法-办公</v>
      </c>
      <c r="E101" s="3555" t="s">
        <v>1431</v>
      </c>
      <c r="F101" s="3556"/>
      <c r="G101" s="1827" t="s">
        <v>1432</v>
      </c>
      <c r="H101" s="2594" t="e">
        <f ca="1">H118</f>
        <v>#REF!</v>
      </c>
      <c r="I101" s="129"/>
    </row>
    <row r="102" spans="1:35" ht="18.75" customHeight="1">
      <c r="A102" s="3587" t="s">
        <v>1433</v>
      </c>
      <c r="B102" s="2583" t="s">
        <v>1432</v>
      </c>
      <c r="C102" s="2584">
        <f ca="1">IF(D32="楼面单价",ROUND(C19,0),C19)</f>
        <v>137.52459999999999</v>
      </c>
      <c r="D102" s="2585">
        <f ca="1">IF(D32="楼面单价",ROUND(D19,0),D19)</f>
        <v>174.10239999999999</v>
      </c>
      <c r="E102" s="3555"/>
      <c r="F102" s="3556"/>
      <c r="G102" s="1827" t="s">
        <v>1434</v>
      </c>
      <c r="H102" s="2554" t="e">
        <f ca="1">I118</f>
        <v>#REF!</v>
      </c>
      <c r="I102" s="129"/>
    </row>
    <row r="103" spans="1:35" ht="42.75" customHeight="1">
      <c r="A103" s="3587"/>
      <c r="B103" s="2583" t="s">
        <v>1434</v>
      </c>
      <c r="C103" s="2586">
        <f ca="1">C20</f>
        <v>15171</v>
      </c>
      <c r="D103" s="2587">
        <f ca="1">D20</f>
        <v>19206</v>
      </c>
      <c r="E103" s="3548" t="s">
        <v>1435</v>
      </c>
      <c r="F103" s="3549"/>
      <c r="G103" s="1828" t="s">
        <v>1436</v>
      </c>
      <c r="H103" s="2594">
        <f>IF(D36="正常操作",H104+H105+H106,H105+H106)</f>
        <v>0</v>
      </c>
      <c r="I103" s="129"/>
    </row>
    <row r="104" spans="1:35" ht="18.75" customHeight="1">
      <c r="A104" s="3587"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97"/>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8" t="str">
        <f>IF(项目基本情况!E8="已注销","——","3.房地产抵押价值")</f>
        <v>3.房地产抵押价值</v>
      </c>
      <c r="F107" s="3556"/>
      <c r="G107" s="1827" t="s">
        <v>1432</v>
      </c>
      <c r="H107" s="2594" t="e">
        <f ca="1">IF(E107="——","——",H101-H103)</f>
        <v>#REF!</v>
      </c>
      <c r="I107" s="129"/>
    </row>
    <row r="108" spans="1:35" ht="18.75" customHeight="1">
      <c r="A108" s="129"/>
      <c r="B108" s="129"/>
      <c r="C108" s="129"/>
      <c r="D108" s="129"/>
      <c r="E108" s="3588"/>
      <c r="F108" s="3556"/>
      <c r="G108" s="1827" t="s">
        <v>1434</v>
      </c>
      <c r="H108" s="2554">
        <f ca="1">IF(H107=H101,H102,ROUND(H107*10000/'数据-汇总表'!E3,0))</f>
        <v>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1432</v>
      </c>
      <c r="H109" s="2597" t="str">
        <f>IF(E109="——","——",H101-H105-H106)</f>
        <v>——</v>
      </c>
      <c r="I109" s="129"/>
    </row>
    <row r="110" spans="1:35" ht="18.75" customHeight="1">
      <c r="A110" s="129"/>
      <c r="B110" s="129"/>
      <c r="C110" s="129"/>
      <c r="D110" s="129"/>
      <c r="E110" s="3588"/>
      <c r="F110" s="3556"/>
      <c r="G110" s="1827" t="s">
        <v>1434</v>
      </c>
      <c r="H110" s="2554"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1432</v>
      </c>
      <c r="H111" s="2594" t="str">
        <f>IF(E111="——","——",N59)</f>
        <v>——</v>
      </c>
      <c r="I111" s="129"/>
    </row>
    <row r="112" spans="1:35" ht="18.75" customHeight="1" thickBot="1">
      <c r="A112" s="129"/>
      <c r="B112" s="129"/>
      <c r="C112" s="129"/>
      <c r="D112" s="129"/>
      <c r="E112" s="3590"/>
      <c r="F112" s="3591"/>
      <c r="G112" s="1830" t="s">
        <v>1434</v>
      </c>
      <c r="H112" s="2598"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90.65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
      </c>
      <c r="B122" s="3575"/>
      <c r="C122" s="3575"/>
      <c r="D122" s="3564" t="e">
        <f ca="1">H107</f>
        <v>#REF!</v>
      </c>
      <c r="E122" s="3565"/>
      <c r="F122" s="3565"/>
      <c r="G122" s="3565"/>
      <c r="H122" s="3565"/>
      <c r="I122" s="3566"/>
      <c r="AA122" s="725"/>
    </row>
    <row r="123" spans="1:27" ht="18.75" customHeight="1">
      <c r="A123" s="3563" t="s">
        <v>1452</v>
      </c>
      <c r="B123" s="3563"/>
      <c r="C123" s="3563"/>
      <c r="D123" s="3569" t="e">
        <f ca="1">NUMBERSTRING(INT(D122*10000),2)&amp;"元整"</f>
        <v>#REF!</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1452</v>
      </c>
      <c r="B127" s="3563"/>
      <c r="C127" s="3563"/>
      <c r="D127" s="3569" t="e">
        <f>NUMBERSTRING(INT(D126*10000),2)&amp;"元整"</f>
        <v>#VALUE!</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5074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90.65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90.65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90.65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1E-3</v>
      </c>
      <c r="D44" s="238"/>
      <c r="E44" s="238"/>
      <c r="F44" s="239"/>
      <c r="G44" s="3644"/>
    </row>
    <row r="45" spans="1:7" s="214" customFormat="1" ht="13.5" customHeight="1">
      <c r="A45" s="255" t="s">
        <v>1547</v>
      </c>
      <c r="B45" s="244" t="s">
        <v>1513</v>
      </c>
      <c r="C45" s="245">
        <f ca="1">C46</f>
        <v>8</v>
      </c>
      <c r="D45" s="235">
        <f ca="1">C47</f>
        <v>4.0000000000000001E-3</v>
      </c>
      <c r="E45" s="236" t="s">
        <v>1539</v>
      </c>
      <c r="F45" s="246">
        <f ca="1">F27</f>
        <v>0.2</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44</v>
      </c>
      <c r="D51" s="232"/>
      <c r="E51" s="232"/>
      <c r="F51" s="264"/>
      <c r="G51" s="234" t="s">
        <v>1560</v>
      </c>
    </row>
    <row r="52" spans="1:7" s="208" customFormat="1" ht="16.5" thickBot="1">
      <c r="A52" s="265" t="s">
        <v>1561</v>
      </c>
      <c r="B52" s="266"/>
      <c r="C52" s="267">
        <f ca="1">C31+C51</f>
        <v>46</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北京市房地产市场价值预评估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-221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90.65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-221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 (2)'!C5,'数据-汇总表'!$E19:$E33)</f>
        <v>0</v>
      </c>
      <c r="D7" s="277">
        <f>SUMIF('数据-汇总表'!$C19:$C33,'假设开发法 (2)'!D5,'数据-汇总表'!$E19:$E33)</f>
        <v>0</v>
      </c>
      <c r="E7" s="277">
        <f>SUMIF('数据-汇总表'!$C19:$C33,'假设开发法 (2)'!E5,'数据-汇总表'!$E19:$E33)</f>
        <v>0</v>
      </c>
      <c r="F7" s="277">
        <f>SUMIF('数据-汇总表'!$C19:$C33,'假设开发法 (2)'!F5,'数据-汇总表'!$E19:$E33)</f>
        <v>0</v>
      </c>
      <c r="G7" s="277">
        <f>SUMIF('数据-汇总表'!$C19:$C33,'假设开发法 (2)'!G5,'数据-汇总表'!$E19:$E33)</f>
        <v>0</v>
      </c>
      <c r="H7" s="277">
        <f>SUMIF('数据-汇总表'!$C19:$C33,'假设开发法 (2)'!H5,'数据-汇总表'!$E19:$E33)</f>
        <v>0</v>
      </c>
      <c r="I7" s="277">
        <f>SUMIF('数据-汇总表'!$C19:$C33,'假设开发法 (2)'!I5,'数据-汇总表'!$E19:$E33)</f>
        <v>0</v>
      </c>
      <c r="J7" s="277">
        <f>SUMIF('数据-汇总表'!$C19:$C33,'假设开发法 (2)'!J5,'数据-汇总表'!$E19:$E33)</f>
        <v>0</v>
      </c>
      <c r="K7" s="278">
        <f>SUMIF('数据-汇总表'!$C19:$C33,'假设开发法 (2)'!K5,'数据-汇总表'!$E19:$E33)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3448" t="s">
        <v>1609</v>
      </c>
      <c r="E10" s="3448" t="s">
        <v>1610</v>
      </c>
      <c r="F10" s="3448"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3449"/>
      <c r="H19" s="1189"/>
      <c r="I19" s="3450"/>
      <c r="J19" s="3450"/>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90.65</v>
      </c>
      <c r="E20" s="21">
        <f>'数据-取费表'!B28</f>
        <v>200</v>
      </c>
      <c r="F20" s="804"/>
      <c r="G20" s="3449"/>
      <c r="H20" s="3450"/>
      <c r="I20" s="3450"/>
      <c r="J20" s="3450"/>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34"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33" sqref="F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37.53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137.52459999999999</v>
      </c>
      <c r="C2" s="1387" t="s">
        <v>879</v>
      </c>
      <c r="D2" s="1471">
        <f ca="1">C40+J29+L46</f>
        <v>1375246</v>
      </c>
      <c r="E2" s="1388" t="s">
        <v>880</v>
      </c>
      <c r="F2" s="1389"/>
      <c r="G2" s="2705"/>
      <c r="H2" s="2694"/>
      <c r="I2" s="2694"/>
      <c r="J2" s="2694"/>
      <c r="K2" s="2695"/>
      <c r="L2" s="2694"/>
      <c r="M2" s="2694"/>
    </row>
    <row r="3" spans="1:37" ht="18" customHeight="1" thickBot="1">
      <c r="A3" s="1390" t="s">
        <v>881</v>
      </c>
      <c r="B3" s="1391">
        <f ca="1">IF(ISERROR(D2/F43),0,ROUND(D2/F43,0))</f>
        <v>15171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58814</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58741</v>
      </c>
      <c r="D6" s="155" t="s">
        <v>2106</v>
      </c>
      <c r="E6" s="302" t="s">
        <v>696</v>
      </c>
      <c r="F6" s="303">
        <f ca="1">INDIRECT("'数据-取费表'!u"&amp;$G$1)</f>
        <v>60</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90.65</v>
      </c>
      <c r="G7" s="1384"/>
      <c r="H7" s="304"/>
      <c r="I7" s="3648"/>
      <c r="J7" s="306"/>
      <c r="K7" s="307"/>
      <c r="L7" s="302" t="s">
        <v>697</v>
      </c>
      <c r="M7" s="303">
        <f ca="1">F7</f>
        <v>90.65</v>
      </c>
    </row>
    <row r="8" spans="1:37" ht="18" customHeight="1">
      <c r="A8" s="304"/>
      <c r="B8" s="3648"/>
      <c r="C8" s="306"/>
      <c r="D8" s="307"/>
      <c r="E8" s="302" t="s">
        <v>698</v>
      </c>
      <c r="F8" s="303">
        <f ca="1">INDIRECT("'数据-取费表'!ai"&amp;$G$1)</f>
        <v>12</v>
      </c>
      <c r="G8" s="1384"/>
      <c r="H8" s="304"/>
      <c r="I8" s="3648"/>
      <c r="J8" s="306"/>
      <c r="K8" s="307"/>
      <c r="L8" s="302" t="s">
        <v>698</v>
      </c>
      <c r="M8" s="303">
        <f ca="1">INDIRECT("'数据-取费表'!ai"&amp;$G$1)</f>
        <v>12</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73</v>
      </c>
      <c r="D10" s="1366" t="s">
        <v>2116</v>
      </c>
      <c r="E10" s="313" t="s">
        <v>701</v>
      </c>
      <c r="F10" s="1116" t="s">
        <v>3390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438086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362600</v>
      </c>
      <c r="D14" s="1345" t="s">
        <v>708</v>
      </c>
      <c r="E14" s="1342"/>
      <c r="F14" s="319"/>
      <c r="G14" s="1384"/>
      <c r="H14" s="982" t="s">
        <v>398</v>
      </c>
      <c r="I14" s="302" t="s">
        <v>709</v>
      </c>
      <c r="J14" s="21">
        <f ca="1">C29</f>
        <v>547608</v>
      </c>
      <c r="K14" s="12"/>
      <c r="L14" s="807"/>
      <c r="M14" s="808"/>
    </row>
    <row r="15" spans="1:37" s="1397" customFormat="1" ht="18" customHeight="1" thickBot="1">
      <c r="A15" s="982" t="s">
        <v>399</v>
      </c>
      <c r="B15" s="302" t="s">
        <v>710</v>
      </c>
      <c r="C15" s="21">
        <f ca="1">ROUND(C14*F15,0)</f>
        <v>10878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5476</v>
      </c>
      <c r="K16" s="1087" t="s">
        <v>715</v>
      </c>
      <c r="L16" s="1088"/>
      <c r="M16" s="1072"/>
    </row>
    <row r="17" spans="1:37" s="1397" customFormat="1" ht="18" customHeight="1">
      <c r="A17" s="982" t="s">
        <v>681</v>
      </c>
      <c r="B17" s="302" t="s">
        <v>716</v>
      </c>
      <c r="C17" s="21">
        <f ca="1">ROUND(F17*(F43+INDIRECT("'数据-取费表'!S"&amp;$G$1)),0)</f>
        <v>18130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5439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397047</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7941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5476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19237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-5476</v>
      </c>
      <c r="K25" s="1095" t="s">
        <v>753</v>
      </c>
      <c r="L25" s="1096"/>
      <c r="M25" s="1097"/>
    </row>
    <row r="26" spans="1:37" ht="18" customHeight="1">
      <c r="A26" s="982" t="s">
        <v>397</v>
      </c>
      <c r="B26" s="302" t="s">
        <v>754</v>
      </c>
      <c r="C26" s="21">
        <f ca="1">ROUND((C19+C20)*F26,0)</f>
        <v>80998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547608</v>
      </c>
      <c r="D29" s="1092"/>
      <c r="E29" s="1090"/>
      <c r="F29" s="1093"/>
      <c r="G29" s="1396"/>
      <c r="H29" s="334" t="s">
        <v>396</v>
      </c>
      <c r="I29" s="335" t="s">
        <v>768</v>
      </c>
      <c r="J29" s="336">
        <f ca="1">ROUND(J26/(1+F40)^F41,0)</f>
        <v>0</v>
      </c>
      <c r="K29" s="337" t="s">
        <v>769</v>
      </c>
      <c r="L29" s="338"/>
      <c r="M29" s="339">
        <f ca="1">INDIRECT("'数据-取费表'!k"&amp;$G$1)</f>
        <v>90.65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10637</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3916</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3396</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5476</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657</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588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48177</v>
      </c>
      <c r="D39" s="1095" t="s">
        <v>773</v>
      </c>
      <c r="E39" s="1096"/>
      <c r="F39" s="1097"/>
      <c r="G39" s="1384"/>
      <c r="H39" s="2699"/>
      <c r="I39" s="1398"/>
      <c r="J39" s="1399"/>
      <c r="K39" s="2703"/>
      <c r="L39" s="2699"/>
      <c r="M39" s="2699"/>
    </row>
    <row r="40" spans="1:18" ht="18" customHeight="1">
      <c r="A40" s="299" t="s">
        <v>395</v>
      </c>
      <c r="B40" s="300" t="s">
        <v>774</v>
      </c>
      <c r="C40" s="301">
        <f ca="1">ROUND(C39*(1-((1+F42)/(1+F40))^F41)/(F40-F42),0)</f>
        <v>1340147</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37.53</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14784</v>
      </c>
      <c r="D43" s="337" t="s">
        <v>777</v>
      </c>
      <c r="E43" s="338" t="s">
        <v>778</v>
      </c>
      <c r="F43" s="339">
        <f ca="1">INDIRECT("'数据-取费表'!k"&amp;$G$1)</f>
        <v>90.65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-144.3152</v>
      </c>
      <c r="D45" s="3431" t="s">
        <v>3354</v>
      </c>
      <c r="E45" s="1400"/>
      <c r="F45" s="1400"/>
      <c r="O45" s="1403" t="s">
        <v>808</v>
      </c>
      <c r="P45" s="1461"/>
      <c r="Q45" s="1461"/>
      <c r="R45" s="1461"/>
    </row>
    <row r="46" spans="1:18" s="1384" customFormat="1" ht="13.5" thickBot="1">
      <c r="A46" s="1404" t="s">
        <v>809</v>
      </c>
      <c r="C46" s="1405">
        <f ca="1">ROUND(C45,0)</f>
        <v>-144</v>
      </c>
      <c r="D46" s="1406" t="str">
        <f>C2</f>
        <v>万元</v>
      </c>
      <c r="I46" s="1407" t="s">
        <v>810</v>
      </c>
      <c r="J46" s="1408"/>
      <c r="K46" s="1409"/>
      <c r="L46" s="1410">
        <f ca="1">IF(M47="住宅",0,IF(L48&gt;J51,L60,J60))</f>
        <v>35099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0</v>
      </c>
      <c r="M47" s="1380" t="str">
        <f>IF(ISNUMBER(FIND("住宅",C1)),"住宅","非住宅")</f>
        <v>非住宅</v>
      </c>
      <c r="O47" s="1418" t="s">
        <v>403</v>
      </c>
      <c r="P47" s="1419" t="s">
        <v>817</v>
      </c>
      <c r="Q47" s="1420">
        <f ca="1">C40+J29</f>
        <v>1340147</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37.53</v>
      </c>
      <c r="O48" s="1418" t="s">
        <v>404</v>
      </c>
      <c r="P48" s="1419" t="s">
        <v>821</v>
      </c>
      <c r="Q48" s="1420">
        <f ca="1">J60</f>
        <v>35099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547608</v>
      </c>
      <c r="R49" s="1420" t="s">
        <v>818</v>
      </c>
    </row>
    <row r="50" spans="1:18" s="1384" customFormat="1" ht="13.5" thickBot="1">
      <c r="A50" s="976"/>
      <c r="B50" s="979"/>
      <c r="C50" s="980"/>
      <c r="D50" s="953"/>
      <c r="E50" s="1056" t="s">
        <v>697</v>
      </c>
      <c r="F50" s="1057">
        <f ca="1">F7</f>
        <v>90.65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952074</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37.53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37.53</v>
      </c>
      <c r="K53" s="3645" t="s">
        <v>837</v>
      </c>
      <c r="L53" s="3646"/>
      <c r="O53" s="1418" t="s">
        <v>409</v>
      </c>
      <c r="P53" s="1419" t="s">
        <v>838</v>
      </c>
      <c r="Q53" s="1420">
        <f ca="1">Q47+Q48</f>
        <v>1375246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0.20799999999999999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438086</v>
      </c>
      <c r="D56" s="1447"/>
      <c r="E56" s="1448"/>
      <c r="F56" s="1440"/>
      <c r="I56" s="1449" t="s">
        <v>842</v>
      </c>
      <c r="J56" s="1450" t="s">
        <v>3393</v>
      </c>
      <c r="K56" s="1421" t="s">
        <v>843</v>
      </c>
      <c r="L56" s="1424" t="str">
        <f ca="1">IF(L48&lt;J51,"——",L48-J51)</f>
        <v>——</v>
      </c>
      <c r="O56" s="1418" t="s">
        <v>403</v>
      </c>
      <c r="P56" s="1419" t="s">
        <v>817</v>
      </c>
      <c r="Q56" s="1420">
        <f ca="1">C40+J29</f>
        <v>1340147</v>
      </c>
      <c r="R56" s="1420" t="s">
        <v>818</v>
      </c>
    </row>
    <row r="57" spans="1:18" s="1384" customFormat="1" ht="24.75" thickBot="1">
      <c r="A57" s="1451"/>
      <c r="B57" s="950" t="s">
        <v>767</v>
      </c>
      <c r="C57" s="238">
        <f ca="1">C29</f>
        <v>547608</v>
      </c>
      <c r="D57" s="1452"/>
      <c r="E57" s="1453"/>
      <c r="F57" s="1454"/>
      <c r="I57" s="1455" t="s">
        <v>844</v>
      </c>
      <c r="J57" s="1456">
        <f ca="1">IF(OR(M47="住宅",J51&lt;L48,J56="是"),"——",J51-L48)</f>
        <v>12.469999999999999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6133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219043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35099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1340147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5476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657</v>
      </c>
      <c r="D65" s="964" t="s">
        <v>743</v>
      </c>
      <c r="E65" s="950" t="s">
        <v>744</v>
      </c>
      <c r="F65" s="330">
        <f t="shared" ca="1" si="0"/>
        <v>1.5E-3</v>
      </c>
      <c r="I65" s="1462" t="s">
        <v>867</v>
      </c>
      <c r="J65" s="1463">
        <v>40</v>
      </c>
      <c r="K65" s="1463">
        <v>30</v>
      </c>
      <c r="L65" s="1463">
        <v>50</v>
      </c>
      <c r="M65" s="1465">
        <v>0.02</v>
      </c>
      <c r="O65" s="1418" t="s">
        <v>403</v>
      </c>
      <c r="P65" s="1419" t="s">
        <v>868</v>
      </c>
      <c r="Q65" s="1420">
        <f ca="1">C40+J29</f>
        <v>1340147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-6133</v>
      </c>
      <c r="D67" s="963" t="s">
        <v>753</v>
      </c>
      <c r="E67" s="968"/>
      <c r="F67" s="969"/>
      <c r="O67" s="1428" t="s">
        <v>405</v>
      </c>
      <c r="P67" s="1419" t="s">
        <v>850</v>
      </c>
      <c r="Q67" s="1466">
        <f ca="1">L51</f>
        <v>952074</v>
      </c>
      <c r="R67" s="1420" t="s">
        <v>870</v>
      </c>
    </row>
    <row r="68" spans="1:18" s="1384" customFormat="1" ht="16.5" thickBot="1">
      <c r="A68" s="947" t="s">
        <v>395</v>
      </c>
      <c r="B68" s="948" t="s">
        <v>774</v>
      </c>
      <c r="C68" s="301">
        <f ca="1">ROUND(C67*(1-((1+F70)/(1+F68))^F69)/(F68-F70),0)</f>
        <v>-103005</v>
      </c>
      <c r="D68" s="965" t="s">
        <v>758</v>
      </c>
      <c r="E68" s="950" t="s">
        <v>759</v>
      </c>
      <c r="F68" s="312">
        <f ca="1">F40</f>
        <v>0.05</v>
      </c>
      <c r="O68" s="1428" t="s">
        <v>406</v>
      </c>
      <c r="P68" s="1467" t="s">
        <v>871</v>
      </c>
      <c r="Q68" s="1420">
        <f ca="1">ROUND(Q69-Q70*Q71,0)</f>
        <v>48177</v>
      </c>
      <c r="R68" s="1420" t="s">
        <v>414</v>
      </c>
    </row>
    <row r="69" spans="1:18" s="1384" customFormat="1" ht="13.5" thickBot="1">
      <c r="A69" s="951"/>
      <c r="B69" s="952"/>
      <c r="C69" s="306"/>
      <c r="D69" s="970" t="s">
        <v>762</v>
      </c>
      <c r="E69" s="950" t="s">
        <v>763</v>
      </c>
      <c r="F69" s="333">
        <f ca="1">F41</f>
        <v>37.53</v>
      </c>
      <c r="O69" s="1428" t="s">
        <v>411</v>
      </c>
      <c r="P69" s="1467" t="s">
        <v>872</v>
      </c>
      <c r="Q69" s="1420">
        <f ca="1">C39</f>
        <v>48177</v>
      </c>
      <c r="R69" s="1420" t="s">
        <v>818</v>
      </c>
    </row>
    <row r="70" spans="1:18" s="1384" customFormat="1" ht="13.5" thickBot="1">
      <c r="A70" s="954"/>
      <c r="B70" s="955"/>
      <c r="C70" s="310"/>
      <c r="D70" s="966"/>
      <c r="E70" s="950" t="s">
        <v>766</v>
      </c>
      <c r="F70" s="1054"/>
      <c r="O70" s="1428" t="s">
        <v>412</v>
      </c>
      <c r="P70" s="1467" t="s">
        <v>873</v>
      </c>
      <c r="Q70" s="1420">
        <f ca="1">C13</f>
        <v>438086</v>
      </c>
      <c r="R70" s="1420" t="s">
        <v>818</v>
      </c>
    </row>
    <row r="71" spans="1:18" s="1384" customFormat="1" ht="13.5" thickBot="1">
      <c r="A71" s="971" t="s">
        <v>396</v>
      </c>
      <c r="B71" s="972" t="s">
        <v>776</v>
      </c>
      <c r="C71" s="336">
        <f ca="1">ROUND(C68/F71,0)</f>
        <v>-1136</v>
      </c>
      <c r="D71" s="973" t="s">
        <v>777</v>
      </c>
      <c r="E71" s="974" t="s">
        <v>778</v>
      </c>
      <c r="F71" s="339">
        <f ca="1">F43</f>
        <v>90.65</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1340147</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0.67300000000000004</v>
      </c>
    </row>
    <row r="83" spans="2:3">
      <c r="B83" s="273" t="s">
        <v>803</v>
      </c>
      <c r="C83" s="274">
        <f ca="1">ROUND(C13/C40,3)</f>
        <v>0.32700000000000001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3360</v>
      </c>
      <c r="E2" s="3443"/>
      <c r="F2" s="2845"/>
      <c r="G2" s="2846"/>
      <c r="H2" s="2847"/>
      <c r="I2" s="2848"/>
      <c r="J2" s="3650" t="s">
        <v>2318</v>
      </c>
      <c r="K2" s="3651"/>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52" t="s">
        <v>2328</v>
      </c>
      <c r="K3" s="3653"/>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52" t="s">
        <v>2330</v>
      </c>
      <c r="K4" s="3653"/>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54" t="s">
        <v>2334</v>
      </c>
      <c r="B6" s="3655"/>
      <c r="C6" s="3656"/>
      <c r="D6" s="2869"/>
      <c r="E6" s="2870"/>
      <c r="F6" s="2871"/>
      <c r="G6" s="2872"/>
      <c r="H6" s="2847"/>
      <c r="I6" s="2848"/>
      <c r="J6" s="3657">
        <v>1</v>
      </c>
      <c r="K6" s="3658"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57"/>
      <c r="K7" s="3659"/>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61" t="s">
        <v>2348</v>
      </c>
      <c r="C8" s="3662"/>
      <c r="D8" s="2888" t="s">
        <v>2349</v>
      </c>
      <c r="E8" s="2889" t="s">
        <v>2350</v>
      </c>
      <c r="F8" s="2890" t="s">
        <v>2351</v>
      </c>
      <c r="G8" s="2891"/>
      <c r="H8" s="2847"/>
      <c r="I8" s="2848"/>
      <c r="J8" s="3657"/>
      <c r="K8" s="3659"/>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61" t="s">
        <v>2354</v>
      </c>
      <c r="C9" s="3662"/>
      <c r="D9" s="2888">
        <f>ROUND(D6*E9,0)</f>
        <v>0</v>
      </c>
      <c r="E9" s="2892"/>
      <c r="F9" s="2893" t="s">
        <v>2355</v>
      </c>
      <c r="G9" s="2872"/>
      <c r="H9" s="2847"/>
      <c r="I9" s="2848"/>
      <c r="J9" s="3657"/>
      <c r="K9" s="3659"/>
      <c r="L9" s="2882" t="s">
        <v>2356</v>
      </c>
      <c r="M9" s="2883"/>
      <c r="N9" s="2859"/>
      <c r="O9" s="2884"/>
      <c r="P9" s="2884"/>
      <c r="Q9" s="2885">
        <v>365</v>
      </c>
      <c r="R9" s="2886">
        <f t="shared" si="0"/>
        <v>0</v>
      </c>
      <c r="S9" s="2840"/>
      <c r="T9" s="2840"/>
      <c r="U9" s="2840"/>
      <c r="V9" s="2848"/>
    </row>
    <row r="10" spans="1:22" s="2852" customFormat="1" ht="13.15" customHeight="1">
      <c r="A10" s="2887">
        <v>2</v>
      </c>
      <c r="B10" s="3661" t="s">
        <v>2357</v>
      </c>
      <c r="C10" s="3662"/>
      <c r="D10" s="2888">
        <f>ROUND(D6*E10,0)</f>
        <v>0</v>
      </c>
      <c r="E10" s="2892"/>
      <c r="F10" s="2893" t="s">
        <v>2358</v>
      </c>
      <c r="G10" s="2872"/>
      <c r="H10" s="2847"/>
      <c r="I10" s="2848"/>
      <c r="J10" s="3657"/>
      <c r="K10" s="3659"/>
      <c r="L10" s="2882" t="s">
        <v>2359</v>
      </c>
      <c r="M10" s="2883"/>
      <c r="N10" s="2859"/>
      <c r="O10" s="2884"/>
      <c r="P10" s="2884"/>
      <c r="Q10" s="2885">
        <v>365</v>
      </c>
      <c r="R10" s="2886">
        <f t="shared" si="0"/>
        <v>0</v>
      </c>
      <c r="S10" s="2840"/>
      <c r="T10" s="2840"/>
      <c r="U10" s="2840"/>
      <c r="V10" s="2848"/>
    </row>
    <row r="11" spans="1:22" s="2852" customFormat="1" ht="13.15" customHeight="1">
      <c r="A11" s="2887">
        <v>3</v>
      </c>
      <c r="B11" s="3661" t="s">
        <v>2360</v>
      </c>
      <c r="C11" s="3662"/>
      <c r="D11" s="2888">
        <f>D12+D14+D15+D16</f>
        <v>0</v>
      </c>
      <c r="E11" s="2894" t="e">
        <f>D11/D6</f>
        <v>#DIV/0!</v>
      </c>
      <c r="F11" s="2890"/>
      <c r="G11" s="2891"/>
      <c r="H11" s="2847"/>
      <c r="I11" s="2848"/>
      <c r="J11" s="3657"/>
      <c r="K11" s="3659"/>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63" t="s">
        <v>2363</v>
      </c>
      <c r="C12" s="3664"/>
      <c r="D12" s="2896">
        <f>ROUND(D13*1.2%*(1-30%),0)</f>
        <v>0</v>
      </c>
      <c r="E12" s="2897">
        <v>1.2E-2</v>
      </c>
      <c r="F12" s="2890" t="s">
        <v>2364</v>
      </c>
      <c r="G12" s="2891"/>
      <c r="H12" s="2847"/>
      <c r="I12" s="2848"/>
      <c r="J12" s="3657"/>
      <c r="K12" s="3659"/>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57"/>
      <c r="K13" s="3659"/>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63" t="s">
        <v>2369</v>
      </c>
      <c r="C14" s="3664"/>
      <c r="D14" s="2896">
        <f>ROUND(E14*B5/10000,0)</f>
        <v>0</v>
      </c>
      <c r="E14" s="2885"/>
      <c r="F14" s="2890" t="s">
        <v>2370</v>
      </c>
      <c r="G14" s="2891"/>
      <c r="H14" s="2847"/>
      <c r="I14" s="2848"/>
      <c r="J14" s="3657"/>
      <c r="K14" s="3660"/>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663" t="s">
        <v>2373</v>
      </c>
      <c r="C15" s="3664"/>
      <c r="D15" s="2896">
        <f>ROUND(D6*E15,0)</f>
        <v>0</v>
      </c>
      <c r="E15" s="2897">
        <v>5.5E-2</v>
      </c>
      <c r="F15" s="2890" t="s">
        <v>2374</v>
      </c>
      <c r="G15" s="2872"/>
      <c r="H15" s="2847"/>
      <c r="I15" s="2848"/>
      <c r="J15" s="3657">
        <v>2</v>
      </c>
      <c r="K15" s="3658"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63" t="s">
        <v>2382</v>
      </c>
      <c r="C16" s="3664"/>
      <c r="D16" s="2907">
        <f>D6*E16</f>
        <v>0</v>
      </c>
      <c r="E16" s="2908"/>
      <c r="F16" s="2893" t="s">
        <v>2383</v>
      </c>
      <c r="G16" s="2872"/>
      <c r="H16" s="2847"/>
      <c r="I16" s="2848"/>
      <c r="J16" s="3657"/>
      <c r="K16" s="3659"/>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65" t="s">
        <v>2385</v>
      </c>
      <c r="C17" s="3666"/>
      <c r="D17" s="2910">
        <f>ROUND(D6*E17,0)</f>
        <v>0</v>
      </c>
      <c r="E17" s="2911"/>
      <c r="F17" s="2912" t="s">
        <v>2386</v>
      </c>
      <c r="G17" s="2872"/>
      <c r="H17" s="2847"/>
      <c r="I17" s="2848"/>
      <c r="J17" s="3657"/>
      <c r="K17" s="3659"/>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57"/>
      <c r="K18" s="3659"/>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57"/>
      <c r="K19" s="3660"/>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7">
        <v>3</v>
      </c>
      <c r="K20" s="3658"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57"/>
      <c r="K21" s="3659"/>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57"/>
      <c r="K22" s="3659"/>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57"/>
      <c r="K23" s="3659"/>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57"/>
      <c r="K24" s="3660"/>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667">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66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50" t="s">
        <v>2318</v>
      </c>
      <c r="K32" s="3651"/>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52" t="s">
        <v>2328</v>
      </c>
      <c r="K33" s="3653"/>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52" t="s">
        <v>2330</v>
      </c>
      <c r="K34" s="365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57">
        <v>1</v>
      </c>
      <c r="K36" s="3658"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57"/>
      <c r="K37" s="3659"/>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7"/>
      <c r="K38" s="3659"/>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57"/>
      <c r="K39" s="3659"/>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57"/>
      <c r="K40" s="3660"/>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7">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6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137.52459999999999</v>
      </c>
      <c r="C2" s="1872" t="s">
        <v>1651</v>
      </c>
      <c r="D2" s="1873" t="s">
        <v>1652</v>
      </c>
      <c r="E2" s="2606">
        <f>SUM(E6:E13)</f>
        <v>90.65</v>
      </c>
      <c r="F2" s="2706"/>
      <c r="G2" s="1489"/>
      <c r="H2" s="1489"/>
      <c r="I2" s="1489"/>
      <c r="J2" s="1489"/>
      <c r="K2" s="1489"/>
      <c r="L2" s="1489"/>
      <c r="M2" s="1489"/>
      <c r="N2" s="1489"/>
      <c r="O2" s="1489"/>
      <c r="P2" s="1489"/>
      <c r="Q2" s="1489"/>
      <c r="R2" s="1489"/>
      <c r="S2" s="1489"/>
    </row>
    <row r="3" spans="1:22" ht="15.75">
      <c r="A3" s="1870" t="s">
        <v>686</v>
      </c>
      <c r="B3" s="2600">
        <f ca="1">ROUND(B2*10000/E2,0)</f>
        <v>15171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9" t="s">
        <v>1654</v>
      </c>
      <c r="C5" s="3670"/>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137.52459999999999</v>
      </c>
      <c r="C6" s="1872" t="s">
        <v>1651</v>
      </c>
      <c r="D6" s="2708"/>
      <c r="E6" s="2605">
        <f>IF(OR(A6=0,F6="否"),0,'数据-取费表'!K6+'数据-取费表'!S6)</f>
        <v>90.65</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90.65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4"/>
      <c r="M4" s="2715"/>
      <c r="N4" s="2715"/>
      <c r="O4" s="2715"/>
      <c r="P4" s="3693" t="s">
        <v>1672</v>
      </c>
      <c r="Q4" s="3694"/>
      <c r="R4" s="3676" t="s">
        <v>1668</v>
      </c>
      <c r="S4" s="3677"/>
      <c r="T4" s="3676" t="s">
        <v>1669</v>
      </c>
      <c r="U4" s="3677"/>
      <c r="V4" s="3701" t="s">
        <v>1670</v>
      </c>
      <c r="W4" s="3701"/>
      <c r="X4" s="1355"/>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90"/>
      <c r="L5" s="2714"/>
      <c r="M5" s="2715"/>
      <c r="N5" s="2715"/>
      <c r="O5" s="2715"/>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1890" t="s">
        <v>1678</v>
      </c>
      <c r="L6" s="2714"/>
      <c r="M6" s="2715"/>
      <c r="N6" s="2715"/>
      <c r="O6" s="2715"/>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45366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6"/>
      <c r="Q16" s="1352"/>
      <c r="R16" s="705"/>
      <c r="S16" s="706"/>
      <c r="T16" s="705"/>
      <c r="U16" s="706"/>
      <c r="V16" s="705"/>
      <c r="W16" s="706"/>
      <c r="X16" s="1355"/>
      <c r="Y16" s="370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6"/>
      <c r="Q18" s="1352"/>
      <c r="R18" s="705"/>
      <c r="S18" s="706"/>
      <c r="T18" s="705"/>
      <c r="U18" s="706"/>
      <c r="V18" s="705"/>
      <c r="W18" s="706"/>
      <c r="X18" s="1355"/>
      <c r="Y18" s="37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6"/>
      <c r="Q20" s="1352"/>
      <c r="R20" s="705"/>
      <c r="S20" s="706"/>
      <c r="T20" s="705"/>
      <c r="U20" s="706"/>
      <c r="V20" s="705"/>
      <c r="W20" s="706"/>
      <c r="X20" s="1355"/>
      <c r="Y20" s="370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6"/>
      <c r="Q22" s="1352"/>
      <c r="R22" s="705"/>
      <c r="S22" s="706"/>
      <c r="T22" s="705"/>
      <c r="U22" s="706"/>
      <c r="V22" s="705"/>
      <c r="W22" s="706"/>
      <c r="X22" s="1355"/>
      <c r="Y22" s="3709"/>
      <c r="Z22" s="1356"/>
      <c r="AA22" s="1353">
        <v>1</v>
      </c>
      <c r="AB22" s="1353">
        <v>1</v>
      </c>
      <c r="AC22" s="1353">
        <v>1</v>
      </c>
    </row>
    <row r="23" spans="1:29" ht="57">
      <c r="A23" s="379"/>
      <c r="B23" s="402" t="s">
        <v>1261</v>
      </c>
      <c r="C23" s="1900" t="str">
        <f>估价对象房地状况!C9</f>
        <v>区域自然环境：金马公园、凉水河；人文环境：；综合评价环境状况一般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6"/>
      <c r="Q24" s="1352"/>
      <c r="R24" s="705"/>
      <c r="S24" s="706"/>
      <c r="T24" s="705"/>
      <c r="U24" s="706"/>
      <c r="V24" s="705"/>
      <c r="W24" s="706"/>
      <c r="X24" s="1355"/>
      <c r="Y24" s="37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90.65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5"/>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5"/>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5"/>
      <c r="Y6" s="3699"/>
      <c r="Z6" s="3700"/>
      <c r="AA6" s="3673"/>
      <c r="AB6" s="3701"/>
      <c r="AC6" s="3673"/>
    </row>
    <row r="7" spans="1:29" s="108" customFormat="1" ht="15.75" thickBot="1">
      <c r="A7" s="362" t="s">
        <v>1679</v>
      </c>
      <c r="B7" s="363"/>
      <c r="C7" s="364">
        <f>'数据-取费表'!B2</f>
        <v>45366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6"/>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6"/>
      <c r="Q18" s="1352"/>
      <c r="R18" s="705"/>
      <c r="S18" s="706"/>
      <c r="T18" s="705"/>
      <c r="U18" s="706"/>
      <c r="V18" s="705"/>
      <c r="W18" s="706"/>
      <c r="X18" s="1355"/>
      <c r="Y18" s="37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6"/>
      <c r="Q20" s="1352"/>
      <c r="R20" s="705"/>
      <c r="S20" s="706"/>
      <c r="T20" s="705"/>
      <c r="U20" s="706"/>
      <c r="V20" s="705"/>
      <c r="W20" s="706"/>
      <c r="X20" s="1355"/>
      <c r="Y20" s="3709"/>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6"/>
      <c r="Q22" s="1352"/>
      <c r="R22" s="705"/>
      <c r="S22" s="706"/>
      <c r="T22" s="705"/>
      <c r="U22" s="706"/>
      <c r="V22" s="705"/>
      <c r="W22" s="706"/>
      <c r="X22" s="1355"/>
      <c r="Y22" s="3709"/>
      <c r="Z22" s="1356"/>
      <c r="AA22" s="1353">
        <v>1</v>
      </c>
      <c r="AB22" s="1353">
        <v>1</v>
      </c>
      <c r="AC22" s="1353">
        <v>1</v>
      </c>
    </row>
    <row r="23" spans="1:29" ht="71.25">
      <c r="A23" s="379"/>
      <c r="B23" s="402" t="s">
        <v>1261</v>
      </c>
      <c r="C23" s="1955" t="str">
        <f>估价对象房地状况!C9</f>
        <v>区域自然环境：金马公园、凉水河；人文环境：；综合评价环境状况一般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14:N32"/>
  <sheetViews>
    <sheetView topLeftCell="A19" workbookViewId="0">
      <selection activeCell="O25" sqref="O25"/>
    </sheetView>
  </sheetViews>
  <sheetFormatPr defaultRowHeight="13.5"/>
  <sheetData>
    <row r="14" spans="14:14">
      <c r="N14" s="3455" t="s">
        <v>3407</v>
      </c>
    </row>
    <row r="27" spans="14:14">
      <c r="N27" s="3455" t="s">
        <v>3408</v>
      </c>
    </row>
    <row r="32" spans="14:14">
      <c r="N32" s="3455" t="s">
        <v>3416</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 sqref="C5:D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3431</v>
      </c>
      <c r="F1" s="1879" t="s">
        <v>3397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174.10239999999999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19206</v>
      </c>
      <c r="C3" s="354" t="s">
        <v>1768</v>
      </c>
      <c r="D3" s="353">
        <f>IF(D1="",'数据-汇总表'!E3,SUMIF('数据-汇总表'!$C19:$C33,D1,'数据-汇总表'!$E19:$E33))</f>
        <v>90.65</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724" t="s">
        <v>1775</v>
      </c>
      <c r="Q4" s="3725"/>
      <c r="R4" s="3718" t="s">
        <v>1771</v>
      </c>
      <c r="S4" s="3719"/>
      <c r="T4" s="3718" t="s">
        <v>1772</v>
      </c>
      <c r="U4" s="3719"/>
      <c r="V4" s="3728" t="s">
        <v>1773</v>
      </c>
      <c r="W4" s="3728"/>
      <c r="X4" s="1958"/>
      <c r="Y4" s="3718" t="s">
        <v>1775</v>
      </c>
      <c r="Z4" s="3719"/>
      <c r="AA4" s="3717" t="s">
        <v>1771</v>
      </c>
      <c r="AB4" s="3717" t="s">
        <v>1772</v>
      </c>
      <c r="AC4" s="3721" t="s">
        <v>1773</v>
      </c>
    </row>
    <row r="5" spans="1:29" ht="15">
      <c r="A5" s="358"/>
      <c r="B5" s="359"/>
      <c r="C5" s="3720" t="s">
        <v>3398</v>
      </c>
      <c r="D5" s="3683"/>
      <c r="E5" s="3680" t="str">
        <f>C5</f>
        <v>珠江四季悦城</v>
      </c>
      <c r="F5" s="3681"/>
      <c r="G5" s="3682" t="str">
        <f>C5</f>
        <v>珠江四季悦城</v>
      </c>
      <c r="H5" s="3683"/>
      <c r="I5" s="3682" t="str">
        <f>C5</f>
        <v>珠江四季悦城</v>
      </c>
      <c r="J5" s="3683"/>
      <c r="K5" s="559"/>
      <c r="L5" s="2714"/>
      <c r="M5" s="2715"/>
      <c r="N5" s="2715"/>
      <c r="O5" s="2715"/>
      <c r="P5" s="3726"/>
      <c r="Q5" s="3696"/>
      <c r="R5" s="3678"/>
      <c r="S5" s="3679"/>
      <c r="T5" s="3678"/>
      <c r="U5" s="3679"/>
      <c r="V5" s="3701"/>
      <c r="W5" s="3701"/>
      <c r="X5" s="1355"/>
      <c r="Y5" s="3678"/>
      <c r="Z5" s="3679"/>
      <c r="AA5" s="3672"/>
      <c r="AB5" s="3672"/>
      <c r="AC5" s="372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727"/>
      <c r="Q6" s="3698"/>
      <c r="R6" s="3678"/>
      <c r="S6" s="3679"/>
      <c r="T6" s="3699"/>
      <c r="U6" s="3700"/>
      <c r="V6" s="3701"/>
      <c r="W6" s="3701"/>
      <c r="X6" s="1355"/>
      <c r="Y6" s="3699"/>
      <c r="Z6" s="3700"/>
      <c r="AA6" s="3673"/>
      <c r="AB6" s="3673"/>
      <c r="AC6" s="3723"/>
    </row>
    <row r="7" spans="1:29" s="108" customFormat="1" ht="15.75" thickBot="1">
      <c r="A7" s="362" t="s">
        <v>1679</v>
      </c>
      <c r="B7" s="363"/>
      <c r="C7" s="364">
        <f>'数据-取费表'!B2</f>
        <v>45366</v>
      </c>
      <c r="D7" s="365">
        <v>100</v>
      </c>
      <c r="E7" s="366">
        <v>45356</v>
      </c>
      <c r="F7" s="367">
        <f>SUMIF(59:59,YEAR(E7)&amp;"-"&amp;MONTH(E7),60:60)</f>
        <v>100</v>
      </c>
      <c r="G7" s="366">
        <v>45312</v>
      </c>
      <c r="H7" s="365">
        <f>SUMIF(59:59,YEAR(G7)&amp;"-"&amp;MONTH(G7),60:60)</f>
        <v>100</v>
      </c>
      <c r="I7" s="366">
        <v>45299</v>
      </c>
      <c r="J7" s="365">
        <f>SUMIF(59:59,YEAR(I7)&amp;"-"&amp;MONTH(I7),60:60)</f>
        <v>100</v>
      </c>
      <c r="K7" s="560"/>
      <c r="L7" s="2716"/>
      <c r="M7" s="2717"/>
      <c r="N7" s="2717"/>
      <c r="O7" s="2717"/>
      <c r="P7" s="3729" t="s">
        <v>1680</v>
      </c>
      <c r="Q7" s="3702"/>
      <c r="R7" s="701" t="s">
        <v>14</v>
      </c>
      <c r="S7" s="702">
        <f t="shared" ref="S7:S15" si="0">F7</f>
        <v>100</v>
      </c>
      <c r="T7" s="701" t="s">
        <v>14</v>
      </c>
      <c r="U7" s="702">
        <f t="shared" ref="U7:U15" si="1">H7</f>
        <v>100</v>
      </c>
      <c r="V7" s="701" t="s">
        <v>14</v>
      </c>
      <c r="W7" s="702">
        <f t="shared" ref="W7:W15" si="2">J7</f>
        <v>100</v>
      </c>
      <c r="X7" s="703"/>
      <c r="Y7" s="3674" t="s">
        <v>1680</v>
      </c>
      <c r="Z7" s="3675"/>
      <c r="AA7" s="704">
        <f>D7/F7</f>
        <v>1</v>
      </c>
      <c r="AB7" s="704">
        <f>D7/H7</f>
        <v>1</v>
      </c>
      <c r="AC7" s="1959">
        <f>D7/J7</f>
        <v>1</v>
      </c>
    </row>
    <row r="8" spans="1:29" s="108" customFormat="1" ht="15.75" thickBot="1">
      <c r="A8" s="362" t="s">
        <v>1681</v>
      </c>
      <c r="B8" s="363"/>
      <c r="C8" s="368" t="s">
        <v>3399</v>
      </c>
      <c r="D8" s="365">
        <v>100</v>
      </c>
      <c r="E8" s="368" t="s">
        <v>3399</v>
      </c>
      <c r="F8" s="367">
        <f>SUMIF(62:62,E8,63:63)-SUMIF(62:62,C8,63:63)+100</f>
        <v>100</v>
      </c>
      <c r="G8" s="368" t="s">
        <v>3399</v>
      </c>
      <c r="H8" s="365">
        <f>SUMIF(62:62,G8,63:63)-SUMIF(62:62,C8,63:63)+100</f>
        <v>100</v>
      </c>
      <c r="I8" s="368" t="s">
        <v>3399</v>
      </c>
      <c r="J8" s="365">
        <f>SUMIF(62:62,I8,63:63)-SUMIF(62:62,C8,63:63)+100</f>
        <v>100</v>
      </c>
      <c r="K8" s="560"/>
      <c r="L8" s="2716"/>
      <c r="M8" s="2717"/>
      <c r="N8" s="2717"/>
      <c r="O8" s="2717"/>
      <c r="P8" s="3729"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9">
        <f t="shared" ref="AC8:AC47" si="5">D8/J8</f>
        <v>1</v>
      </c>
    </row>
    <row r="9" spans="1:29" s="108" customFormat="1">
      <c r="A9" s="369" t="s">
        <v>1684</v>
      </c>
      <c r="B9" s="63" t="s">
        <v>1685</v>
      </c>
      <c r="C9" s="3451" t="s">
        <v>3400</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
      <c r="A10" s="374"/>
      <c r="B10" s="375" t="s">
        <v>1688</v>
      </c>
      <c r="C10" s="3433">
        <f ca="1">'数据-取费表'!AE6</f>
        <v>37.53</v>
      </c>
      <c r="D10" s="127">
        <v>100</v>
      </c>
      <c r="E10" s="3433">
        <f ca="1">C10</f>
        <v>37.53</v>
      </c>
      <c r="F10" s="127">
        <f ca="1">SUMIF(66:66,E10,67:67)-SUMIF(66:66,C10,67:67)+100</f>
        <v>100</v>
      </c>
      <c r="G10" s="3434">
        <f ca="1">E10</f>
        <v>37.53</v>
      </c>
      <c r="H10" s="127">
        <f ca="1">SUMIF(66:66,G10,67:67)-SUMIF(66:66,C10,67:67)+100</f>
        <v>100</v>
      </c>
      <c r="I10" s="3433">
        <f ca="1">E10</f>
        <v>37.53</v>
      </c>
      <c r="J10" s="127">
        <f ca="1">SUMIF(66:66,I10,67:67)-SUMIF(66:66,C10,67:67)+100</f>
        <v>100</v>
      </c>
      <c r="K10" s="560"/>
      <c r="L10" s="2718"/>
      <c r="M10" s="2719"/>
      <c r="N10" s="2719"/>
      <c r="O10" s="2719"/>
      <c r="P10" s="3688"/>
      <c r="Q10" s="1343" t="str">
        <f t="shared" si="6"/>
        <v>土地使用年限（年）</v>
      </c>
      <c r="R10" s="701" t="s">
        <v>14</v>
      </c>
      <c r="S10" s="702">
        <f t="shared" ca="1" si="0"/>
        <v>100</v>
      </c>
      <c r="T10" s="701" t="s">
        <v>14</v>
      </c>
      <c r="U10" s="702">
        <f t="shared" ca="1" si="1"/>
        <v>100</v>
      </c>
      <c r="V10" s="701" t="s">
        <v>14</v>
      </c>
      <c r="W10" s="702">
        <f t="shared" ca="1" si="2"/>
        <v>100</v>
      </c>
      <c r="X10" s="703"/>
      <c r="Y10" s="3618"/>
      <c r="Z10" s="52" t="str">
        <f t="shared" si="7"/>
        <v>土地使用年限（年）</v>
      </c>
      <c r="AA10" s="704">
        <f t="shared" ca="1" si="3"/>
        <v>1</v>
      </c>
      <c r="AB10" s="704">
        <f t="shared" ca="1" si="4"/>
        <v>1</v>
      </c>
      <c r="AC10" s="1959">
        <f t="shared" ca="1"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1690</v>
      </c>
      <c r="B15" s="577" t="s">
        <v>1811</v>
      </c>
      <c r="C15" s="1961" t="str">
        <f>估价对象房地状况!C5</f>
        <v>周边有星悦国际公寓、IN北京等商住项目较多，入驻率高，办公集聚程度较好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6"/>
      <c r="Q16" s="1352"/>
      <c r="R16" s="705"/>
      <c r="S16" s="706"/>
      <c r="T16" s="705"/>
      <c r="U16" s="706"/>
      <c r="V16" s="705"/>
      <c r="W16" s="706"/>
      <c r="X16" s="1355"/>
      <c r="Y16" s="370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6"/>
      <c r="Q18" s="1352"/>
      <c r="R18" s="705"/>
      <c r="S18" s="706"/>
      <c r="T18" s="705"/>
      <c r="U18" s="706"/>
      <c r="V18" s="705"/>
      <c r="W18" s="706"/>
      <c r="X18" s="1355"/>
      <c r="Y18" s="37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6"/>
      <c r="Q20" s="1352"/>
      <c r="R20" s="705"/>
      <c r="S20" s="706"/>
      <c r="T20" s="705"/>
      <c r="U20" s="706"/>
      <c r="V20" s="705"/>
      <c r="W20" s="706"/>
      <c r="X20" s="1355"/>
      <c r="Y20" s="3709"/>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6"/>
      <c r="Q22" s="1352"/>
      <c r="R22" s="705"/>
      <c r="S22" s="706"/>
      <c r="T22" s="705"/>
      <c r="U22" s="706"/>
      <c r="V22" s="705"/>
      <c r="W22" s="706"/>
      <c r="X22" s="1355"/>
      <c r="Y22" s="3709"/>
      <c r="Z22" s="1356"/>
      <c r="AA22" s="1353">
        <v>1</v>
      </c>
      <c r="AB22" s="1353">
        <v>1</v>
      </c>
      <c r="AC22" s="1962">
        <v>1</v>
      </c>
    </row>
    <row r="23" spans="1:29" ht="57">
      <c r="A23" s="379"/>
      <c r="B23" s="579" t="s">
        <v>1814</v>
      </c>
      <c r="C23" s="1963" t="str">
        <f>估价对象房地状况!C9</f>
        <v>区域自然环境：金马公园、凉水河；人文环境：；综合评价环境状况一般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6"/>
      <c r="Q26" s="1352"/>
      <c r="R26" s="705"/>
      <c r="S26" s="706"/>
      <c r="T26" s="705"/>
      <c r="U26" s="706"/>
      <c r="V26" s="705"/>
      <c r="W26" s="706"/>
      <c r="X26" s="1355"/>
      <c r="Y26" s="370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1816</v>
      </c>
      <c r="C28" s="1965" t="s">
        <v>3411</v>
      </c>
      <c r="D28" s="413">
        <v>100</v>
      </c>
      <c r="E28" s="1956" t="s">
        <v>3409</v>
      </c>
      <c r="F28" s="413">
        <f>SUMIF(91:91,E28,92:92)-SUMIF(91:91,C28,92:92)+100</f>
        <v>101</v>
      </c>
      <c r="G28" s="1965" t="s">
        <v>3426</v>
      </c>
      <c r="H28" s="413">
        <f>SUMIF(91:91,G28,92:92)-SUMIF(91:91,C28,92:92)+100</f>
        <v>97</v>
      </c>
      <c r="I28" s="1956" t="s">
        <v>3409</v>
      </c>
      <c r="J28" s="413">
        <f>SUMIF(91:91,I28,92:92)-SUMIF(91:91,C28,92:92)+100</f>
        <v>101</v>
      </c>
      <c r="K28" s="561">
        <v>1</v>
      </c>
      <c r="L28" s="2716"/>
      <c r="M28" s="2717"/>
      <c r="N28" s="2717"/>
      <c r="O28" s="2717"/>
      <c r="P28" s="3716"/>
      <c r="Q28" s="1343" t="str">
        <f t="shared" si="11"/>
        <v>朝向</v>
      </c>
      <c r="R28" s="701" t="s">
        <v>14</v>
      </c>
      <c r="S28" s="702">
        <f>F28</f>
        <v>101</v>
      </c>
      <c r="T28" s="701" t="s">
        <v>14</v>
      </c>
      <c r="U28" s="702">
        <f>H28</f>
        <v>97</v>
      </c>
      <c r="V28" s="701" t="s">
        <v>14</v>
      </c>
      <c r="W28" s="702">
        <f>J28</f>
        <v>101</v>
      </c>
      <c r="X28" s="703"/>
      <c r="Y28" s="3709"/>
      <c r="Z28" s="52" t="str">
        <f>Q28</f>
        <v>朝向</v>
      </c>
      <c r="AA28" s="1353">
        <f>D28/F28</f>
        <v>0.99009900990099009</v>
      </c>
      <c r="AB28" s="1353">
        <f>D28/H28</f>
        <v>1.0309278350515463</v>
      </c>
      <c r="AC28" s="1962">
        <f>D28/J28</f>
        <v>0.99009900990099009</v>
      </c>
    </row>
    <row r="29" spans="1:29" ht="15">
      <c r="A29" s="379"/>
      <c r="B29" s="3457" t="s">
        <v>3418</v>
      </c>
      <c r="C29" s="1908" t="str">
        <f>C93</f>
        <v>11/14（高楼层）</v>
      </c>
      <c r="D29" s="386">
        <v>100</v>
      </c>
      <c r="E29" s="383" t="str">
        <f>D93</f>
        <v>7/14（中楼层）</v>
      </c>
      <c r="F29" s="386">
        <f>SUMIF(93:93,E29,94:94)-SUMIF(93:93,C29,94:94)+100</f>
        <v>98</v>
      </c>
      <c r="G29" s="1960" t="str">
        <f>E93</f>
        <v>10/12（高楼层）</v>
      </c>
      <c r="H29" s="386">
        <f>SUMIF(93:93,G29,94:94)-SUMIF(93:93,C29,94:94)+100</f>
        <v>100</v>
      </c>
      <c r="I29" s="383" t="str">
        <f>F93</f>
        <v>2/12（低楼层）</v>
      </c>
      <c r="J29" s="386">
        <f>SUMIF(93:93,I29,94:94)-SUMIF(93:93,C29,94:94)+100</f>
        <v>96</v>
      </c>
      <c r="K29" s="562"/>
      <c r="L29" s="2721"/>
      <c r="M29" s="2715"/>
      <c r="N29" s="2715"/>
      <c r="O29" s="2715"/>
      <c r="P29" s="3716"/>
      <c r="Q29" s="1352" t="str">
        <f t="shared" si="11"/>
        <v>楼层-1</v>
      </c>
      <c r="R29" s="705" t="s">
        <v>14</v>
      </c>
      <c r="S29" s="706">
        <f t="shared" ref="S29:S47" si="12">F29</f>
        <v>98</v>
      </c>
      <c r="T29" s="705" t="s">
        <v>14</v>
      </c>
      <c r="U29" s="706">
        <f t="shared" ref="U29:U47" si="13">H29</f>
        <v>100</v>
      </c>
      <c r="V29" s="705" t="s">
        <v>14</v>
      </c>
      <c r="W29" s="706">
        <f t="shared" ref="W29:W47" si="14">J29</f>
        <v>96</v>
      </c>
      <c r="X29" s="1355"/>
      <c r="Y29" s="3709"/>
      <c r="Z29" s="1356" t="str">
        <f t="shared" ref="Z29:Z47" si="15">Q29</f>
        <v>楼层-1</v>
      </c>
      <c r="AA29" s="1353">
        <f t="shared" si="3"/>
        <v>1.0204081632653061</v>
      </c>
      <c r="AB29" s="1353">
        <f t="shared" si="4"/>
        <v>1</v>
      </c>
      <c r="AC29" s="1962">
        <f t="shared" si="5"/>
        <v>1.0416666666666667</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t="s">
        <v>3419</v>
      </c>
      <c r="D33" s="418">
        <v>100</v>
      </c>
      <c r="E33" s="1967" t="s">
        <v>3419</v>
      </c>
      <c r="F33" s="412">
        <f>SUMIF(101:101,E33,102:102)-SUMIF(101:101,C33,102:102)+100</f>
        <v>100</v>
      </c>
      <c r="G33" s="1967" t="s">
        <v>3419</v>
      </c>
      <c r="H33" s="386">
        <f>SUMIF(101:101,G33,102:102)-SUMIF(101:101,C33,102:102)+100</f>
        <v>100</v>
      </c>
      <c r="I33" s="1967" t="s">
        <v>3419</v>
      </c>
      <c r="J33" s="418">
        <f>SUMIF(101:101,I33,102:102)-SUMIF(101:101,C33,102:102)+100</f>
        <v>100</v>
      </c>
      <c r="K33" s="561"/>
      <c r="L33" s="2721"/>
      <c r="M33" s="2715"/>
      <c r="N33" s="2715"/>
      <c r="O33" s="2715"/>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90.65</v>
      </c>
      <c r="D34" s="127">
        <v>100</v>
      </c>
      <c r="E34" s="381">
        <v>90.65</v>
      </c>
      <c r="F34" s="376">
        <f>LOOKUP(E34,104:104,105:105)-LOOKUP(C34,104:104,105:105)+100</f>
        <v>100</v>
      </c>
      <c r="G34" s="380">
        <v>91.79</v>
      </c>
      <c r="H34" s="127">
        <f>LOOKUP(G34,104:104,105:105)-LOOKUP(C34,104:104,105:105)+100</f>
        <v>100</v>
      </c>
      <c r="I34" s="380">
        <v>89.68</v>
      </c>
      <c r="J34" s="127">
        <f>LOOKUP(I34,104:104,105:105)-LOOKUP(C34,104:104,105:105)+100</f>
        <v>100</v>
      </c>
      <c r="K34" s="562"/>
      <c r="L34" s="2720"/>
      <c r="M34" s="2722"/>
      <c r="N34" s="2722"/>
      <c r="O34" s="2722"/>
      <c r="P34" s="3711"/>
      <c r="Q34" s="707" t="str">
        <f t="shared" si="11"/>
        <v>项目建筑规模</v>
      </c>
      <c r="R34" s="708" t="s">
        <v>14</v>
      </c>
      <c r="S34" s="709">
        <f t="shared" si="12"/>
        <v>100</v>
      </c>
      <c r="T34" s="708" t="s">
        <v>14</v>
      </c>
      <c r="U34" s="709">
        <f t="shared" si="13"/>
        <v>100</v>
      </c>
      <c r="V34" s="708" t="s">
        <v>14</v>
      </c>
      <c r="W34" s="709">
        <f t="shared" si="14"/>
        <v>100</v>
      </c>
      <c r="X34" s="710"/>
      <c r="Y34" s="3713"/>
      <c r="Z34" s="711" t="str">
        <f t="shared" si="15"/>
        <v>项目建筑规模</v>
      </c>
      <c r="AA34" s="1353">
        <f t="shared" si="3"/>
        <v>1</v>
      </c>
      <c r="AB34" s="1353">
        <f t="shared" si="4"/>
        <v>1</v>
      </c>
      <c r="AC34" s="1962">
        <f t="shared" si="5"/>
        <v>1</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c r="L35" s="2721"/>
      <c r="M35" s="2715"/>
      <c r="N35" s="2715"/>
      <c r="O35" s="2715"/>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t="s">
        <v>3422</v>
      </c>
      <c r="D36" s="386">
        <v>100</v>
      </c>
      <c r="E36" s="411" t="s">
        <v>3422</v>
      </c>
      <c r="F36" s="412">
        <f>SUMIF(108:108,E36,109:109)-SUMIF(108:108,C36,109:109)+100</f>
        <v>100</v>
      </c>
      <c r="G36" s="411" t="s">
        <v>3422</v>
      </c>
      <c r="H36" s="386">
        <f>SUMIF(108:108,G36,109:109)-SUMIF(108:108,C36,109:109)+100</f>
        <v>100</v>
      </c>
      <c r="I36" s="411" t="s">
        <v>3422</v>
      </c>
      <c r="J36" s="386">
        <f>SUMIF(108:108,I36,109:109)-SUMIF(108:108,C36,109:109)+100</f>
        <v>100</v>
      </c>
      <c r="K36" s="561"/>
      <c r="L36" s="2721"/>
      <c r="M36" s="2715"/>
      <c r="N36" s="2715"/>
      <c r="O36" s="2715"/>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f>'数据-取费表'!Y6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c r="L37" s="2721"/>
      <c r="M37" s="2715"/>
      <c r="N37" s="2715"/>
      <c r="O37" s="2715"/>
      <c r="P37" s="3711"/>
      <c r="Q37" s="1352" t="str">
        <f t="shared" si="11"/>
        <v>成新度</v>
      </c>
      <c r="R37" s="705" t="s">
        <v>14</v>
      </c>
      <c r="S37" s="706">
        <f t="shared" si="12"/>
        <v>100</v>
      </c>
      <c r="T37" s="705" t="s">
        <v>14</v>
      </c>
      <c r="U37" s="706">
        <f t="shared" si="13"/>
        <v>100</v>
      </c>
      <c r="V37" s="705" t="s">
        <v>14</v>
      </c>
      <c r="W37" s="706">
        <f t="shared" si="14"/>
        <v>100</v>
      </c>
      <c r="X37" s="1355"/>
      <c r="Y37" s="371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c r="L39" s="2721"/>
      <c r="M39" s="2715"/>
      <c r="N39" s="2715"/>
      <c r="O39" s="2715"/>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v>18809</v>
      </c>
      <c r="F48" s="1157"/>
      <c r="G48" s="1158">
        <v>19610</v>
      </c>
      <c r="H48" s="1159"/>
      <c r="I48" s="1156">
        <v>17841</v>
      </c>
      <c r="J48" s="436"/>
      <c r="K48" s="714"/>
      <c r="L48" s="2723"/>
      <c r="M48" s="2715"/>
      <c r="N48" s="2715"/>
      <c r="O48" s="2715"/>
      <c r="P48" s="3688" t="str">
        <f>A48</f>
        <v>成交单价（元/平方米）</v>
      </c>
      <c r="Q48" s="3706"/>
      <c r="R48" s="3707">
        <f>E48</f>
        <v>18809</v>
      </c>
      <c r="S48" s="3707"/>
      <c r="T48" s="3707">
        <f>G48</f>
        <v>19610</v>
      </c>
      <c r="U48" s="3707"/>
      <c r="V48" s="3707">
        <f>I48</f>
        <v>17841</v>
      </c>
      <c r="W48" s="3707"/>
      <c r="X48" s="397"/>
      <c r="Y48" s="712"/>
      <c r="Z48" s="397"/>
      <c r="AA48" s="397"/>
      <c r="AB48" s="397"/>
      <c r="AC48" s="578"/>
    </row>
    <row r="49" spans="1:29" ht="15.75" thickBot="1">
      <c r="A49" s="437" t="s">
        <v>1793</v>
      </c>
      <c r="B49" s="438"/>
      <c r="C49" s="1160">
        <f ca="1">R50</f>
        <v>19206</v>
      </c>
      <c r="D49" s="2317" t="s">
        <v>2138</v>
      </c>
      <c r="E49" s="1161">
        <f ca="1">R49</f>
        <v>19003</v>
      </c>
      <c r="F49" s="2318"/>
      <c r="G49" s="1160">
        <f ca="1">T49</f>
        <v>20216</v>
      </c>
      <c r="H49" s="2318"/>
      <c r="I49" s="1161">
        <f ca="1">V49</f>
        <v>18400</v>
      </c>
      <c r="J49" s="2318"/>
      <c r="K49" s="2320">
        <f>F49+H49+J49</f>
        <v>0</v>
      </c>
      <c r="L49" s="2723"/>
      <c r="M49" s="2715"/>
      <c r="N49" s="2715"/>
      <c r="O49" s="2715"/>
      <c r="P49" s="3688" t="str">
        <f>A49</f>
        <v>比较价值（元/平方米）</v>
      </c>
      <c r="Q49" s="3706"/>
      <c r="R49" s="3707">
        <f ca="1">IF(F1="售价",ROUND(PRODUCT(R48,AA7:AA47),0),ROUND(PRODUCT(R48,AA7:AA47),1))</f>
        <v>19003</v>
      </c>
      <c r="S49" s="3707"/>
      <c r="T49" s="3707">
        <f ca="1">IF(F1="售价",ROUND(PRODUCT(T48,AB7:AB47),0),ROUND(PRODUCT(T48,AB7:AB47),1))</f>
        <v>20216</v>
      </c>
      <c r="U49" s="3707"/>
      <c r="V49" s="3707">
        <f ca="1">IF(F1="售价",ROUND(PRODUCT(V48,AC7:AC47),0),ROUND(PRODUCT(V48,AC7:AC47),1))</f>
        <v>18400</v>
      </c>
      <c r="W49" s="3707"/>
      <c r="X49" s="397"/>
      <c r="Y49" s="397"/>
      <c r="Z49" s="397"/>
      <c r="AA49" s="397"/>
      <c r="AB49" s="397"/>
      <c r="AC49" s="578"/>
    </row>
    <row r="50" spans="1:29" ht="15.75" thickBot="1">
      <c r="A50" s="441" t="s">
        <v>1794</v>
      </c>
      <c r="B50" s="442"/>
      <c r="C50" s="1163">
        <f ca="1">R50</f>
        <v>19206</v>
      </c>
      <c r="D50" s="1163"/>
      <c r="E50" s="1163"/>
      <c r="F50" s="1163"/>
      <c r="G50" s="1163"/>
      <c r="H50" s="1163"/>
      <c r="I50" s="1163"/>
      <c r="J50" s="443"/>
      <c r="K50" s="715"/>
      <c r="L50" s="2723"/>
      <c r="M50" s="2715"/>
      <c r="N50" s="2715"/>
      <c r="O50" s="2715"/>
      <c r="P50" s="3730" t="str">
        <f>A50</f>
        <v>估价对象XX用房的比较价值（楼面单价，元/平方米）</v>
      </c>
      <c r="Q50" s="3731"/>
      <c r="R50" s="3732">
        <f ca="1">IF(F1="售价",ROUND(IF(D49="简单平均",AVERAGE(R49:V49),R49*F49+T49*H49+V49*J49),0),ROUND(IF(D49="简单平均",AVERAGE(R49:V49),R49*F49+T49*H49+V49*J49),1))</f>
        <v>19206</v>
      </c>
      <c r="S50" s="3732"/>
      <c r="T50" s="3732"/>
      <c r="U50" s="3732"/>
      <c r="V50" s="3732"/>
      <c r="W50" s="373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 ca="1">IF(E48&lt;E49,E49/E48-1,E48/E49-1)</f>
        <v>1.0314211281833074E-2</v>
      </c>
      <c r="F53" s="449" t="str">
        <f ca="1">IF(OR(E53&gt;=0.3,E53&lt;=-0.3),"超过30%","")</f>
        <v/>
      </c>
      <c r="G53" s="448">
        <f ca="1">IF(G48&lt;G49,G49/G48-1,G48/G49-1)</f>
        <v>3.090260071392148E-2</v>
      </c>
      <c r="H53" s="449" t="str">
        <f ca="1">IF(OR(G53&gt;=0.3,G53&lt;=-0.3),"超过30%","")</f>
        <v/>
      </c>
      <c r="I53" s="448">
        <f ca="1">IF(I48&lt;I49,I49/I48-1,I48/I49-1)</f>
        <v>3.1332324421276869E-2</v>
      </c>
      <c r="J53" s="449" t="str">
        <f ca="1">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 ca="1">IF(E49&lt;G49,G49/E49-1,E49/G49-1)</f>
        <v>6.383202652212816E-2</v>
      </c>
      <c r="F54" s="449" t="str">
        <f ca="1">IF(OR(E54&gt;=0.2,E54&lt;=-0.2),"超过20%","")</f>
        <v/>
      </c>
      <c r="G54" s="448">
        <f ca="1">IF(G49&lt;I49,I49/G49-1,G49/I49-1)</f>
        <v>9.8695652173913073E-2</v>
      </c>
      <c r="H54" s="449" t="str">
        <f ca="1">IF(OR(G54&gt;=0.2,G54&lt;=-0.2),"超过20%","")</f>
        <v/>
      </c>
      <c r="I54" s="448">
        <f ca="1">IF(I49&lt;E49,E49/I49-1,I49/E49-1)</f>
        <v>3.2771739130434741E-2</v>
      </c>
      <c r="J54" s="449" t="str">
        <f ca="1">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4.2585996065713116E-2</v>
      </c>
      <c r="F55" s="449" t="str">
        <f>IF(OR(E55&gt;=0.3,E55&lt;=-0.3),"超过30%","")</f>
        <v/>
      </c>
      <c r="G55" s="448">
        <f>IF(G48&lt;I48,I48/G48-1,G48/I48-1)</f>
        <v>9.9153634885936981E-2</v>
      </c>
      <c r="H55" s="449" t="str">
        <f>IF(OR(G55&gt;=0.3,G55&lt;=-0.3),"超过30%","")</f>
        <v/>
      </c>
      <c r="I55" s="448">
        <f>IF(I48&lt;E48,E48/I48-1,I48/E48-1)</f>
        <v>5.4257048371727956E-2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3456" t="s">
        <v>3410</v>
      </c>
      <c r="D91" s="3456" t="s">
        <v>3412</v>
      </c>
      <c r="E91" s="3456" t="s">
        <v>3428</v>
      </c>
      <c r="F91" s="3456" t="s">
        <v>3429</v>
      </c>
      <c r="G91" s="3456" t="s">
        <v>3427</v>
      </c>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4"/>
      <c r="O92" s="2754"/>
      <c r="P92" s="2762"/>
      <c r="Q92" s="2745"/>
      <c r="R92" s="2746"/>
      <c r="S92" s="2746"/>
      <c r="T92" s="2746"/>
      <c r="U92" s="2746"/>
      <c r="V92" s="2746"/>
      <c r="W92" s="2746"/>
      <c r="X92" s="2746"/>
      <c r="Y92" s="2746"/>
      <c r="Z92" s="2746"/>
      <c r="AA92" s="2746"/>
      <c r="AB92" s="2746"/>
      <c r="AC92" s="2746"/>
    </row>
    <row r="93" spans="1:29" ht="28.5" thickTop="1">
      <c r="A93" s="483"/>
      <c r="B93" s="487" t="str">
        <f>B29</f>
        <v>楼层-1</v>
      </c>
      <c r="C93" s="503" t="s">
        <v>3413</v>
      </c>
      <c r="D93" s="503" t="s">
        <v>3414</v>
      </c>
      <c r="E93" s="503" t="s">
        <v>3415</v>
      </c>
      <c r="F93" s="503" t="s">
        <v>3417</v>
      </c>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v>100</v>
      </c>
      <c r="D94" s="485">
        <v>98</v>
      </c>
      <c r="E94" s="485">
        <v>100</v>
      </c>
      <c r="F94" s="485">
        <v>96</v>
      </c>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8" t="s">
        <v>3420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0(含)-60</v>
      </c>
      <c r="D103" s="527" t="str">
        <f t="shared" ref="D103:L103" si="23">D104&amp;"(含)"&amp;"-"&amp;E104</f>
        <v>60(含)-100</v>
      </c>
      <c r="E103" s="527" t="str">
        <f t="shared" si="23"/>
        <v>100(含)-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60</v>
      </c>
      <c r="E104" s="544">
        <v>100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96</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6" t="s">
        <v>3421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6" t="s">
        <v>3423</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6" t="s">
        <v>3425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6" t="s">
        <v>3423</v>
      </c>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估价对象为北京市房地产，为所有。根据《国有土地使用证》[]，估价对象（分摊）出让国有建设用地使用权面积为0平方米，建筑面积为90.65平方米。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估价对象为北京市房地产,属开发建设的，该项目尚在开发建设中。根据《国有土地使用证》[]，估价对象（分摊）出让国有建设用地使用权面积为0平方米，规划建筑面积为90.65平方米。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90.65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45366</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45366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9"/>
      <c r="Q15" s="1352"/>
      <c r="R15" s="705"/>
      <c r="S15" s="706"/>
      <c r="T15" s="705"/>
      <c r="U15" s="706"/>
      <c r="V15" s="705"/>
      <c r="W15" s="706"/>
      <c r="X15" s="1355"/>
      <c r="Y15" s="37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9"/>
      <c r="Q17" s="1352"/>
      <c r="R17" s="705"/>
      <c r="S17" s="706"/>
      <c r="T17" s="705"/>
      <c r="U17" s="706"/>
      <c r="V17" s="705"/>
      <c r="W17" s="706"/>
      <c r="X17" s="1355"/>
      <c r="Y17" s="3709"/>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9"/>
      <c r="Q19" s="1352"/>
      <c r="R19" s="705"/>
      <c r="S19" s="706"/>
      <c r="T19" s="705"/>
      <c r="U19" s="706"/>
      <c r="V19" s="705"/>
      <c r="W19" s="706"/>
      <c r="X19" s="1355"/>
      <c r="Y19" s="3709"/>
      <c r="Z19" s="1356"/>
      <c r="AA19" s="1353">
        <v>1</v>
      </c>
      <c r="AB19" s="1353">
        <v>1</v>
      </c>
      <c r="AC19" s="1353">
        <v>1</v>
      </c>
    </row>
    <row r="20" spans="1:29" ht="71.25">
      <c r="A20" s="358"/>
      <c r="B20" s="579" t="s">
        <v>1834</v>
      </c>
      <c r="C20" s="1900" t="str">
        <f>IF(B1="工业",估价对象房地状况!G7,估价对象房地状况!C9)</f>
        <v>区域自然环境：金马公园、凉水河；人文环境：；综合评价环境状况一般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3"/>
      <c r="M37" s="2724"/>
      <c r="N37" s="2715"/>
      <c r="O37" s="2724"/>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3" t="str">
        <f>A39</f>
        <v>估价对象XX用房的比较价值（楼面单价，元/平方米）</v>
      </c>
      <c r="Q39" s="3704"/>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45366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9"/>
      <c r="Q15" s="1352"/>
      <c r="R15" s="705"/>
      <c r="S15" s="706"/>
      <c r="T15" s="705"/>
      <c r="U15" s="706"/>
      <c r="V15" s="705"/>
      <c r="W15" s="706"/>
      <c r="X15" s="1355"/>
      <c r="Y15" s="37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9"/>
      <c r="Q17" s="1352"/>
      <c r="R17" s="705"/>
      <c r="S17" s="706"/>
      <c r="T17" s="705"/>
      <c r="U17" s="706"/>
      <c r="V17" s="705"/>
      <c r="W17" s="706"/>
      <c r="X17" s="1355"/>
      <c r="Y17" s="3709"/>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9"/>
      <c r="Q19" s="1352"/>
      <c r="R19" s="705"/>
      <c r="S19" s="706"/>
      <c r="T19" s="705"/>
      <c r="U19" s="706"/>
      <c r="V19" s="705"/>
      <c r="W19" s="706"/>
      <c r="X19" s="1355"/>
      <c r="Y19" s="3709"/>
      <c r="Z19" s="1356"/>
      <c r="AA19" s="1353">
        <v>1</v>
      </c>
      <c r="AB19" s="1353">
        <v>1</v>
      </c>
      <c r="AC19" s="1353">
        <v>1</v>
      </c>
    </row>
    <row r="20" spans="1:29" ht="71.25">
      <c r="A20" s="379"/>
      <c r="B20" s="402" t="s">
        <v>1834</v>
      </c>
      <c r="C20" s="1900" t="str">
        <f>IF(B1="工业",估价对象房地状况!G7,估价对象房地状况!C9)</f>
        <v>区域自然环境：金马公园、凉水河；人文环境：；综合评价环境状况一般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3" t="str">
        <f>A37</f>
        <v>估价对象XX用房的比较价值（楼面单价，元/平方米）</v>
      </c>
      <c r="Q37" s="3704"/>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5"/>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5"/>
      <c r="Y6" s="3699"/>
      <c r="Z6" s="3700"/>
      <c r="AA6" s="3673"/>
      <c r="AB6" s="3673"/>
      <c r="AC6" s="3673"/>
    </row>
    <row r="7" spans="1:30" s="108" customFormat="1" ht="15.75" thickBot="1">
      <c r="A7" s="362" t="s">
        <v>1679</v>
      </c>
      <c r="B7" s="363"/>
      <c r="C7" s="364">
        <f>'数据-取费表'!B2</f>
        <v>45366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06"/>
      <c r="Q10" s="1343" t="str">
        <f t="shared" si="6"/>
        <v>土地使用年限（年）</v>
      </c>
      <c r="R10" s="701" t="s">
        <v>14</v>
      </c>
      <c r="S10" s="702" t="e">
        <f t="shared" si="0"/>
        <v>#DIV/0!</v>
      </c>
      <c r="T10" s="701" t="s">
        <v>14</v>
      </c>
      <c r="U10" s="702" t="e">
        <f t="shared" si="1"/>
        <v>#DIV/0!</v>
      </c>
      <c r="V10" s="701" t="s">
        <v>14</v>
      </c>
      <c r="W10" s="702" t="e">
        <f t="shared" si="2"/>
        <v>#DIV/0!</v>
      </c>
      <c r="X10" s="703"/>
      <c r="Y10" s="361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6"/>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9"/>
      <c r="Q16" s="1352"/>
      <c r="R16" s="705"/>
      <c r="S16" s="706"/>
      <c r="T16" s="705"/>
      <c r="U16" s="706"/>
      <c r="V16" s="705"/>
      <c r="W16" s="706"/>
      <c r="X16" s="1355"/>
      <c r="Y16" s="370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9"/>
      <c r="Q18" s="1352"/>
      <c r="R18" s="705"/>
      <c r="S18" s="706"/>
      <c r="T18" s="705"/>
      <c r="U18" s="706"/>
      <c r="V18" s="705"/>
      <c r="W18" s="706"/>
      <c r="X18" s="1355"/>
      <c r="Y18" s="3709"/>
      <c r="Z18" s="1356"/>
      <c r="AA18" s="1353">
        <v>1</v>
      </c>
      <c r="AB18" s="1353">
        <v>1</v>
      </c>
      <c r="AC18" s="1353">
        <v>1</v>
      </c>
    </row>
    <row r="19" spans="1:29" ht="71.25">
      <c r="A19" s="379"/>
      <c r="B19" s="402" t="s">
        <v>1811</v>
      </c>
      <c r="C19" s="1955" t="str">
        <f>估价对象房地状况!C17</f>
        <v>周边有星悦国际公寓、IN北京等商住项目较多，入驻率高，办公集聚程度较好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9"/>
      <c r="Q20" s="1352"/>
      <c r="R20" s="705"/>
      <c r="S20" s="706"/>
      <c r="T20" s="705"/>
      <c r="U20" s="706"/>
      <c r="V20" s="705"/>
      <c r="W20" s="706"/>
      <c r="X20" s="1355"/>
      <c r="Y20" s="370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9"/>
      <c r="Q24" s="1352"/>
      <c r="R24" s="705"/>
      <c r="S24" s="706"/>
      <c r="T24" s="705"/>
      <c r="U24" s="706"/>
      <c r="V24" s="705"/>
      <c r="W24" s="706"/>
      <c r="X24" s="1355"/>
      <c r="Y24" s="3709"/>
      <c r="Z24" s="1356"/>
      <c r="AA24" s="1353"/>
      <c r="AB24" s="1353"/>
      <c r="AC24" s="1353"/>
    </row>
    <row r="25" spans="1:29" ht="71.25">
      <c r="A25" s="358"/>
      <c r="B25" s="1131" t="s">
        <v>1872</v>
      </c>
      <c r="C25" s="1955" t="str">
        <f>估价对象房地状况!C20</f>
        <v>区域自然环境：金马公园、凉水河；人文环境：；综合评价环境状况一般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9"/>
      <c r="Q26" s="1352"/>
      <c r="R26" s="705"/>
      <c r="S26" s="706"/>
      <c r="T26" s="705"/>
      <c r="U26" s="706"/>
      <c r="V26" s="705"/>
      <c r="W26" s="706"/>
      <c r="X26" s="1355"/>
      <c r="Y26" s="37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9"/>
      <c r="Q28" s="1343"/>
      <c r="R28" s="701"/>
      <c r="S28" s="702"/>
      <c r="T28" s="701"/>
      <c r="U28" s="702"/>
      <c r="V28" s="701"/>
      <c r="W28" s="702"/>
      <c r="X28" s="703"/>
      <c r="Y28" s="3709"/>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3"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6" t="str">
        <f>A47</f>
        <v>比较价值（元/平方米）</v>
      </c>
      <c r="Q47" s="3706"/>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3" t="str">
        <f>A48</f>
        <v>估价对象XX用房的比较价值（楼面单价，元/平方米）</v>
      </c>
      <c r="Q48" s="3704"/>
      <c r="R48" s="3736" t="e">
        <f>ROUND(IF(D47="简单平均",AVERAGE(R47:W47),R47*F47+T47*H47+V47*J47),0)</f>
        <v>#DIV/0!</v>
      </c>
      <c r="S48" s="3736"/>
      <c r="T48" s="3736"/>
      <c r="U48" s="3736"/>
      <c r="V48" s="3736"/>
      <c r="W48" s="373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9" t="s">
        <v>1887</v>
      </c>
      <c r="H55" s="3737"/>
      <c r="I55" s="135" t="s">
        <v>1888</v>
      </c>
      <c r="J55" s="1985" t="str">
        <f>项目基本情况!F35</f>
        <v>通州区兴贸三街18号院15号楼11层1单元1111</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90.65</v>
      </c>
      <c r="F56" s="886" t="e">
        <f t="shared" ref="F56:F64" si="15">ROUND(B56*E56/10000,0)</f>
        <v>#DIV/0!</v>
      </c>
      <c r="G56" s="3688"/>
      <c r="H56" s="370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90.65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5"/>
      <c r="Y5" s="3678"/>
      <c r="Z5" s="3679"/>
      <c r="AA5" s="3672"/>
      <c r="AB5" s="3672"/>
      <c r="AC5" s="3672"/>
    </row>
    <row r="6" spans="1:29" ht="15.75" thickBot="1">
      <c r="A6" s="360"/>
      <c r="B6" s="361"/>
      <c r="C6" s="3738" t="s">
        <v>1919</v>
      </c>
      <c r="D6" s="3739"/>
      <c r="E6" s="3740" t="s">
        <v>1919</v>
      </c>
      <c r="F6" s="3741"/>
      <c r="G6" s="3738" t="s">
        <v>1919</v>
      </c>
      <c r="H6" s="3739"/>
      <c r="I6" s="3738" t="s">
        <v>1919</v>
      </c>
      <c r="J6" s="3739"/>
      <c r="K6" s="559" t="s">
        <v>1678</v>
      </c>
      <c r="L6" s="2714"/>
      <c r="M6" s="2715"/>
      <c r="N6" s="2715"/>
      <c r="O6" s="2715"/>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45366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06"/>
      <c r="Q10" s="1343" t="str">
        <f t="shared" si="6"/>
        <v>土地使用年限（年）</v>
      </c>
      <c r="R10" s="701" t="s">
        <v>14</v>
      </c>
      <c r="S10" s="702" t="e">
        <f t="shared" si="0"/>
        <v>#DIV/0!</v>
      </c>
      <c r="T10" s="701" t="s">
        <v>14</v>
      </c>
      <c r="U10" s="702" t="e">
        <f t="shared" si="1"/>
        <v>#DIV/0!</v>
      </c>
      <c r="V10" s="701" t="s">
        <v>14</v>
      </c>
      <c r="W10" s="702" t="e">
        <f t="shared" si="2"/>
        <v>#DIV/0!</v>
      </c>
      <c r="X10" s="703"/>
      <c r="Y10" s="361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9"/>
      <c r="Q16" s="1352"/>
      <c r="R16" s="705"/>
      <c r="S16" s="706"/>
      <c r="T16" s="705"/>
      <c r="U16" s="706"/>
      <c r="V16" s="705"/>
      <c r="W16" s="706"/>
      <c r="X16" s="1355"/>
      <c r="Y16" s="37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9"/>
      <c r="Q20" s="1352"/>
      <c r="R20" s="705"/>
      <c r="S20" s="706"/>
      <c r="T20" s="705"/>
      <c r="U20" s="706"/>
      <c r="V20" s="705"/>
      <c r="W20" s="706"/>
      <c r="X20" s="1355"/>
      <c r="Y20" s="37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9"/>
      <c r="Q22" s="1352"/>
      <c r="R22" s="705"/>
      <c r="S22" s="706"/>
      <c r="T22" s="705"/>
      <c r="U22" s="706"/>
      <c r="V22" s="705"/>
      <c r="W22" s="706"/>
      <c r="X22" s="1355"/>
      <c r="Y22" s="37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9"/>
      <c r="Q24" s="1343"/>
      <c r="R24" s="701"/>
      <c r="S24" s="702"/>
      <c r="T24" s="701"/>
      <c r="U24" s="702"/>
      <c r="V24" s="701"/>
      <c r="W24" s="702"/>
      <c r="X24" s="703"/>
      <c r="Y24" s="37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3"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6" t="str">
        <f>A42</f>
        <v>比较价值（元/平方米）</v>
      </c>
      <c r="Q42" s="3706"/>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3" t="str">
        <f>A43</f>
        <v>估价对象XX用房的比较价值（楼面单价，元/平方米）</v>
      </c>
      <c r="Q43" s="3704"/>
      <c r="R43" s="3736" t="e">
        <f>ROUND(IF(D42="简单平均",AVERAGE(R42:W42),R42*F42+T42*H42+V42*J42),0)</f>
        <v>#DIV/0!</v>
      </c>
      <c r="S43" s="3736"/>
      <c r="T43" s="3736"/>
      <c r="U43" s="3736"/>
      <c r="V43" s="3736"/>
      <c r="W43" s="373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9" t="s">
        <v>1887</v>
      </c>
      <c r="H50" s="3737"/>
      <c r="I50" s="1356" t="s">
        <v>1923</v>
      </c>
      <c r="J50" s="1356" t="str">
        <f>项目基本情况!F35</f>
        <v>通州区兴贸三街18号院15号楼11层1单元1111</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90.65</v>
      </c>
      <c r="F51" s="639" t="e">
        <f t="shared" ref="F51:F60" si="15">ROUND(B51*E51/10000,0)</f>
        <v>#DIV/0!</v>
      </c>
      <c r="G51" s="3688"/>
      <c r="H51" s="370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 sqref="C5:D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49.005000000000003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18130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18130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18130</v>
      </c>
      <c r="D10" s="845">
        <f ca="1">IF(B1="",'数据-汇总表'!E6,IF(INDIRECT("'数据-取费表'!c"&amp;$G$1)="住宅",INDIRECT("'数据-取费表'!s"&amp;$G$1),INDIRECT("'数据-取费表'!k"&amp;$G$1)+INDIRECT("'数据-取费表'!s"&amp;$G$1)))</f>
        <v>90.65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18130</v>
      </c>
      <c r="D19" s="849">
        <f ca="1">D9+D10</f>
        <v>90.65</v>
      </c>
      <c r="E19" s="211">
        <f>'数据-取费表'!B31</f>
        <v>200</v>
      </c>
      <c r="F19" s="231"/>
      <c r="G19" s="1856"/>
    </row>
    <row r="20" spans="1:7" s="214" customFormat="1" ht="13.5" customHeight="1">
      <c r="A20" s="255" t="s">
        <v>1574</v>
      </c>
      <c r="B20" s="210" t="s">
        <v>1575</v>
      </c>
      <c r="C20" s="232">
        <f ca="1">ROUND((C5+C19)*F20,0)</f>
        <v>725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3560</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1763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1763</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7397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7397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51964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397047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362600</v>
      </c>
      <c r="D34" s="217"/>
      <c r="E34" s="220"/>
      <c r="F34" s="257"/>
      <c r="G34" s="219"/>
    </row>
    <row r="35" spans="1:7" ht="13.5" customHeight="1">
      <c r="A35" s="780" t="s">
        <v>351</v>
      </c>
      <c r="B35" s="215" t="s">
        <v>1527</v>
      </c>
      <c r="C35" s="220">
        <f ca="1">ROUND(C34*F35,0)</f>
        <v>10878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18130</v>
      </c>
      <c r="D37" s="217">
        <f ca="1">D19</f>
        <v>90.65</v>
      </c>
      <c r="E37" s="249">
        <f>'数据-取费表'!B35</f>
        <v>200</v>
      </c>
      <c r="F37" s="259"/>
      <c r="G37" s="261"/>
    </row>
    <row r="38" spans="1:7" ht="13.5" customHeight="1">
      <c r="A38" s="780" t="s">
        <v>354</v>
      </c>
      <c r="B38" s="215" t="s">
        <v>1533</v>
      </c>
      <c r="C38" s="220">
        <f ca="1">ROUND(C34*F38,0)</f>
        <v>5439</v>
      </c>
      <c r="D38" s="220"/>
      <c r="E38" s="220"/>
      <c r="F38" s="259">
        <f>'数据-取费表'!B36</f>
        <v>1.4999999999999999E-2</v>
      </c>
      <c r="G38" s="219" t="s">
        <v>1528</v>
      </c>
    </row>
    <row r="39" spans="1:7" s="214" customFormat="1" ht="13.5" customHeight="1">
      <c r="A39" s="255" t="s">
        <v>1534</v>
      </c>
      <c r="B39" s="210" t="s">
        <v>1535</v>
      </c>
      <c r="C39" s="232">
        <f ca="1">ROUND(C33*F20,0)</f>
        <v>7941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19237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18860</v>
      </c>
      <c r="D42" s="238"/>
      <c r="E42" s="238"/>
      <c r="F42" s="239"/>
      <c r="G42" s="3642" t="s">
        <v>1591</v>
      </c>
    </row>
    <row r="43" spans="1:7" ht="13.5" customHeight="1">
      <c r="A43" s="780" t="s">
        <v>347</v>
      </c>
      <c r="B43" s="215" t="s">
        <v>1545</v>
      </c>
      <c r="C43" s="238">
        <f ca="1">ROUND(IF('数据-取费表'!B22&lt;=1,C39*F22*'数据-取费表'!B20/2,C39*(POWER((1+F22),'数据-取费表'!B20/2)-1)),0)</f>
        <v>377</v>
      </c>
      <c r="D43" s="238"/>
      <c r="E43" s="238"/>
      <c r="F43" s="239"/>
      <c r="G43" s="3643"/>
    </row>
    <row r="44" spans="1:7" ht="13.5" customHeight="1">
      <c r="A44" s="780" t="s">
        <v>348</v>
      </c>
      <c r="B44" s="215" t="s">
        <v>1546</v>
      </c>
      <c r="C44" s="238">
        <f ca="1">ROUND(IF('数据-取费表'!B22&lt;=1,C40*F22*'数据-取费表'!B20/2,C40*(POWER((1+F22),'数据-取费表'!B20/2)-1)),4)</f>
        <v>1E-3</v>
      </c>
      <c r="D44" s="238"/>
      <c r="E44" s="238"/>
      <c r="F44" s="239"/>
      <c r="G44" s="3644"/>
    </row>
    <row r="45" spans="1:7" s="214" customFormat="1" ht="13.5" customHeight="1">
      <c r="A45" s="255" t="s">
        <v>1547</v>
      </c>
      <c r="B45" s="244" t="s">
        <v>1513</v>
      </c>
      <c r="C45" s="245">
        <f ca="1">C46</f>
        <v>80998</v>
      </c>
      <c r="D45" s="235">
        <f ca="1">C47</f>
        <v>4.0000000000000001E-3</v>
      </c>
      <c r="E45" s="236" t="s">
        <v>1539</v>
      </c>
      <c r="F45" s="246">
        <f ca="1">F27</f>
        <v>0.2</v>
      </c>
      <c r="G45" s="247" t="s">
        <v>1548</v>
      </c>
    </row>
    <row r="46" spans="1:7" s="214" customFormat="1" ht="13.5" customHeight="1">
      <c r="A46" s="780" t="s">
        <v>346</v>
      </c>
      <c r="B46" s="248" t="s">
        <v>1549</v>
      </c>
      <c r="C46" s="249">
        <f ca="1">ROUND((C33+C39)*F27,0)</f>
        <v>80998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547608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438086</v>
      </c>
      <c r="D51" s="232"/>
      <c r="E51" s="232"/>
      <c r="F51" s="264"/>
      <c r="G51" s="234" t="s">
        <v>1560</v>
      </c>
    </row>
    <row r="52" spans="1:7" s="208" customFormat="1" ht="16.5" thickBot="1">
      <c r="A52" s="265" t="s">
        <v>1561</v>
      </c>
      <c r="B52" s="266"/>
      <c r="C52" s="267">
        <f ca="1">C31+C51</f>
        <v>490050</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 sqref="C5:D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4"/>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3243</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3245</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t="e">
        <f>ROUND(G18/I18,2)</f>
        <v>#DIV/0!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3249</v>
      </c>
      <c r="E18" s="3328"/>
      <c r="F18" s="3323" t="s">
        <v>3252</v>
      </c>
      <c r="G18" s="3327">
        <f>ROUND(1-(1/(POWER(1+G24,E18))),4)</f>
        <v>0</v>
      </c>
      <c r="H18" s="3323" t="s">
        <v>3254</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9" t="s">
        <v>3255</v>
      </c>
      <c r="B20" s="167" t="s">
        <v>1994</v>
      </c>
      <c r="C20" s="3324" t="e">
        <f>ROUND(IF(F21="与级别开发程度一致",0,(G21-E21)/C21),0)</f>
        <v>#DIV/0!</v>
      </c>
      <c r="D20" s="3340" t="s">
        <v>1998</v>
      </c>
      <c r="E20" s="3341"/>
      <c r="F20" s="3765" t="s">
        <v>1995</v>
      </c>
      <c r="G20" s="376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45366</v>
      </c>
      <c r="H23" s="3342" t="s">
        <v>3257</v>
      </c>
      <c r="I23" s="3343" t="str">
        <f>IF(H23="季度增幅（自定义）",SUMIF(N25:N28,E2,O25:O28),"")</f>
        <v/>
      </c>
      <c r="J23" s="3445" t="s">
        <v>3256</v>
      </c>
      <c r="K23" s="1125"/>
      <c r="L23" s="2055" t="s">
        <v>2004</v>
      </c>
      <c r="M23" s="1328">
        <f>ROUND(SUMIF(地价!B2:G2,E2,地价!B16:G16),0)</f>
        <v>0</v>
      </c>
      <c r="N23" s="2056" t="s">
        <v>2005</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3336</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3258</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3259</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3267</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4"/>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3270</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城市之路——兴贸南街</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thickBot="1">
      <c r="A58" s="2138" t="s">
        <v>2061</v>
      </c>
      <c r="B58" s="2139" t="str">
        <f>估价对象房地状况!C20</f>
        <v>区域自然环境：金马公园、凉水河；人文环境：；综合评价环境状况一般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周边有星悦国际公寓、IN北京等商住项目较多，入驻率高，办公集聚程度较好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3270</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城市之路——兴贸南街</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thickBot="1">
      <c r="A69" s="2138" t="s">
        <v>2061</v>
      </c>
      <c r="B69" s="2140" t="str">
        <f>估价对象房地状况!C20</f>
        <v>区域自然环境：金马公园、凉水河；人文环境：；综合评价环境状况一般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3270</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城市之路——兴贸南街</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8.25">
      <c r="A79" s="2130" t="s">
        <v>2061</v>
      </c>
      <c r="B79" s="2133" t="str">
        <f>估价对象房地状况!C20</f>
        <v>区域自然环境：金马公园、凉水河；人文环境：；综合评价环境状况一般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3271</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3274</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3270</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3275</v>
      </c>
      <c r="B96" s="3384" t="s">
        <v>3286</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3276</v>
      </c>
      <c r="B97" s="3369" t="str">
        <f>估价对象房地状况!C24</f>
        <v>城市之路——兴贸南街</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3277</v>
      </c>
      <c r="B98" s="3385" t="s">
        <v>3287</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3278</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3279</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39" thickBot="1">
      <c r="A101" s="3379" t="s">
        <v>3280</v>
      </c>
      <c r="B101" s="3386" t="str">
        <f>估价对象房地状况!C20</f>
        <v>区域自然环境：金马公园、凉水河；人文环境：；综合评价环境状况一般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1" t="s">
        <v>3295</v>
      </c>
      <c r="B103" s="3761"/>
      <c r="C103" s="3761"/>
      <c r="D103" s="3761"/>
      <c r="E103" s="3761"/>
      <c r="F103" s="3761"/>
      <c r="G103" s="3761"/>
      <c r="H103" s="3761"/>
      <c r="I103" s="3761"/>
      <c r="J103" s="3761"/>
      <c r="K103" s="3389"/>
      <c r="L103" s="3389"/>
      <c r="M103" s="3389"/>
      <c r="N103" s="3389"/>
    </row>
    <row r="104" spans="1:14">
      <c r="A104" s="3762" t="s">
        <v>3296</v>
      </c>
      <c r="B104" s="3762" t="s">
        <v>3297</v>
      </c>
      <c r="C104" s="3390" t="s">
        <v>3298</v>
      </c>
      <c r="D104" s="3391"/>
      <c r="E104" s="3391"/>
      <c r="F104" s="3391"/>
      <c r="G104" s="3391"/>
      <c r="H104" s="3391"/>
      <c r="I104" s="3391"/>
      <c r="J104" s="3392"/>
      <c r="K104" s="3393"/>
      <c r="L104" s="3393"/>
      <c r="M104" s="3393"/>
      <c r="N104" s="3393"/>
    </row>
    <row r="105" spans="1:14">
      <c r="A105" s="3762"/>
      <c r="B105" s="3762"/>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48"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3269</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1" t="s">
        <v>3312</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v>
      </c>
      <c r="E116" s="2000" t="s">
        <v>3315</v>
      </c>
      <c r="F116" s="3401">
        <f>E2</f>
        <v>0</v>
      </c>
      <c r="G116" s="2000" t="s">
        <v>3316</v>
      </c>
      <c r="H116" s="3401">
        <f>G2</f>
        <v>0</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3331</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74" t="s">
        <v>2608</v>
      </c>
      <c r="B20" s="3767" t="s">
        <v>2629</v>
      </c>
      <c r="C20" s="3102" t="s">
        <v>2440</v>
      </c>
      <c r="D20" s="3103"/>
      <c r="E20" s="3104">
        <v>1</v>
      </c>
      <c r="F20" s="3105" t="s">
        <v>2441</v>
      </c>
      <c r="G20" s="3105"/>
    </row>
    <row r="21" spans="1:13" ht="19.5" customHeight="1">
      <c r="A21" s="3775"/>
      <c r="B21" s="3768"/>
      <c r="C21" s="3106" t="s">
        <v>2442</v>
      </c>
      <c r="D21" s="3107"/>
      <c r="E21" s="3108">
        <v>1</v>
      </c>
      <c r="F21" s="3105" t="s">
        <v>2443</v>
      </c>
      <c r="G21" s="3105"/>
    </row>
    <row r="22" spans="1:13" ht="19.5" customHeight="1">
      <c r="A22" s="3775"/>
      <c r="B22" s="3768"/>
      <c r="C22" s="3106" t="s">
        <v>2444</v>
      </c>
      <c r="D22" s="3107"/>
      <c r="E22" s="3108">
        <v>0.9</v>
      </c>
      <c r="F22" s="3105" t="s">
        <v>2445</v>
      </c>
      <c r="G22" s="3105"/>
    </row>
    <row r="23" spans="1:13" ht="19.5" customHeight="1">
      <c r="A23" s="3775"/>
      <c r="B23" s="3768"/>
      <c r="C23" s="3106" t="s">
        <v>2446</v>
      </c>
      <c r="D23" s="3107"/>
      <c r="E23" s="3108">
        <v>0.9</v>
      </c>
      <c r="F23" s="3105" t="s">
        <v>2447</v>
      </c>
      <c r="G23" s="3105"/>
    </row>
    <row r="24" spans="1:13" ht="19.5" customHeight="1">
      <c r="A24" s="3775"/>
      <c r="B24" s="3768"/>
      <c r="C24" s="3106" t="s">
        <v>2448</v>
      </c>
      <c r="D24" s="3107"/>
      <c r="E24" s="3108">
        <v>0.8</v>
      </c>
      <c r="F24" s="3105" t="s">
        <v>2449</v>
      </c>
      <c r="G24" s="3105"/>
    </row>
    <row r="25" spans="1:13" ht="19.5" customHeight="1" thickBot="1">
      <c r="A25" s="3776"/>
      <c r="B25" s="3769"/>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70" t="s">
        <v>2632</v>
      </c>
      <c r="B27" s="3767" t="s">
        <v>2613</v>
      </c>
      <c r="C27" s="3102" t="s">
        <v>2453</v>
      </c>
      <c r="D27" s="3103"/>
      <c r="E27" s="3104">
        <v>1</v>
      </c>
      <c r="F27" s="3105" t="s">
        <v>2454</v>
      </c>
      <c r="G27" s="3105"/>
    </row>
    <row r="28" spans="1:13" ht="19.5" customHeight="1">
      <c r="A28" s="3771"/>
      <c r="B28" s="3768"/>
      <c r="C28" s="3106" t="s">
        <v>2455</v>
      </c>
      <c r="D28" s="3107"/>
      <c r="E28" s="3108">
        <v>1</v>
      </c>
      <c r="F28" s="3105" t="s">
        <v>2456</v>
      </c>
      <c r="G28" s="3105"/>
    </row>
    <row r="29" spans="1:13" ht="19.5" customHeight="1">
      <c r="A29" s="3771"/>
      <c r="B29" s="3768"/>
      <c r="C29" s="3106" t="s">
        <v>2457</v>
      </c>
      <c r="D29" s="3107"/>
      <c r="E29" s="3108">
        <v>0.8</v>
      </c>
      <c r="F29" s="3105" t="s">
        <v>2458</v>
      </c>
      <c r="G29" s="3105"/>
    </row>
    <row r="30" spans="1:13" ht="19.5" customHeight="1">
      <c r="A30" s="3771"/>
      <c r="B30" s="3768"/>
      <c r="C30" s="3106" t="s">
        <v>2459</v>
      </c>
      <c r="D30" s="3107"/>
      <c r="E30" s="3108">
        <v>0.8</v>
      </c>
      <c r="F30" s="3105" t="s">
        <v>2460</v>
      </c>
      <c r="G30" s="3105"/>
    </row>
    <row r="31" spans="1:13" ht="19.5" customHeight="1">
      <c r="A31" s="3771"/>
      <c r="B31" s="3768"/>
      <c r="C31" s="3106" t="s">
        <v>2461</v>
      </c>
      <c r="D31" s="3107"/>
      <c r="E31" s="3108">
        <v>0.8</v>
      </c>
      <c r="F31" s="3105" t="s">
        <v>2462</v>
      </c>
      <c r="G31" s="3105"/>
    </row>
    <row r="32" spans="1:13" ht="19.5" customHeight="1">
      <c r="A32" s="3771"/>
      <c r="B32" s="3768"/>
      <c r="C32" s="3106" t="s">
        <v>2463</v>
      </c>
      <c r="D32" s="3107"/>
      <c r="E32" s="3108">
        <v>0.7</v>
      </c>
      <c r="F32" s="3105" t="s">
        <v>2464</v>
      </c>
      <c r="G32" s="3105"/>
    </row>
    <row r="33" spans="1:7" ht="19.5" customHeight="1">
      <c r="A33" s="3771"/>
      <c r="B33" s="3768"/>
      <c r="C33" s="3106" t="s">
        <v>2465</v>
      </c>
      <c r="D33" s="3107"/>
      <c r="E33" s="3108">
        <v>0.8</v>
      </c>
      <c r="F33" s="3105" t="s">
        <v>2466</v>
      </c>
      <c r="G33" s="3105"/>
    </row>
    <row r="34" spans="1:7" ht="19.5" customHeight="1">
      <c r="A34" s="3771"/>
      <c r="B34" s="3768"/>
      <c r="C34" s="3106" t="s">
        <v>2467</v>
      </c>
      <c r="D34" s="3107"/>
      <c r="E34" s="3108">
        <v>0.6</v>
      </c>
      <c r="F34" s="3105" t="s">
        <v>2468</v>
      </c>
      <c r="G34" s="3105"/>
    </row>
    <row r="35" spans="1:7" ht="19.5" customHeight="1">
      <c r="A35" s="3771"/>
      <c r="B35" s="3768"/>
      <c r="C35" s="3106" t="s">
        <v>2469</v>
      </c>
      <c r="D35" s="3107"/>
      <c r="E35" s="3108">
        <v>0.2</v>
      </c>
      <c r="F35" s="3105" t="s">
        <v>2470</v>
      </c>
      <c r="G35" s="3105"/>
    </row>
    <row r="36" spans="1:7" ht="19.5" customHeight="1">
      <c r="A36" s="3771"/>
      <c r="B36" s="3768"/>
      <c r="C36" s="3106" t="s">
        <v>2471</v>
      </c>
      <c r="D36" s="3107"/>
      <c r="E36" s="3108">
        <v>0.2</v>
      </c>
      <c r="F36" s="3105" t="s">
        <v>2472</v>
      </c>
      <c r="G36" s="3105"/>
    </row>
    <row r="37" spans="1:7" ht="19.5" customHeight="1">
      <c r="A37" s="3771"/>
      <c r="B37" s="3773" t="s">
        <v>2633</v>
      </c>
      <c r="C37" s="3106" t="s">
        <v>2473</v>
      </c>
      <c r="D37" s="3107"/>
      <c r="E37" s="3108">
        <v>0.6</v>
      </c>
      <c r="F37" s="3105" t="s">
        <v>2474</v>
      </c>
      <c r="G37" s="3105"/>
    </row>
    <row r="38" spans="1:7" ht="19.5" customHeight="1">
      <c r="A38" s="3771"/>
      <c r="B38" s="3768"/>
      <c r="C38" s="3106" t="s">
        <v>2475</v>
      </c>
      <c r="D38" s="3107"/>
      <c r="E38" s="3108">
        <v>0.6</v>
      </c>
      <c r="F38" s="3105" t="s">
        <v>2476</v>
      </c>
      <c r="G38" s="3105"/>
    </row>
    <row r="39" spans="1:7" ht="19.5" customHeight="1" thickBot="1">
      <c r="A39" s="3772"/>
      <c r="B39" s="3769"/>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74" t="s">
        <v>2611</v>
      </c>
      <c r="B41" s="3767" t="s">
        <v>2635</v>
      </c>
      <c r="C41" s="3102" t="s">
        <v>2480</v>
      </c>
      <c r="D41" s="3103"/>
      <c r="E41" s="3104">
        <v>1</v>
      </c>
      <c r="F41" s="3105" t="s">
        <v>2481</v>
      </c>
      <c r="G41" s="3105"/>
    </row>
    <row r="42" spans="1:7" ht="19.5" customHeight="1">
      <c r="A42" s="3775"/>
      <c r="B42" s="3768"/>
      <c r="C42" s="3106" t="s">
        <v>2482</v>
      </c>
      <c r="D42" s="3107"/>
      <c r="E42" s="3108">
        <v>1</v>
      </c>
      <c r="F42" s="3105" t="s">
        <v>2483</v>
      </c>
      <c r="G42" s="3105"/>
    </row>
    <row r="43" spans="1:7" ht="19.5" customHeight="1">
      <c r="A43" s="3775"/>
      <c r="B43" s="3777"/>
      <c r="C43" s="3106" t="s">
        <v>2484</v>
      </c>
      <c r="D43" s="3107"/>
      <c r="E43" s="3108">
        <v>1.5</v>
      </c>
      <c r="F43" s="3105" t="s">
        <v>2485</v>
      </c>
      <c r="G43" s="3105"/>
    </row>
    <row r="44" spans="1:7" ht="19.5" customHeight="1">
      <c r="A44" s="3775"/>
      <c r="B44" s="3117" t="s">
        <v>2636</v>
      </c>
      <c r="C44" s="3106" t="s">
        <v>2637</v>
      </c>
      <c r="D44" s="3107"/>
      <c r="E44" s="3108">
        <v>2</v>
      </c>
      <c r="F44" s="3105" t="s">
        <v>2486</v>
      </c>
      <c r="G44" s="3105"/>
    </row>
    <row r="45" spans="1:7" ht="19.5" customHeight="1">
      <c r="A45" s="3775"/>
      <c r="B45" s="3773" t="s">
        <v>2638</v>
      </c>
      <c r="C45" s="3106" t="s">
        <v>2487</v>
      </c>
      <c r="D45" s="3107"/>
      <c r="E45" s="3108">
        <v>1</v>
      </c>
      <c r="F45" s="3105" t="s">
        <v>2488</v>
      </c>
      <c r="G45" s="3105"/>
    </row>
    <row r="46" spans="1:7" ht="19.5" customHeight="1">
      <c r="A46" s="3775"/>
      <c r="B46" s="3768"/>
      <c r="C46" s="3106" t="s">
        <v>2489</v>
      </c>
      <c r="D46" s="3107"/>
      <c r="E46" s="3108">
        <v>1</v>
      </c>
      <c r="F46" s="3105" t="s">
        <v>2490</v>
      </c>
      <c r="G46" s="3105"/>
    </row>
    <row r="47" spans="1:7" ht="19.5" customHeight="1">
      <c r="A47" s="3775"/>
      <c r="B47" s="3768"/>
      <c r="C47" s="3106" t="s">
        <v>2491</v>
      </c>
      <c r="D47" s="3107"/>
      <c r="E47" s="3108">
        <v>1</v>
      </c>
      <c r="F47" s="3105" t="s">
        <v>2492</v>
      </c>
      <c r="G47" s="3105"/>
    </row>
    <row r="48" spans="1:7" ht="19.5" customHeight="1">
      <c r="A48" s="3775"/>
      <c r="B48" s="3768"/>
      <c r="C48" s="3106" t="s">
        <v>2493</v>
      </c>
      <c r="D48" s="3107"/>
      <c r="E48" s="3108">
        <v>1</v>
      </c>
      <c r="F48" s="3105" t="s">
        <v>2494</v>
      </c>
      <c r="G48" s="3105"/>
    </row>
    <row r="49" spans="1:7" ht="19.5" customHeight="1">
      <c r="A49" s="3775"/>
      <c r="B49" s="3768"/>
      <c r="C49" s="3106" t="s">
        <v>2495</v>
      </c>
      <c r="D49" s="3107"/>
      <c r="E49" s="3108">
        <v>1</v>
      </c>
      <c r="F49" s="3105" t="s">
        <v>2496</v>
      </c>
      <c r="G49" s="3105"/>
    </row>
    <row r="50" spans="1:7" ht="19.5" customHeight="1">
      <c r="A50" s="3775"/>
      <c r="B50" s="3768"/>
      <c r="C50" s="3106" t="s">
        <v>2497</v>
      </c>
      <c r="D50" s="3107"/>
      <c r="E50" s="3108">
        <v>1</v>
      </c>
      <c r="F50" s="3105" t="s">
        <v>2498</v>
      </c>
      <c r="G50" s="3105"/>
    </row>
    <row r="51" spans="1:7" ht="19.5" customHeight="1" thickBot="1">
      <c r="A51" s="3776"/>
      <c r="B51" s="3769"/>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3" t="s">
        <v>2652</v>
      </c>
      <c r="C73" s="3091" t="s">
        <v>2653</v>
      </c>
      <c r="D73" s="3091" t="s">
        <v>2654</v>
      </c>
      <c r="E73" s="3117">
        <v>0.2</v>
      </c>
      <c r="F73" s="3117">
        <v>25</v>
      </c>
    </row>
    <row r="74" spans="1:7" ht="24">
      <c r="A74" s="3117">
        <v>2</v>
      </c>
      <c r="B74" s="3768"/>
      <c r="C74" s="3091" t="s">
        <v>2655</v>
      </c>
      <c r="D74" s="3091" t="s">
        <v>2656</v>
      </c>
      <c r="E74" s="3117">
        <v>0.2</v>
      </c>
      <c r="F74" s="3117">
        <v>25</v>
      </c>
    </row>
    <row r="75" spans="1:7" ht="24">
      <c r="A75" s="3117">
        <v>3</v>
      </c>
      <c r="B75" s="3768"/>
      <c r="C75" s="3091" t="s">
        <v>2657</v>
      </c>
      <c r="D75" s="3091" t="s">
        <v>2658</v>
      </c>
      <c r="E75" s="3117">
        <v>0.2</v>
      </c>
      <c r="F75" s="3117">
        <v>25</v>
      </c>
    </row>
    <row r="76" spans="1:7" ht="13.5">
      <c r="A76" s="3117">
        <v>4</v>
      </c>
      <c r="B76" s="3768"/>
      <c r="C76" s="3091" t="s">
        <v>2659</v>
      </c>
      <c r="D76" s="3091" t="s">
        <v>2660</v>
      </c>
      <c r="E76" s="3117">
        <v>0.15</v>
      </c>
      <c r="F76" s="3117">
        <v>20</v>
      </c>
    </row>
    <row r="77" spans="1:7" ht="24">
      <c r="A77" s="3117">
        <v>5</v>
      </c>
      <c r="B77" s="3768"/>
      <c r="C77" s="3091" t="s">
        <v>2661</v>
      </c>
      <c r="D77" s="3091" t="s">
        <v>2662</v>
      </c>
      <c r="E77" s="3117">
        <v>0.15</v>
      </c>
      <c r="F77" s="3117">
        <v>20</v>
      </c>
    </row>
    <row r="78" spans="1:7" ht="24">
      <c r="A78" s="3117">
        <v>6</v>
      </c>
      <c r="B78" s="3768"/>
      <c r="C78" s="3091" t="s">
        <v>2663</v>
      </c>
      <c r="D78" s="3091" t="s">
        <v>2664</v>
      </c>
      <c r="E78" s="3117">
        <v>0.15</v>
      </c>
      <c r="F78" s="3117">
        <v>20</v>
      </c>
    </row>
    <row r="79" spans="1:7" ht="24">
      <c r="A79" s="3117">
        <v>7</v>
      </c>
      <c r="B79" s="3768"/>
      <c r="C79" s="3091" t="s">
        <v>2665</v>
      </c>
      <c r="D79" s="3091" t="s">
        <v>2666</v>
      </c>
      <c r="E79" s="3117">
        <v>0.15</v>
      </c>
      <c r="F79" s="3117">
        <v>20</v>
      </c>
    </row>
    <row r="80" spans="1:7" ht="24">
      <c r="A80" s="3117">
        <v>8</v>
      </c>
      <c r="B80" s="3768"/>
      <c r="C80" s="3091" t="s">
        <v>2667</v>
      </c>
      <c r="D80" s="3091" t="s">
        <v>2668</v>
      </c>
      <c r="E80" s="3117">
        <v>0.1</v>
      </c>
      <c r="F80" s="3117">
        <v>15</v>
      </c>
    </row>
    <row r="81" spans="1:6" ht="24">
      <c r="A81" s="3117">
        <v>9</v>
      </c>
      <c r="B81" s="3768"/>
      <c r="C81" s="3091" t="s">
        <v>2669</v>
      </c>
      <c r="D81" s="3091" t="s">
        <v>2670</v>
      </c>
      <c r="E81" s="3117">
        <v>0.1</v>
      </c>
      <c r="F81" s="3117">
        <v>15</v>
      </c>
    </row>
    <row r="82" spans="1:6" ht="24">
      <c r="A82" s="3117">
        <v>10</v>
      </c>
      <c r="B82" s="3768"/>
      <c r="C82" s="3091" t="s">
        <v>2671</v>
      </c>
      <c r="D82" s="3091" t="s">
        <v>2672</v>
      </c>
      <c r="E82" s="3117">
        <v>0.1</v>
      </c>
      <c r="F82" s="3117">
        <v>15</v>
      </c>
    </row>
    <row r="83" spans="1:6" ht="24">
      <c r="A83" s="3117">
        <v>11</v>
      </c>
      <c r="B83" s="3768"/>
      <c r="C83" s="3091" t="s">
        <v>2673</v>
      </c>
      <c r="D83" s="3091" t="s">
        <v>2674</v>
      </c>
      <c r="E83" s="3117">
        <v>0.1</v>
      </c>
      <c r="F83" s="3117">
        <v>15</v>
      </c>
    </row>
    <row r="84" spans="1:6" ht="24">
      <c r="A84" s="3117">
        <v>12</v>
      </c>
      <c r="B84" s="3768"/>
      <c r="C84" s="3091" t="s">
        <v>2675</v>
      </c>
      <c r="D84" s="3091" t="s">
        <v>2676</v>
      </c>
      <c r="E84" s="3117">
        <v>0.1</v>
      </c>
      <c r="F84" s="3117">
        <v>15</v>
      </c>
    </row>
    <row r="85" spans="1:6" ht="13.5">
      <c r="A85" s="3117">
        <v>13</v>
      </c>
      <c r="B85" s="3768"/>
      <c r="C85" s="3091" t="s">
        <v>2677</v>
      </c>
      <c r="D85" s="3091" t="s">
        <v>2678</v>
      </c>
      <c r="E85" s="3117">
        <v>0.1</v>
      </c>
      <c r="F85" s="3117">
        <v>15</v>
      </c>
    </row>
    <row r="86" spans="1:6" ht="13.5">
      <c r="A86" s="3117">
        <v>14</v>
      </c>
      <c r="B86" s="3768"/>
      <c r="C86" s="3091" t="s">
        <v>2679</v>
      </c>
      <c r="D86" s="3091" t="s">
        <v>2680</v>
      </c>
      <c r="E86" s="3117">
        <v>0.1</v>
      </c>
      <c r="F86" s="3117">
        <v>15</v>
      </c>
    </row>
    <row r="87" spans="1:6" ht="13.5">
      <c r="A87" s="3117">
        <v>15</v>
      </c>
      <c r="B87" s="3768"/>
      <c r="C87" s="3091" t="s">
        <v>2681</v>
      </c>
      <c r="D87" s="3091" t="s">
        <v>2682</v>
      </c>
      <c r="E87" s="3117">
        <v>0.1</v>
      </c>
      <c r="F87" s="3117">
        <v>15</v>
      </c>
    </row>
    <row r="88" spans="1:6" ht="24">
      <c r="A88" s="3117">
        <v>16</v>
      </c>
      <c r="B88" s="3768"/>
      <c r="C88" s="3091" t="s">
        <v>2683</v>
      </c>
      <c r="D88" s="3091" t="s">
        <v>2684</v>
      </c>
      <c r="E88" s="3117">
        <v>0.1</v>
      </c>
      <c r="F88" s="3117">
        <v>15</v>
      </c>
    </row>
    <row r="89" spans="1:6" ht="24">
      <c r="A89" s="3117">
        <v>17</v>
      </c>
      <c r="B89" s="3777"/>
      <c r="C89" s="3091" t="s">
        <v>2685</v>
      </c>
      <c r="D89" s="3091" t="s">
        <v>2686</v>
      </c>
      <c r="E89" s="3117">
        <v>0.1</v>
      </c>
      <c r="F89" s="3117">
        <v>15</v>
      </c>
    </row>
    <row r="90" spans="1:6" ht="13.5">
      <c r="A90" s="3117">
        <v>18</v>
      </c>
      <c r="B90" s="3773" t="s">
        <v>2687</v>
      </c>
      <c r="C90" s="3091" t="s">
        <v>2688</v>
      </c>
      <c r="D90" s="3091" t="s">
        <v>2689</v>
      </c>
      <c r="E90" s="3117">
        <v>0.2</v>
      </c>
      <c r="F90" s="3117">
        <v>25</v>
      </c>
    </row>
    <row r="91" spans="1:6" ht="24">
      <c r="A91" s="3117">
        <v>19</v>
      </c>
      <c r="B91" s="3768"/>
      <c r="C91" s="3091" t="s">
        <v>2690</v>
      </c>
      <c r="D91" s="3091" t="s">
        <v>2691</v>
      </c>
      <c r="E91" s="3117">
        <v>0.2</v>
      </c>
      <c r="F91" s="3117">
        <v>25</v>
      </c>
    </row>
    <row r="92" spans="1:6" ht="13.5">
      <c r="A92" s="3117">
        <v>20</v>
      </c>
      <c r="B92" s="3768"/>
      <c r="C92" s="3091" t="s">
        <v>2692</v>
      </c>
      <c r="D92" s="3091" t="s">
        <v>2693</v>
      </c>
      <c r="E92" s="3117">
        <v>0.15</v>
      </c>
      <c r="F92" s="3117">
        <v>20</v>
      </c>
    </row>
    <row r="93" spans="1:6" ht="13.5">
      <c r="A93" s="3117">
        <v>21</v>
      </c>
      <c r="B93" s="3768"/>
      <c r="C93" s="3091" t="s">
        <v>2694</v>
      </c>
      <c r="D93" s="3091" t="s">
        <v>2695</v>
      </c>
      <c r="E93" s="3117">
        <v>0.15</v>
      </c>
      <c r="F93" s="3117">
        <v>20</v>
      </c>
    </row>
    <row r="94" spans="1:6" ht="13.5">
      <c r="A94" s="3117">
        <v>22</v>
      </c>
      <c r="B94" s="3768"/>
      <c r="C94" s="3091" t="s">
        <v>2696</v>
      </c>
      <c r="D94" s="3091" t="s">
        <v>2697</v>
      </c>
      <c r="E94" s="3117">
        <v>0.15</v>
      </c>
      <c r="F94" s="3117">
        <v>20</v>
      </c>
    </row>
    <row r="95" spans="1:6" ht="36">
      <c r="A95" s="3117">
        <v>23</v>
      </c>
      <c r="B95" s="3768"/>
      <c r="C95" s="3091" t="s">
        <v>2698</v>
      </c>
      <c r="D95" s="3091" t="s">
        <v>2699</v>
      </c>
      <c r="E95" s="3117">
        <v>0.15</v>
      </c>
      <c r="F95" s="3117">
        <v>20</v>
      </c>
    </row>
    <row r="96" spans="1:6" ht="13.5">
      <c r="A96" s="3117">
        <v>24</v>
      </c>
      <c r="B96" s="3768"/>
      <c r="C96" s="3091" t="s">
        <v>2700</v>
      </c>
      <c r="D96" s="3091" t="s">
        <v>2701</v>
      </c>
      <c r="E96" s="3117">
        <v>0.1</v>
      </c>
      <c r="F96" s="3117">
        <v>15</v>
      </c>
    </row>
    <row r="97" spans="1:6" ht="13.5">
      <c r="A97" s="3117">
        <v>25</v>
      </c>
      <c r="B97" s="3768"/>
      <c r="C97" s="3091" t="s">
        <v>2702</v>
      </c>
      <c r="D97" s="3091" t="s">
        <v>2703</v>
      </c>
      <c r="E97" s="3117">
        <v>0.1</v>
      </c>
      <c r="F97" s="3117">
        <v>15</v>
      </c>
    </row>
    <row r="98" spans="1:6" ht="24">
      <c r="A98" s="3117">
        <v>26</v>
      </c>
      <c r="B98" s="3768"/>
      <c r="C98" s="3091" t="s">
        <v>2704</v>
      </c>
      <c r="D98" s="3091" t="s">
        <v>2705</v>
      </c>
      <c r="E98" s="3117">
        <v>0.1</v>
      </c>
      <c r="F98" s="3117">
        <v>15</v>
      </c>
    </row>
    <row r="99" spans="1:6" ht="24">
      <c r="A99" s="3117">
        <v>27</v>
      </c>
      <c r="B99" s="3768"/>
      <c r="C99" s="3091" t="s">
        <v>2706</v>
      </c>
      <c r="D99" s="3091" t="s">
        <v>2707</v>
      </c>
      <c r="E99" s="3117">
        <v>0.1</v>
      </c>
      <c r="F99" s="3117">
        <v>15</v>
      </c>
    </row>
    <row r="100" spans="1:6" ht="13.5">
      <c r="A100" s="3117">
        <v>28</v>
      </c>
      <c r="B100" s="3768"/>
      <c r="C100" s="3091" t="s">
        <v>2708</v>
      </c>
      <c r="D100" s="3091" t="s">
        <v>2709</v>
      </c>
      <c r="E100" s="3117">
        <v>0.1</v>
      </c>
      <c r="F100" s="3117">
        <v>15</v>
      </c>
    </row>
    <row r="101" spans="1:6" ht="13.5">
      <c r="A101" s="3117">
        <v>29</v>
      </c>
      <c r="B101" s="3768"/>
      <c r="C101" s="3091" t="s">
        <v>2710</v>
      </c>
      <c r="D101" s="3091" t="s">
        <v>2711</v>
      </c>
      <c r="E101" s="3117">
        <v>0.1</v>
      </c>
      <c r="F101" s="3117">
        <v>15</v>
      </c>
    </row>
    <row r="102" spans="1:6" ht="13.5">
      <c r="A102" s="3117">
        <v>30</v>
      </c>
      <c r="B102" s="3768"/>
      <c r="C102" s="3091" t="s">
        <v>2712</v>
      </c>
      <c r="D102" s="3091" t="s">
        <v>2713</v>
      </c>
      <c r="E102" s="3117">
        <v>0.1</v>
      </c>
      <c r="F102" s="3117">
        <v>15</v>
      </c>
    </row>
    <row r="103" spans="1:6" ht="24">
      <c r="A103" s="3117">
        <v>31</v>
      </c>
      <c r="B103" s="3768"/>
      <c r="C103" s="3091" t="s">
        <v>2714</v>
      </c>
      <c r="D103" s="3091" t="s">
        <v>2715</v>
      </c>
      <c r="E103" s="3117">
        <v>0.1</v>
      </c>
      <c r="F103" s="3117">
        <v>15</v>
      </c>
    </row>
    <row r="104" spans="1:6" ht="24">
      <c r="A104" s="3117">
        <v>32</v>
      </c>
      <c r="B104" s="3768"/>
      <c r="C104" s="3091" t="s">
        <v>2716</v>
      </c>
      <c r="D104" s="3091" t="s">
        <v>2717</v>
      </c>
      <c r="E104" s="3117">
        <v>0.1</v>
      </c>
      <c r="F104" s="3117">
        <v>15</v>
      </c>
    </row>
    <row r="105" spans="1:6" ht="24">
      <c r="A105" s="3117">
        <v>33</v>
      </c>
      <c r="B105" s="3768"/>
      <c r="C105" s="3091" t="s">
        <v>2718</v>
      </c>
      <c r="D105" s="3091" t="s">
        <v>2719</v>
      </c>
      <c r="E105" s="3117">
        <v>0.1</v>
      </c>
      <c r="F105" s="3117">
        <v>15</v>
      </c>
    </row>
    <row r="106" spans="1:6" ht="24">
      <c r="A106" s="3117">
        <v>34</v>
      </c>
      <c r="B106" s="3777"/>
      <c r="C106" s="3091" t="s">
        <v>2720</v>
      </c>
      <c r="D106" s="3091" t="s">
        <v>2721</v>
      </c>
      <c r="E106" s="3117">
        <v>0.1</v>
      </c>
      <c r="F106" s="3117">
        <v>15</v>
      </c>
    </row>
    <row r="107" spans="1:6" ht="24">
      <c r="A107" s="3117">
        <v>35</v>
      </c>
      <c r="B107" s="3773" t="s">
        <v>2722</v>
      </c>
      <c r="C107" s="3117" t="s">
        <v>2723</v>
      </c>
      <c r="D107" s="3091" t="s">
        <v>2724</v>
      </c>
      <c r="E107" s="3117">
        <v>0.15</v>
      </c>
      <c r="F107" s="3117">
        <v>20</v>
      </c>
    </row>
    <row r="108" spans="1:6" ht="13.5">
      <c r="A108" s="3117">
        <v>36</v>
      </c>
      <c r="B108" s="3768"/>
      <c r="C108" s="3117" t="s">
        <v>2725</v>
      </c>
      <c r="D108" s="3091" t="s">
        <v>2726</v>
      </c>
      <c r="E108" s="3117">
        <v>0.15</v>
      </c>
      <c r="F108" s="3117">
        <v>20</v>
      </c>
    </row>
    <row r="109" spans="1:6" ht="13.5">
      <c r="A109" s="3117">
        <v>37</v>
      </c>
      <c r="B109" s="3768"/>
      <c r="C109" s="3117" t="s">
        <v>2727</v>
      </c>
      <c r="D109" s="3091" t="s">
        <v>2728</v>
      </c>
      <c r="E109" s="3117">
        <v>0.15</v>
      </c>
      <c r="F109" s="3117">
        <v>20</v>
      </c>
    </row>
    <row r="110" spans="1:6" ht="13.5">
      <c r="A110" s="3117">
        <v>38</v>
      </c>
      <c r="B110" s="3768"/>
      <c r="C110" s="3117" t="s">
        <v>2729</v>
      </c>
      <c r="D110" s="3091" t="s">
        <v>2730</v>
      </c>
      <c r="E110" s="3117">
        <v>0.1</v>
      </c>
      <c r="F110" s="3117">
        <v>15</v>
      </c>
    </row>
    <row r="111" spans="1:6" ht="24">
      <c r="A111" s="3117">
        <v>39</v>
      </c>
      <c r="B111" s="3768"/>
      <c r="C111" s="3117" t="s">
        <v>2731</v>
      </c>
      <c r="D111" s="3091" t="s">
        <v>2732</v>
      </c>
      <c r="E111" s="3117">
        <v>0.1</v>
      </c>
      <c r="F111" s="3117">
        <v>15</v>
      </c>
    </row>
    <row r="112" spans="1:6" ht="24">
      <c r="A112" s="3117">
        <v>40</v>
      </c>
      <c r="B112" s="3777"/>
      <c r="C112" s="3117" t="s">
        <v>2733</v>
      </c>
      <c r="D112" s="3091" t="s">
        <v>2734</v>
      </c>
      <c r="E112" s="3117">
        <v>0.1</v>
      </c>
      <c r="F112" s="3117">
        <v>15</v>
      </c>
    </row>
    <row r="113" spans="1:6" ht="13.5">
      <c r="A113" s="3117">
        <v>41</v>
      </c>
      <c r="B113" s="3778" t="s">
        <v>2735</v>
      </c>
      <c r="C113" s="3117" t="s">
        <v>2736</v>
      </c>
      <c r="D113" s="3091" t="s">
        <v>2737</v>
      </c>
      <c r="E113" s="3117">
        <v>0.1</v>
      </c>
      <c r="F113" s="3117">
        <v>15</v>
      </c>
    </row>
    <row r="114" spans="1:6" ht="13.5">
      <c r="A114" s="3117">
        <v>42</v>
      </c>
      <c r="B114" s="3778"/>
      <c r="C114" s="3117" t="s">
        <v>2738</v>
      </c>
      <c r="D114" s="3091" t="s">
        <v>2739</v>
      </c>
      <c r="E114" s="3117">
        <v>0.1</v>
      </c>
      <c r="F114" s="3117">
        <v>15</v>
      </c>
    </row>
    <row r="115" spans="1:6" ht="24">
      <c r="A115" s="3117">
        <v>43</v>
      </c>
      <c r="B115" s="3778"/>
      <c r="C115" s="3117" t="s">
        <v>2740</v>
      </c>
      <c r="D115" s="3091" t="s">
        <v>2741</v>
      </c>
      <c r="E115" s="3117">
        <v>0.1</v>
      </c>
      <c r="F115" s="3117">
        <v>15</v>
      </c>
    </row>
    <row r="116" spans="1:6" ht="13.5">
      <c r="A116" s="3117">
        <v>44</v>
      </c>
      <c r="B116" s="3773" t="s">
        <v>2742</v>
      </c>
      <c r="C116" s="3117" t="s">
        <v>2743</v>
      </c>
      <c r="D116" s="3091" t="s">
        <v>2744</v>
      </c>
      <c r="E116" s="3117">
        <v>0.1</v>
      </c>
      <c r="F116" s="3117">
        <v>15</v>
      </c>
    </row>
    <row r="117" spans="1:6" ht="24">
      <c r="A117" s="3117">
        <v>45</v>
      </c>
      <c r="B117" s="3777"/>
      <c r="C117" s="3091" t="s">
        <v>2745</v>
      </c>
      <c r="D117" s="3091" t="s">
        <v>2746</v>
      </c>
      <c r="E117" s="3117">
        <v>0.1</v>
      </c>
      <c r="F117" s="3117">
        <v>15</v>
      </c>
    </row>
    <row r="118" spans="1:6" ht="24">
      <c r="A118" s="3117">
        <v>46</v>
      </c>
      <c r="B118" s="3773" t="s">
        <v>2747</v>
      </c>
      <c r="C118" s="3117" t="s">
        <v>2748</v>
      </c>
      <c r="D118" s="3091" t="s">
        <v>2749</v>
      </c>
      <c r="E118" s="3117">
        <v>0.1</v>
      </c>
      <c r="F118" s="3117">
        <v>15</v>
      </c>
    </row>
    <row r="119" spans="1:6" ht="24">
      <c r="A119" s="3117">
        <v>47</v>
      </c>
      <c r="B119" s="3777"/>
      <c r="C119" s="3117" t="s">
        <v>2750</v>
      </c>
      <c r="D119" s="3091" t="s">
        <v>2751</v>
      </c>
      <c r="E119" s="3117">
        <v>0.1</v>
      </c>
      <c r="F119" s="3117">
        <v>15</v>
      </c>
    </row>
    <row r="120" spans="1:6" ht="13.5">
      <c r="A120" s="3117">
        <v>48</v>
      </c>
      <c r="B120" s="3773" t="s">
        <v>2752</v>
      </c>
      <c r="C120" s="3117" t="s">
        <v>2753</v>
      </c>
      <c r="D120" s="3091" t="s">
        <v>2754</v>
      </c>
      <c r="E120" s="3117">
        <v>0.1</v>
      </c>
      <c r="F120" s="3117">
        <v>15</v>
      </c>
    </row>
    <row r="121" spans="1:6" ht="13.5">
      <c r="A121" s="3117">
        <v>49</v>
      </c>
      <c r="B121" s="3777"/>
      <c r="C121" s="3117" t="s">
        <v>2755</v>
      </c>
      <c r="D121" s="3091" t="s">
        <v>2756</v>
      </c>
      <c r="E121" s="3117">
        <v>0.1</v>
      </c>
      <c r="F121" s="3117">
        <v>15</v>
      </c>
    </row>
    <row r="122" spans="1:6" ht="24">
      <c r="A122" s="3117">
        <v>50</v>
      </c>
      <c r="B122" s="3778" t="s">
        <v>2757</v>
      </c>
      <c r="C122" s="3117" t="s">
        <v>2758</v>
      </c>
      <c r="D122" s="3091" t="s">
        <v>2759</v>
      </c>
      <c r="E122" s="3117">
        <v>0.1</v>
      </c>
      <c r="F122" s="3117">
        <v>15</v>
      </c>
    </row>
    <row r="123" spans="1:6" ht="24">
      <c r="A123" s="3117">
        <v>51</v>
      </c>
      <c r="B123" s="3778"/>
      <c r="C123" s="3117" t="s">
        <v>2760</v>
      </c>
      <c r="D123" s="3091" t="s">
        <v>2761</v>
      </c>
      <c r="E123" s="3117">
        <v>0.1</v>
      </c>
      <c r="F123" s="3117">
        <v>15</v>
      </c>
    </row>
    <row r="124" spans="1:6" ht="24">
      <c r="A124" s="3117">
        <v>52</v>
      </c>
      <c r="B124" s="3778" t="s">
        <v>2762</v>
      </c>
      <c r="C124" s="3117" t="s">
        <v>2763</v>
      </c>
      <c r="D124" s="3091" t="s">
        <v>2764</v>
      </c>
      <c r="E124" s="3117">
        <v>0.1</v>
      </c>
      <c r="F124" s="3117">
        <v>15</v>
      </c>
    </row>
    <row r="125" spans="1:6" ht="24">
      <c r="A125" s="3117">
        <v>53</v>
      </c>
      <c r="B125" s="3778"/>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8" t="s">
        <v>2770</v>
      </c>
      <c r="C127" s="3117" t="s">
        <v>2771</v>
      </c>
      <c r="D127" s="3091" t="s">
        <v>2772</v>
      </c>
      <c r="E127" s="3117">
        <v>0.1</v>
      </c>
      <c r="F127" s="3117">
        <v>15</v>
      </c>
    </row>
    <row r="128" spans="1:6" ht="13.5">
      <c r="A128" s="3117">
        <v>56</v>
      </c>
      <c r="B128" s="3778"/>
      <c r="C128" s="3117" t="s">
        <v>2773</v>
      </c>
      <c r="D128" s="3091" t="s">
        <v>2774</v>
      </c>
      <c r="E128" s="3117">
        <v>0.1</v>
      </c>
      <c r="F128" s="3117">
        <v>15</v>
      </c>
    </row>
    <row r="129" spans="1:6" ht="24">
      <c r="A129" s="3117">
        <v>57</v>
      </c>
      <c r="B129" s="3778"/>
      <c r="C129" s="3117" t="s">
        <v>2775</v>
      </c>
      <c r="D129" s="3091" t="s">
        <v>2776</v>
      </c>
      <c r="E129" s="3117">
        <v>0.1</v>
      </c>
      <c r="F129" s="3117">
        <v>15</v>
      </c>
    </row>
    <row r="130" spans="1:6" ht="24">
      <c r="A130" s="3117">
        <v>58</v>
      </c>
      <c r="B130" s="3778" t="s">
        <v>2777</v>
      </c>
      <c r="C130" s="3117" t="s">
        <v>2778</v>
      </c>
      <c r="D130" s="3091" t="s">
        <v>2779</v>
      </c>
      <c r="E130" s="3117">
        <v>0.1</v>
      </c>
      <c r="F130" s="3117">
        <v>15</v>
      </c>
    </row>
    <row r="131" spans="1:6" ht="13.5">
      <c r="A131" s="3117">
        <v>59</v>
      </c>
      <c r="B131" s="3778"/>
      <c r="C131" s="3117" t="s">
        <v>2780</v>
      </c>
      <c r="D131" s="3091" t="s">
        <v>2781</v>
      </c>
      <c r="E131" s="3117">
        <v>0.1</v>
      </c>
      <c r="F131" s="3117">
        <v>15</v>
      </c>
    </row>
    <row r="132" spans="1:6" ht="13.5">
      <c r="A132" s="3117">
        <v>60</v>
      </c>
      <c r="B132" s="3773" t="s">
        <v>2782</v>
      </c>
      <c r="C132" s="3117" t="s">
        <v>2783</v>
      </c>
      <c r="D132" s="3091" t="s">
        <v>2784</v>
      </c>
      <c r="E132" s="3117">
        <v>0.1</v>
      </c>
      <c r="F132" s="3117">
        <v>15</v>
      </c>
    </row>
    <row r="133" spans="1:6" ht="13.5">
      <c r="A133" s="3117">
        <v>61</v>
      </c>
      <c r="B133" s="3777"/>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8" t="s">
        <v>2790</v>
      </c>
      <c r="C135" s="3117" t="s">
        <v>2791</v>
      </c>
      <c r="D135" s="3091" t="s">
        <v>2792</v>
      </c>
      <c r="E135" s="3117">
        <v>0.1</v>
      </c>
      <c r="F135" s="3117">
        <v>15</v>
      </c>
    </row>
    <row r="136" spans="1:6" ht="13.5">
      <c r="A136" s="3117">
        <v>64</v>
      </c>
      <c r="B136" s="3778"/>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3"/>
      <c r="B4" s="3463" t="s">
        <v>917</v>
      </c>
      <c r="C4" s="3463"/>
      <c r="D4" s="3463"/>
      <c r="E4" s="1493"/>
    </row>
    <row r="5" spans="1:5" ht="16.5" thickTop="1">
      <c r="A5" s="1491"/>
      <c r="B5" s="3461" t="s">
        <v>909</v>
      </c>
      <c r="C5" s="1494" t="s">
        <v>910</v>
      </c>
      <c r="D5" s="850" t="e">
        <f ca="1">结果表!H101</f>
        <v>#REF!</v>
      </c>
      <c r="E5" s="1491"/>
    </row>
    <row r="6" spans="1:5" ht="15.75">
      <c r="A6" s="1491"/>
      <c r="B6" s="3461"/>
      <c r="C6" s="1494" t="s">
        <v>911</v>
      </c>
      <c r="D6" s="850" t="e">
        <f ca="1">NUMBERSTRING(INT(D5*10000),2)&amp;"元整"</f>
        <v>#REF!</v>
      </c>
      <c r="E6" s="1491"/>
    </row>
    <row r="7" spans="1:5" ht="15.75">
      <c r="A7" s="1491"/>
      <c r="B7" s="3466"/>
      <c r="C7" s="1495" t="s">
        <v>912</v>
      </c>
      <c r="D7" s="851" t="e">
        <f ca="1">结果表!H102</f>
        <v>#REF!</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t="e">
        <f ca="1">结果表!H107</f>
        <v>#REF!</v>
      </c>
      <c r="E13" s="1491"/>
    </row>
    <row r="14" spans="1:5" ht="15.75">
      <c r="A14" s="1491"/>
      <c r="B14" s="3461"/>
      <c r="C14" s="1494" t="s">
        <v>911</v>
      </c>
      <c r="D14" s="850" t="e">
        <f ca="1">NUMBERSTRING(INT(D13*10000),2)&amp;"元整"</f>
        <v>#REF!</v>
      </c>
      <c r="E14" s="1491"/>
    </row>
    <row r="15" spans="1:5" ht="15">
      <c r="A15" s="1491"/>
      <c r="B15" s="3466"/>
      <c r="C15" s="1495" t="s">
        <v>921</v>
      </c>
      <c r="D15" s="859" t="e">
        <f ca="1">结果表!H108</f>
        <v>#REF!</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0</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29583</v>
      </c>
      <c r="C2" s="2" t="s">
        <v>106</v>
      </c>
      <c r="D2" s="199"/>
      <c r="E2" s="199"/>
      <c r="F2" s="199"/>
      <c r="G2" s="199"/>
    </row>
    <row r="3" spans="1:7" s="200" customFormat="1" ht="18" customHeight="1" thickBot="1">
      <c r="A3" s="203" t="s">
        <v>58</v>
      </c>
      <c r="B3" s="204">
        <f ca="1">ROUND(B2*10000/'数据-汇总表'!E3,0)</f>
        <v>3263431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90.65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90.65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90.65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1E-3</v>
      </c>
      <c r="D44" s="238"/>
      <c r="E44" s="238"/>
      <c r="F44" s="239"/>
      <c r="G44" s="3644"/>
    </row>
    <row r="45" spans="1:7" s="214" customFormat="1" ht="13.5" customHeight="1">
      <c r="A45" s="777" t="s">
        <v>341</v>
      </c>
      <c r="B45" s="244" t="s">
        <v>85</v>
      </c>
      <c r="C45" s="245">
        <f>C46</f>
        <v>8</v>
      </c>
      <c r="D45" s="235">
        <f>C47</f>
        <v>4.0000000000000001E-3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55</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44</v>
      </c>
      <c r="D51" s="232"/>
      <c r="E51" s="232"/>
      <c r="F51" s="264"/>
      <c r="G51" s="234" t="s">
        <v>37</v>
      </c>
    </row>
    <row r="52" spans="1:7" s="208" customFormat="1" ht="16.5" thickBot="1">
      <c r="A52" s="265" t="s">
        <v>38</v>
      </c>
      <c r="B52" s="266"/>
      <c r="C52" s="267">
        <f ca="1">C31+C51</f>
        <v>29583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1" t="s">
        <v>2840</v>
      </c>
      <c r="B1" s="3781"/>
      <c r="C1" s="3781"/>
      <c r="D1" s="3781"/>
      <c r="E1" s="3781"/>
      <c r="F1" s="3781"/>
      <c r="G1" s="3782"/>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79"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80"/>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3" t="s">
        <v>3182</v>
      </c>
      <c r="B1" s="3783"/>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4" t="s">
        <v>3233</v>
      </c>
      <c r="B1" s="3784"/>
      <c r="C1" s="3784"/>
      <c r="D1" s="3784"/>
      <c r="E1" s="3784"/>
      <c r="F1" s="3785"/>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45366</v>
      </c>
      <c r="B1" s="3209" t="s">
        <v>3372</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3377</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3378</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2826</v>
      </c>
    </row>
    <row r="22" spans="1:30" s="3008" customFormat="1"/>
    <row r="23" spans="1:30" s="3208" customFormat="1" ht="12.75">
      <c r="B23" s="3209" t="s">
        <v>3373</v>
      </c>
      <c r="C23" s="3210"/>
      <c r="D23" s="3210"/>
      <c r="E23" s="3210"/>
      <c r="F23" s="3210"/>
      <c r="G23" s="3210"/>
      <c r="H23" s="3210"/>
      <c r="I23" s="3210"/>
      <c r="J23" s="3164"/>
      <c r="K23" s="3210" t="s">
        <v>2827</v>
      </c>
      <c r="L23" s="3210"/>
      <c r="M23" s="3210"/>
      <c r="N23" s="3210"/>
      <c r="O23" s="3210"/>
      <c r="P23" s="3210"/>
      <c r="Q23" s="3164"/>
      <c r="R23" s="3786" t="s">
        <v>2828</v>
      </c>
      <c r="S23" s="3787"/>
      <c r="T23" s="3787"/>
      <c r="U23" s="3787"/>
      <c r="V23" s="3787"/>
      <c r="W23" s="3787"/>
      <c r="X23" s="3164"/>
      <c r="Y23" s="3786" t="s">
        <v>2829</v>
      </c>
      <c r="Z23" s="3787"/>
      <c r="AA23" s="3787"/>
      <c r="AB23" s="3787"/>
      <c r="AC23" s="3787"/>
      <c r="AD23" s="3787"/>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3379</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3378</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2311</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90.65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82" t="str">
        <f>IF(项目基本情况!B8="抵押","3.抵押双方在办理抵押登记手续时，应使用本公司出具的正式《房地产评估报告》，特提醒报告使用者注意。","——")</f>
        <v>——</v>
      </c>
      <c r="B13" s="3483"/>
      <c r="C13" s="3483"/>
      <c r="D13" s="3483"/>
    </row>
    <row r="14" spans="1:4" ht="15.75" customHeight="1">
      <c r="A14" s="3482" t="str">
        <f>IF(项目基本情况!B8="抵押","4.本次评估估价师所知悉的法定优先受偿款情况说明如下：","——")</f>
        <v>——</v>
      </c>
      <c r="B14" s="3483"/>
      <c r="C14" s="3483"/>
      <c r="D14" s="3483"/>
    </row>
    <row r="15" spans="1:4" ht="42" customHeight="1">
      <c r="A15" s="3482" t="str">
        <f>IF(项目基本情况!B8="抵押","（1）"&amp;CONCATENATE(项目基本情况!L20,项目基本情况!L21,项目基本情况!L22),"——")</f>
        <v>——</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假设开发法 (2)</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'假设开发法 (2)'!Print_Area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2024-03-28T07:58:12Z</dcterms:modified>
</cp:coreProperties>
</file>