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70" yWindow="45" windowWidth="14895" windowHeight="1224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不动产收益法"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40" hidden="1">土地案例!$A$9:$AT$59</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29">'不动产比较法-住宅'!$A$1:$K$54,'不动产比较法-住宅'!$A$57:$M$131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3" i="69" l="1"/>
  <c r="D73" i="69"/>
  <c r="E73" i="69"/>
  <c r="B73" i="69"/>
  <c r="K50" i="69" l="1"/>
  <c r="I50" i="69"/>
  <c r="D50" i="69"/>
  <c r="C49" i="69"/>
  <c r="D49" i="69"/>
  <c r="E49" i="69"/>
  <c r="F49" i="69"/>
  <c r="G49" i="69"/>
  <c r="H49" i="69"/>
  <c r="I49" i="69"/>
  <c r="J49" i="69"/>
  <c r="K49" i="69"/>
  <c r="L49" i="69"/>
  <c r="M49" i="69"/>
  <c r="N49" i="69"/>
  <c r="O49" i="69"/>
  <c r="P49" i="69"/>
  <c r="B49" i="69"/>
  <c r="K59" i="21" l="1"/>
  <c r="J59" i="21"/>
  <c r="I59" i="21"/>
  <c r="C5" i="21" l="1"/>
  <c r="F122" i="21"/>
  <c r="E122" i="21"/>
  <c r="D122" i="21"/>
  <c r="C122" i="21"/>
  <c r="G116" i="21"/>
  <c r="F116" i="21"/>
  <c r="E116" i="21"/>
  <c r="D116" i="21"/>
  <c r="C116" i="21"/>
  <c r="E104" i="21"/>
  <c r="F104" i="21" s="1"/>
  <c r="G104" i="21" s="1"/>
  <c r="H104" i="21" s="1"/>
  <c r="I104" i="21" s="1"/>
  <c r="D104" i="21"/>
  <c r="H59" i="21"/>
  <c r="G59" i="21"/>
  <c r="E73" i="39"/>
  <c r="F73" i="39" s="1"/>
  <c r="G73" i="39" s="1"/>
  <c r="H73" i="39" s="1"/>
  <c r="I73" i="39" s="1"/>
  <c r="J73" i="39" s="1"/>
  <c r="K73" i="39" s="1"/>
  <c r="L73" i="39" s="1"/>
  <c r="M73" i="39" s="1"/>
  <c r="N73" i="39" s="1"/>
  <c r="D73" i="39"/>
  <c r="I48" i="39"/>
  <c r="G48" i="39"/>
  <c r="E48" i="39"/>
  <c r="I40" i="39"/>
  <c r="G40" i="39"/>
  <c r="E40" i="39"/>
  <c r="C40" i="39"/>
  <c r="I13" i="39"/>
  <c r="G13" i="39"/>
  <c r="E13" i="39"/>
  <c r="C13" i="39"/>
  <c r="C12" i="39"/>
  <c r="D127" i="39"/>
  <c r="E127" i="39"/>
  <c r="F127" i="39"/>
  <c r="G127" i="39"/>
  <c r="C127" i="39"/>
  <c r="D125" i="39"/>
  <c r="E125" i="39"/>
  <c r="F125" i="39"/>
  <c r="G125" i="39"/>
  <c r="C125" i="39"/>
  <c r="I9" i="39"/>
  <c r="G9" i="39"/>
  <c r="E9" i="39"/>
  <c r="I7" i="39"/>
  <c r="G7" i="39"/>
  <c r="E7" i="39"/>
  <c r="C7" i="39"/>
  <c r="B35" i="1"/>
  <c r="F19" i="6"/>
  <c r="I13" i="3"/>
  <c r="B6" i="4"/>
  <c r="D3" i="4"/>
  <c r="V5" i="59" l="1"/>
  <c r="U5" i="59"/>
  <c r="T5" i="59"/>
  <c r="S5" i="59"/>
  <c r="AH5" i="59"/>
  <c r="AG5" i="59"/>
  <c r="AF5" i="59"/>
  <c r="AE5" i="59"/>
  <c r="AD5" i="59"/>
  <c r="Q5" i="59"/>
  <c r="P5" i="59"/>
  <c r="O5" i="59"/>
  <c r="N5" i="59"/>
  <c r="X5" i="59" l="1"/>
  <c r="AH6" i="59"/>
  <c r="AG6" i="59"/>
  <c r="AE6" i="59"/>
  <c r="AF6" i="59" s="1"/>
  <c r="AD6" i="59"/>
  <c r="Q6" i="59"/>
  <c r="AB5" i="59" s="1"/>
  <c r="P6" i="59"/>
  <c r="AA5" i="59" s="1"/>
  <c r="O6" i="59"/>
  <c r="Y5" i="59" s="1"/>
  <c r="Z5" i="59" s="1"/>
  <c r="N6" i="59"/>
  <c r="C16" i="11" l="1"/>
  <c r="C15" i="11"/>
  <c r="C14" i="11"/>
  <c r="C9" i="11"/>
  <c r="C8" i="11"/>
  <c r="K36" i="36" l="1"/>
  <c r="K38" i="35"/>
  <c r="K42" i="37"/>
  <c r="K49" i="34"/>
  <c r="K48" i="33" l="1"/>
  <c r="K48" i="21"/>
  <c r="K44" i="40" l="1"/>
  <c r="K49" i="39"/>
  <c r="E77" i="9"/>
  <c r="F77" i="9"/>
  <c r="AH7" i="59" l="1"/>
  <c r="AG7" i="59"/>
  <c r="AE7" i="59"/>
  <c r="AF7" i="59" s="1"/>
  <c r="AD7" i="59"/>
  <c r="Q7" i="59"/>
  <c r="AB6" i="59" s="1"/>
  <c r="P7" i="59"/>
  <c r="AA6" i="59" s="1"/>
  <c r="O7" i="59"/>
  <c r="Y6" i="59" s="1"/>
  <c r="Z6" i="59" s="1"/>
  <c r="N7" i="59"/>
  <c r="X6" i="59" s="1"/>
  <c r="A21" i="31" l="1"/>
  <c r="C109" i="9" l="1"/>
  <c r="V9" i="59" l="1"/>
  <c r="U9" i="59"/>
  <c r="T9" i="59"/>
  <c r="S9" i="59"/>
  <c r="AH8" i="59" l="1"/>
  <c r="AG8" i="59"/>
  <c r="AE8" i="59"/>
  <c r="AF8" i="59" s="1"/>
  <c r="AD8" i="59"/>
  <c r="Q8" i="59"/>
  <c r="AB7" i="59" s="1"/>
  <c r="P8" i="59"/>
  <c r="AA7" i="59" s="1"/>
  <c r="O8" i="59"/>
  <c r="Y7" i="59" s="1"/>
  <c r="Z7" i="59" s="1"/>
  <c r="N8" i="59"/>
  <c r="X7" i="59" s="1"/>
  <c r="Q10" i="59" l="1"/>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c r="P75" i="15"/>
  <c r="Q74" i="44"/>
  <c r="Q61" i="44"/>
  <c r="Q60" i="44"/>
  <c r="Q53" i="44"/>
  <c r="J51" i="44"/>
  <c r="J52" i="44"/>
  <c r="M48" i="44"/>
  <c r="A16" i="55"/>
  <c r="A15" i="55"/>
  <c r="B66" i="63"/>
  <c r="A10" i="55"/>
  <c r="B61" i="63"/>
  <c r="A9" i="55"/>
  <c r="B60" i="63"/>
  <c r="A8" i="55"/>
  <c r="A6" i="54"/>
  <c r="A8" i="54"/>
  <c r="A7" i="54"/>
  <c r="A28" i="51"/>
  <c r="B21" i="63" s="1"/>
  <c r="A27" i="51"/>
  <c r="B20" i="63" s="1"/>
  <c r="Q19" i="59"/>
  <c r="AB17" i="59"/>
  <c r="O19" i="59"/>
  <c r="Y17" i="59"/>
  <c r="Z17" i="59"/>
  <c r="N20" i="59"/>
  <c r="O20" i="59"/>
  <c r="P20" i="59"/>
  <c r="Q20" i="59"/>
  <c r="N19" i="59"/>
  <c r="X17" i="59"/>
  <c r="P19" i="59"/>
  <c r="B21" i="59"/>
  <c r="C21" i="59"/>
  <c r="D21" i="59"/>
  <c r="E21" i="59"/>
  <c r="F21" i="59"/>
  <c r="K75" i="9"/>
  <c r="K6" i="4"/>
  <c r="O76" i="9" s="1"/>
  <c r="L76" i="9"/>
  <c r="B22" i="31"/>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s="1"/>
  <c r="R2" i="54"/>
  <c r="B24" i="63"/>
  <c r="B19" i="63"/>
  <c r="B49" i="50"/>
  <c r="B5" i="63"/>
  <c r="B40" i="50"/>
  <c r="B3" i="63" s="1"/>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L16" i="4" s="1"/>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Q21" i="21"/>
  <c r="Z21" i="21" s="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7" i="40"/>
  <c r="C27" i="40"/>
  <c r="C31" i="39"/>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c r="K2" i="4"/>
  <c r="A4" i="51" s="1"/>
  <c r="B6" i="63"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s="1"/>
  <c r="L19" i="6" s="1"/>
  <c r="L27" i="6" s="1"/>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H42" i="39" s="1"/>
  <c r="AB42" i="39" s="1"/>
  <c r="B106" i="39"/>
  <c r="D99" i="39"/>
  <c r="E99" i="39" s="1"/>
  <c r="F99" i="39" s="1"/>
  <c r="G99" i="39" s="1"/>
  <c r="D97" i="39"/>
  <c r="D95" i="39"/>
  <c r="E95" i="39" s="1"/>
  <c r="F95" i="39" s="1"/>
  <c r="G95" i="39" s="1"/>
  <c r="D93" i="39"/>
  <c r="E93" i="39" s="1"/>
  <c r="F93" i="39" s="1"/>
  <c r="G93" i="39" s="1"/>
  <c r="D91" i="39"/>
  <c r="E91" i="39"/>
  <c r="F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s="1"/>
  <c r="C16" i="20"/>
  <c r="B47" i="46"/>
  <c r="C15" i="20"/>
  <c r="B69" i="46" s="1"/>
  <c r="E54" i="21"/>
  <c r="F54" i="21" s="1"/>
  <c r="I54" i="21"/>
  <c r="J54" i="21" s="1"/>
  <c r="G54" i="21"/>
  <c r="H54" i="21" s="1"/>
  <c r="D125" i="21"/>
  <c r="E125" i="21" s="1"/>
  <c r="F125" i="21" s="1"/>
  <c r="G125" i="21" s="1"/>
  <c r="D123" i="21"/>
  <c r="E123" i="21" s="1"/>
  <c r="F123" i="21" s="1"/>
  <c r="F42" i="21" s="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D77" i="21"/>
  <c r="E77" i="21" s="1"/>
  <c r="B130" i="21"/>
  <c r="B128" i="21"/>
  <c r="B126" i="21"/>
  <c r="B98" i="21"/>
  <c r="B96" i="21"/>
  <c r="B94" i="21"/>
  <c r="B92" i="21"/>
  <c r="H28" i="21" s="1"/>
  <c r="B90" i="21"/>
  <c r="B74" i="21"/>
  <c r="B72" i="21"/>
  <c r="B70" i="21"/>
  <c r="F12" i="21"/>
  <c r="F10" i="21"/>
  <c r="AA10" i="21" s="1"/>
  <c r="C7" i="21"/>
  <c r="C58" i="21" s="1"/>
  <c r="D58" i="21" s="1"/>
  <c r="E58" i="21" s="1"/>
  <c r="C19" i="21"/>
  <c r="C17" i="21"/>
  <c r="C23" i="21"/>
  <c r="Q9" i="21"/>
  <c r="Z9" i="21" s="1"/>
  <c r="Q10" i="21"/>
  <c r="Z10" i="21" s="1"/>
  <c r="Q11" i="21"/>
  <c r="Z11" i="21" s="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s="1"/>
  <c r="J26" i="21"/>
  <c r="W26" i="21" s="1"/>
  <c r="F26" i="21"/>
  <c r="AA26" i="21" s="1"/>
  <c r="AB41"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40" i="39"/>
  <c r="S36" i="39"/>
  <c r="F11" i="21"/>
  <c r="S11" i="21" s="1"/>
  <c r="C29" i="39"/>
  <c r="C23" i="39"/>
  <c r="U36"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AC14" i="21" s="1"/>
  <c r="F14" i="21"/>
  <c r="AA14" i="21" s="1"/>
  <c r="H14" i="21"/>
  <c r="U14"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C30" i="21"/>
  <c r="AB30" i="21"/>
  <c r="AB14" i="21"/>
  <c r="W14" i="21"/>
  <c r="W31" i="34"/>
  <c r="S46" i="33"/>
  <c r="U36" i="37"/>
  <c r="AC13" i="36"/>
  <c r="AB45" i="33"/>
  <c r="AB31" i="33"/>
  <c r="AA27" i="33"/>
  <c r="AB27" i="33"/>
  <c r="S45" i="21"/>
  <c r="AC28" i="33"/>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F13" i="39"/>
  <c r="AA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J32" i="21"/>
  <c r="AC32" i="21" s="1"/>
  <c r="G13" i="3"/>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J21" i="39"/>
  <c r="W21" i="39"/>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c r="G103" i="39" s="1"/>
  <c r="H29" i="39"/>
  <c r="U29" i="39" s="1"/>
  <c r="F34" i="39"/>
  <c r="AA34" i="39" s="1"/>
  <c r="H34" i="39"/>
  <c r="AB34" i="39" s="1"/>
  <c r="J34" i="39"/>
  <c r="AC34" i="39" s="1"/>
  <c r="H39" i="39"/>
  <c r="AB39" i="39" s="1"/>
  <c r="J39" i="39"/>
  <c r="AC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H25" i="39"/>
  <c r="U25" i="39" s="1"/>
  <c r="J25" i="39"/>
  <c r="AC25" i="39" s="1"/>
  <c r="F25" i="39"/>
  <c r="AA25" i="39" s="1"/>
  <c r="F45" i="39"/>
  <c r="AA45" i="39"/>
  <c r="H45" i="39"/>
  <c r="U45" i="39"/>
  <c r="J45" i="39"/>
  <c r="AC45" i="39"/>
  <c r="F47" i="39"/>
  <c r="AA47" i="39" s="1"/>
  <c r="H47" i="39"/>
  <c r="AB47" i="39" s="1"/>
  <c r="J47" i="39"/>
  <c r="W47" i="39" s="1"/>
  <c r="H41" i="39"/>
  <c r="AB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S47" i="39"/>
  <c r="AB25" i="39"/>
  <c r="U37" i="34"/>
  <c r="AB37" i="34"/>
  <c r="AC41" i="40"/>
  <c r="W41" i="40"/>
  <c r="U41" i="40"/>
  <c r="J23" i="40"/>
  <c r="AC23" i="40"/>
  <c r="G92" i="40"/>
  <c r="F23" i="40"/>
  <c r="S23" i="40"/>
  <c r="AC15" i="40"/>
  <c r="W15" i="40"/>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AB19" i="39"/>
  <c r="U19" i="39"/>
  <c r="U46" i="34"/>
  <c r="AC30" i="34"/>
  <c r="AA14" i="34"/>
  <c r="W12" i="34"/>
  <c r="U29" i="33"/>
  <c r="AC13" i="33"/>
  <c r="U17" i="34"/>
  <c r="AA11" i="34"/>
  <c r="W32" i="33"/>
  <c r="H15" i="33"/>
  <c r="U15" i="33"/>
  <c r="AA11" i="33"/>
  <c r="S13" i="39"/>
  <c r="U16" i="40"/>
  <c r="W34" i="40"/>
  <c r="AB34" i="40"/>
  <c r="AB42" i="40"/>
  <c r="U42" i="40"/>
  <c r="AC16" i="40"/>
  <c r="W32" i="40"/>
  <c r="H25" i="40"/>
  <c r="AB25" i="40"/>
  <c r="F94" i="40"/>
  <c r="G94" i="40"/>
  <c r="U47" i="39"/>
  <c r="J37" i="34"/>
  <c r="AC37" i="34"/>
  <c r="J36" i="33"/>
  <c r="W36" i="33"/>
  <c r="S41" i="40"/>
  <c r="AB23" i="40"/>
  <c r="U27" i="39"/>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W39" i="39"/>
  <c r="U34" i="39"/>
  <c r="AB29" i="39"/>
  <c r="AB46"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AP11" i="1"/>
  <c r="B11" i="1"/>
  <c r="E11" i="1"/>
  <c r="K11" i="1"/>
  <c r="M11" i="1" s="1"/>
  <c r="O11" i="1" s="1"/>
  <c r="B9" i="1"/>
  <c r="E9" i="1"/>
  <c r="K9" i="1"/>
  <c r="M9" i="1" s="1"/>
  <c r="O9" i="1" s="1"/>
  <c r="B7" i="1"/>
  <c r="E7" i="1"/>
  <c r="K7" i="1"/>
  <c r="M7" i="1" s="1"/>
  <c r="O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U35" i="21"/>
  <c r="AB32" i="21"/>
  <c r="W28" i="21"/>
  <c r="AC26" i="21"/>
  <c r="J23" i="21"/>
  <c r="W23" i="21" s="1"/>
  <c r="F23" i="21"/>
  <c r="AA23" i="21" s="1"/>
  <c r="H23" i="21"/>
  <c r="AB23" i="21" s="1"/>
  <c r="AC11" i="21"/>
  <c r="AB11" i="21"/>
  <c r="W13" i="21"/>
  <c r="AA11" i="21"/>
  <c r="AC23" i="21"/>
  <c r="AC21" i="21"/>
  <c r="W21"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A21" i="39"/>
  <c r="AC19" i="39"/>
  <c r="AC38" i="39"/>
  <c r="AC21" i="39"/>
  <c r="S14" i="39"/>
  <c r="U11" i="39"/>
  <c r="U23" i="39"/>
  <c r="U31" i="39"/>
  <c r="AB31" i="39"/>
  <c r="S22" i="31"/>
  <c r="M20" i="15"/>
  <c r="D96" i="9"/>
  <c r="F28" i="15"/>
  <c r="M18" i="15"/>
  <c r="BA16" i="3"/>
  <c r="BA17" i="3"/>
  <c r="AZ17" i="3"/>
  <c r="F3" i="35"/>
  <c r="K1" i="43"/>
  <c r="K1" i="12"/>
  <c r="G1" i="44"/>
  <c r="I4" i="6"/>
  <c r="G3" i="46"/>
  <c r="AZ15" i="3"/>
  <c r="G5" i="3"/>
  <c r="B3" i="3" s="1"/>
  <c r="BK5" i="3"/>
  <c r="BO5" i="3"/>
  <c r="BP5" i="3"/>
  <c r="G29" i="6" s="1"/>
  <c r="G30" i="6" s="1"/>
  <c r="BN5" i="3"/>
  <c r="BL18" i="3"/>
  <c r="AZ18" i="3"/>
  <c r="BC5" i="3"/>
  <c r="E8" i="6"/>
  <c r="BD5" i="3"/>
  <c r="BR5" i="3"/>
  <c r="G28" i="6"/>
  <c r="BS5" i="3"/>
  <c r="BQ5" i="3"/>
  <c r="F28" i="6" s="1"/>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46" i="50"/>
  <c r="B4" i="63" s="1"/>
  <c r="C46" i="36"/>
  <c r="O19" i="46"/>
  <c r="H86" i="46"/>
  <c r="H82" i="46"/>
  <c r="H10" i="48"/>
  <c r="H87" i="46"/>
  <c r="H85" i="46"/>
  <c r="H83" i="46"/>
  <c r="K10" i="1"/>
  <c r="M10" i="1" s="1"/>
  <c r="S11" i="1"/>
  <c r="R11" i="1"/>
  <c r="S13" i="1"/>
  <c r="R13" i="1"/>
  <c r="B6" i="1"/>
  <c r="E6" i="1" s="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U27" i="21"/>
  <c r="S27" i="21"/>
  <c r="G96" i="40"/>
  <c r="J27" i="40"/>
  <c r="W37" i="40"/>
  <c r="S17" i="40"/>
  <c r="W30" i="40"/>
  <c r="S34" i="40"/>
  <c r="U17" i="40"/>
  <c r="U38" i="40"/>
  <c r="S40" i="40"/>
  <c r="S42" i="40"/>
  <c r="J31" i="39"/>
  <c r="W31" i="39" s="1"/>
  <c r="S45" i="39"/>
  <c r="AC46" i="39"/>
  <c r="W36" i="39"/>
  <c r="AC37" i="39"/>
  <c r="U14" i="39"/>
  <c r="W16" i="39"/>
  <c r="W25" i="39"/>
  <c r="W45" i="39"/>
  <c r="AA46" i="39"/>
  <c r="W10" i="39"/>
  <c r="W11" i="39"/>
  <c r="S32" i="40"/>
  <c r="C27" i="39"/>
  <c r="C17" i="40"/>
  <c r="C19" i="40"/>
  <c r="C17" i="39"/>
  <c r="C19" i="39"/>
  <c r="C21" i="39"/>
  <c r="C23" i="40"/>
  <c r="B48" i="46"/>
  <c r="B51" i="46"/>
  <c r="B55" i="46"/>
  <c r="B59" i="46"/>
  <c r="B62" i="46"/>
  <c r="B66" i="46"/>
  <c r="B53" i="46"/>
  <c r="B64" i="46"/>
  <c r="D24" i="15"/>
  <c r="F29"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E53" i="40"/>
  <c r="F27" i="6"/>
  <c r="E5" i="6"/>
  <c r="E25" i="3"/>
  <c r="E556" i="3"/>
  <c r="E204" i="3"/>
  <c r="U6" i="3"/>
  <c r="E258" i="3"/>
  <c r="E291" i="3"/>
  <c r="E207" i="3"/>
  <c r="E305" i="3"/>
  <c r="E479" i="3"/>
  <c r="E527" i="3"/>
  <c r="E449" i="3"/>
  <c r="E73" i="3"/>
  <c r="E43" i="3"/>
  <c r="E365" i="3"/>
  <c r="E196" i="3"/>
  <c r="E126" i="3"/>
  <c r="E276" i="3"/>
  <c r="E248" i="3"/>
  <c r="E259" i="3"/>
  <c r="E211" i="3"/>
  <c r="E370"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K20" i="6" s="1"/>
  <c r="M20" i="6" s="1"/>
  <c r="I20" i="6" s="1"/>
  <c r="AZ13" i="3"/>
  <c r="AZ5" i="3" s="1"/>
  <c r="AY6" i="3" s="1"/>
  <c r="E29" i="6"/>
  <c r="K15" i="1" s="1"/>
  <c r="AZ16" i="3"/>
  <c r="A9" i="51"/>
  <c r="B9" i="63" s="1"/>
  <c r="G66" i="36"/>
  <c r="J18" i="36"/>
  <c r="AE8" i="1"/>
  <c r="AE7" i="1"/>
  <c r="AE6" i="1"/>
  <c r="W18" i="36"/>
  <c r="AC18" i="36"/>
  <c r="AG6" i="1"/>
  <c r="L20" i="6"/>
  <c r="E3" i="6"/>
  <c r="S7" i="1"/>
  <c r="S8" i="1"/>
  <c r="S9" i="1"/>
  <c r="D16" i="12"/>
  <c r="D19" i="12" s="1"/>
  <c r="C19" i="12" s="1"/>
  <c r="R9" i="1"/>
  <c r="R7" i="1"/>
  <c r="R8" i="1"/>
  <c r="C45" i="9"/>
  <c r="H14" i="66" s="1"/>
  <c r="B7" i="66" s="1"/>
  <c r="O40" i="9"/>
  <c r="K31" i="9"/>
  <c r="K32" i="9" s="1"/>
  <c r="R7" i="54"/>
  <c r="B52" i="63" s="1"/>
  <c r="N76" i="9"/>
  <c r="C46" i="9"/>
  <c r="K33" i="9" s="1"/>
  <c r="K34" i="9" s="1"/>
  <c r="H58" i="46"/>
  <c r="J17" i="46"/>
  <c r="C17" i="46"/>
  <c r="F34" i="46"/>
  <c r="F38" i="46"/>
  <c r="F37" i="46"/>
  <c r="H113" i="46"/>
  <c r="H49" i="46"/>
  <c r="H5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G31" i="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H22" i="46"/>
  <c r="Y11" i="46"/>
  <c r="Y13" i="46"/>
  <c r="H101" i="46"/>
  <c r="H102" i="46"/>
  <c r="G22" i="46"/>
  <c r="J22" i="46"/>
  <c r="F101" i="46"/>
  <c r="F106" i="46"/>
  <c r="D101" i="46"/>
  <c r="D106" i="46"/>
  <c r="E28" i="6"/>
  <c r="P7" i="1"/>
  <c r="P13" i="1"/>
  <c r="E15" i="6"/>
  <c r="E62" i="40" s="1"/>
  <c r="E12" i="6"/>
  <c r="E11" i="6"/>
  <c r="E58" i="40" s="1"/>
  <c r="P12" i="1"/>
  <c r="AP7" i="1"/>
  <c r="G13" i="1"/>
  <c r="D46" i="36"/>
  <c r="H70" i="46"/>
  <c r="F107" i="46"/>
  <c r="H73" i="46"/>
  <c r="H50" i="46"/>
  <c r="H48" i="46"/>
  <c r="F35" i="46"/>
  <c r="I17" i="46"/>
  <c r="G17" i="46"/>
  <c r="C16" i="46"/>
  <c r="H63" i="46"/>
  <c r="I101" i="46"/>
  <c r="I102" i="46" s="1"/>
  <c r="M101" i="46"/>
  <c r="M107" i="46" s="1"/>
  <c r="N101" i="46"/>
  <c r="N105" i="46" s="1"/>
  <c r="AC11" i="46"/>
  <c r="AC13" i="46" s="1"/>
  <c r="AD11" i="46"/>
  <c r="AJ11" i="46"/>
  <c r="AJ13" i="46" s="1"/>
  <c r="H64" i="46"/>
  <c r="H66" i="46"/>
  <c r="D100" i="46"/>
  <c r="F104" i="46"/>
  <c r="F109" i="46"/>
  <c r="H62" i="46"/>
  <c r="AF12" i="46"/>
  <c r="K100" i="46"/>
  <c r="AB12" i="46"/>
  <c r="AJ12" i="46"/>
  <c r="F102" i="46"/>
  <c r="F105" i="46"/>
  <c r="F103" i="46"/>
  <c r="C101" i="46"/>
  <c r="C109" i="46" s="1"/>
  <c r="G101" i="46"/>
  <c r="J101" i="46"/>
  <c r="J107" i="46" s="1"/>
  <c r="B113" i="46"/>
  <c r="N104" i="45"/>
  <c r="L101" i="46"/>
  <c r="F22" i="46"/>
  <c r="E101" i="46"/>
  <c r="Z7" i="46"/>
  <c r="K101" i="46"/>
  <c r="E22" i="46"/>
  <c r="D22" i="46" s="1"/>
  <c r="C21"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C14" i="59"/>
  <c r="C13" i="59"/>
  <c r="T13" i="59"/>
  <c r="B14" i="59"/>
  <c r="B13" i="59"/>
  <c r="S13" i="59"/>
  <c r="D14" i="59"/>
  <c r="V13" i="59"/>
  <c r="D13" i="59"/>
  <c r="D107" i="46"/>
  <c r="M106" i="46"/>
  <c r="H107" i="46"/>
  <c r="C5" i="46"/>
  <c r="H105" i="46"/>
  <c r="H109" i="46"/>
  <c r="D103" i="46"/>
  <c r="D102" i="46"/>
  <c r="H104" i="46"/>
  <c r="H106" i="46"/>
  <c r="D5" i="46"/>
  <c r="D105" i="46"/>
  <c r="D109" i="46"/>
  <c r="D104" i="46"/>
  <c r="I109"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63" i="39"/>
  <c r="E64" i="39"/>
  <c r="E59" i="40"/>
  <c r="K19" i="6"/>
  <c r="K14" i="1"/>
  <c r="M14" i="1" s="1"/>
  <c r="K26" i="6"/>
  <c r="M26" i="6" s="1"/>
  <c r="I26" i="6" s="1"/>
  <c r="K24" i="6"/>
  <c r="M24" i="6" s="1"/>
  <c r="I24" i="6" s="1"/>
  <c r="K22" i="6"/>
  <c r="M22" i="6" s="1"/>
  <c r="I22" i="6" s="1"/>
  <c r="E30" i="6"/>
  <c r="K23" i="6"/>
  <c r="M23" i="6" s="1"/>
  <c r="I23" i="6" s="1"/>
  <c r="K25" i="6"/>
  <c r="M25" i="6" s="1"/>
  <c r="I25" i="6" s="1"/>
  <c r="K21" i="6"/>
  <c r="M21" i="6" s="1"/>
  <c r="I21" i="6" s="1"/>
  <c r="E46" i="36"/>
  <c r="F46" i="36" s="1"/>
  <c r="G46" i="36" s="1"/>
  <c r="H46" i="36" s="1"/>
  <c r="I104" i="46"/>
  <c r="N104" i="46"/>
  <c r="N107" i="46"/>
  <c r="AD13" i="46"/>
  <c r="I103" i="46"/>
  <c r="N109" i="46"/>
  <c r="N106" i="46"/>
  <c r="N103" i="46"/>
  <c r="N102" i="46"/>
  <c r="I105" i="46"/>
  <c r="I107" i="46"/>
  <c r="K107" i="46"/>
  <c r="K103" i="46"/>
  <c r="K102" i="46"/>
  <c r="K106" i="46"/>
  <c r="K104" i="46"/>
  <c r="K105" i="46"/>
  <c r="E104" i="46"/>
  <c r="E106" i="46"/>
  <c r="E105" i="46"/>
  <c r="E103" i="46"/>
  <c r="E102" i="46"/>
  <c r="E107" i="46"/>
  <c r="L102" i="46"/>
  <c r="L105" i="46"/>
  <c r="L104" i="46"/>
  <c r="L106"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6" i="46"/>
  <c r="J105" i="46"/>
  <c r="C102" i="46"/>
  <c r="E109" i="46"/>
  <c r="C7" i="46"/>
  <c r="D12" i="59"/>
  <c r="D11" i="59"/>
  <c r="G20" i="46"/>
  <c r="E41" i="46"/>
  <c r="C41" i="46"/>
  <c r="S5" i="46"/>
  <c r="S2" i="46"/>
  <c r="S3" i="46"/>
  <c r="S7" i="46"/>
  <c r="S6" i="46"/>
  <c r="S4" i="46"/>
  <c r="K16" i="1"/>
  <c r="E63" i="40"/>
  <c r="C22" i="4"/>
  <c r="D19" i="6"/>
  <c r="D27" i="6" s="1"/>
  <c r="D31" i="6" s="1"/>
  <c r="D21" i="6"/>
  <c r="D25" i="6"/>
  <c r="D23" i="6"/>
  <c r="D28" i="6"/>
  <c r="D20" i="6"/>
  <c r="D8" i="6"/>
  <c r="E45" i="9"/>
  <c r="F45" i="9"/>
  <c r="E68" i="39"/>
  <c r="K38" i="9"/>
  <c r="C14" i="66" s="1"/>
  <c r="B2" i="66" s="1"/>
  <c r="D24" i="6"/>
  <c r="D26" i="6"/>
  <c r="D22" i="6"/>
  <c r="D12" i="6"/>
  <c r="D9" i="6"/>
  <c r="D29" i="6"/>
  <c r="E46" i="9"/>
  <c r="D30" i="6"/>
  <c r="M31" i="44"/>
  <c r="J15" i="15"/>
  <c r="F39" i="44"/>
  <c r="F12" i="67"/>
  <c r="F9" i="44"/>
  <c r="L49" i="44"/>
  <c r="F8" i="67"/>
  <c r="F11" i="67"/>
  <c r="B12" i="67"/>
  <c r="J4" i="65"/>
  <c r="F14" i="67"/>
  <c r="B11" i="67"/>
  <c r="N6" i="65"/>
  <c r="F10" i="67"/>
  <c r="J5" i="65"/>
  <c r="I7" i="65"/>
  <c r="L48" i="15"/>
  <c r="L47" i="15"/>
  <c r="M26" i="44"/>
  <c r="F38" i="15"/>
  <c r="M29" i="44"/>
  <c r="M23" i="44"/>
  <c r="J36" i="15"/>
  <c r="E13" i="67"/>
  <c r="B9" i="67"/>
  <c r="F41" i="15"/>
  <c r="B10" i="67"/>
  <c r="F10" i="44"/>
  <c r="F13" i="15"/>
  <c r="E12" i="67"/>
  <c r="M10" i="44"/>
  <c r="F6" i="15"/>
  <c r="M24" i="15"/>
  <c r="F8" i="44"/>
  <c r="E10" i="67"/>
  <c r="F13" i="67"/>
  <c r="J3" i="65"/>
  <c r="M23" i="15"/>
  <c r="M24" i="44"/>
  <c r="F26" i="15"/>
  <c r="M21" i="15"/>
  <c r="M30" i="44"/>
  <c r="N3" i="65"/>
  <c r="F45" i="44"/>
  <c r="F46" i="44"/>
  <c r="E14" i="67"/>
  <c r="F42" i="15"/>
  <c r="I3" i="65"/>
  <c r="F40" i="15"/>
  <c r="F9" i="67"/>
  <c r="F16" i="15"/>
  <c r="M27" i="15"/>
  <c r="F36" i="15"/>
  <c r="M11" i="44"/>
  <c r="J7" i="65"/>
  <c r="N5" i="65"/>
  <c r="L48" i="44"/>
  <c r="B8" i="67"/>
  <c r="J6" i="65"/>
  <c r="M8" i="44"/>
  <c r="F37" i="44"/>
  <c r="F9" i="15"/>
  <c r="N4" i="65"/>
  <c r="N7" i="65"/>
  <c r="F38" i="44"/>
  <c r="J17" i="44"/>
  <c r="M29" i="15"/>
  <c r="M26" i="15"/>
  <c r="M8" i="15"/>
  <c r="M6" i="15"/>
  <c r="I5" i="65"/>
  <c r="F37" i="15"/>
  <c r="M9" i="15"/>
  <c r="F43" i="44"/>
  <c r="F28" i="44"/>
  <c r="E11" i="67"/>
  <c r="M28" i="15"/>
  <c r="B14" i="67"/>
  <c r="F7" i="15"/>
  <c r="M28" i="44"/>
  <c r="B13" i="67"/>
  <c r="C19" i="44"/>
  <c r="F8" i="15"/>
  <c r="F15" i="44"/>
  <c r="I6" i="65"/>
  <c r="M22" i="15"/>
  <c r="F11" i="44"/>
  <c r="I4" i="65"/>
  <c r="F43" i="15"/>
  <c r="F40" i="44"/>
  <c r="F35" i="15"/>
  <c r="E9" i="67"/>
  <c r="F18" i="44"/>
  <c r="M25" i="44"/>
  <c r="E8" i="67"/>
  <c r="F46" i="9" l="1"/>
  <c r="D45" i="9"/>
  <c r="U23" i="21"/>
  <c r="F79" i="21"/>
  <c r="G79" i="21" s="1"/>
  <c r="H17" i="21"/>
  <c r="AB17" i="21" s="1"/>
  <c r="F17" i="21"/>
  <c r="S17" i="21" s="1"/>
  <c r="J17" i="21"/>
  <c r="F77" i="21"/>
  <c r="J15" i="21"/>
  <c r="H15" i="21"/>
  <c r="AB15" i="21" s="1"/>
  <c r="W43" i="21"/>
  <c r="U43" i="21"/>
  <c r="G81" i="21"/>
  <c r="F19" i="21"/>
  <c r="AA19" i="21" s="1"/>
  <c r="J19" i="21"/>
  <c r="W19" i="21" s="1"/>
  <c r="H19" i="21"/>
  <c r="AB19" i="21" s="1"/>
  <c r="J37" i="21"/>
  <c r="H113" i="21"/>
  <c r="F37" i="21"/>
  <c r="H37" i="21"/>
  <c r="G123" i="21"/>
  <c r="H123" i="21" s="1"/>
  <c r="I123" i="21" s="1"/>
  <c r="J123" i="21" s="1"/>
  <c r="K123" i="21" s="1"/>
  <c r="L123" i="21" s="1"/>
  <c r="M123" i="21" s="1"/>
  <c r="H42" i="21"/>
  <c r="AB42" i="21" s="1"/>
  <c r="J42" i="21"/>
  <c r="AC42" i="21" s="1"/>
  <c r="AC27" i="21"/>
  <c r="W44" i="21"/>
  <c r="AC46" i="21"/>
  <c r="AB31" i="21"/>
  <c r="U40" i="21"/>
  <c r="AA40" i="21"/>
  <c r="AC40" i="21"/>
  <c r="S21" i="21"/>
  <c r="S19" i="21"/>
  <c r="S23" i="21"/>
  <c r="U19" i="21"/>
  <c r="AC19" i="21"/>
  <c r="AA17" i="21"/>
  <c r="U17" i="21"/>
  <c r="U15" i="21"/>
  <c r="W10" i="21"/>
  <c r="S10" i="21"/>
  <c r="AB10" i="21"/>
  <c r="W9" i="21"/>
  <c r="W8" i="21"/>
  <c r="S8" i="21"/>
  <c r="U42" i="21"/>
  <c r="S42" i="21"/>
  <c r="S39" i="21"/>
  <c r="W39" i="21"/>
  <c r="U39" i="21"/>
  <c r="U38" i="21"/>
  <c r="AA38" i="21"/>
  <c r="AA36" i="21"/>
  <c r="AB36" i="21"/>
  <c r="S35" i="21"/>
  <c r="AC35" i="21"/>
  <c r="AB34" i="21"/>
  <c r="AB33" i="21"/>
  <c r="W32" i="21"/>
  <c r="U9" i="21"/>
  <c r="U46" i="21"/>
  <c r="U28" i="21"/>
  <c r="AB28" i="21"/>
  <c r="W29" i="21"/>
  <c r="W31" i="21"/>
  <c r="AA29" i="21"/>
  <c r="AA25" i="21"/>
  <c r="AA30" i="21"/>
  <c r="F28" i="21"/>
  <c r="H43" i="39"/>
  <c r="J43" i="39"/>
  <c r="AC43" i="39" s="1"/>
  <c r="H126" i="39"/>
  <c r="I126" i="39" s="1"/>
  <c r="J126" i="39" s="1"/>
  <c r="K126" i="39" s="1"/>
  <c r="L126" i="39" s="1"/>
  <c r="M126" i="39" s="1"/>
  <c r="F43" i="39"/>
  <c r="J42" i="39"/>
  <c r="F42" i="39"/>
  <c r="E124" i="39"/>
  <c r="F124" i="39" s="1"/>
  <c r="G124" i="39" s="1"/>
  <c r="H124" i="39" s="1"/>
  <c r="I124" i="39" s="1"/>
  <c r="J124" i="39" s="1"/>
  <c r="K124" i="39" s="1"/>
  <c r="L124" i="39" s="1"/>
  <c r="M124" i="39" s="1"/>
  <c r="J41" i="39"/>
  <c r="AC41" i="39" s="1"/>
  <c r="F41" i="39"/>
  <c r="AA41" i="39" s="1"/>
  <c r="F29" i="39"/>
  <c r="J29" i="39"/>
  <c r="AC29" i="39" s="1"/>
  <c r="G91" i="39"/>
  <c r="H17" i="39"/>
  <c r="F17" i="39"/>
  <c r="J17" i="39"/>
  <c r="W17" i="39" s="1"/>
  <c r="J13" i="39"/>
  <c r="H13" i="39"/>
  <c r="AB13" i="39" s="1"/>
  <c r="S31" i="39"/>
  <c r="U41" i="39"/>
  <c r="W40" i="39"/>
  <c r="W34" i="39"/>
  <c r="S34" i="39"/>
  <c r="AB33" i="39"/>
  <c r="AC31" i="39"/>
  <c r="W29" i="39"/>
  <c r="W27" i="39"/>
  <c r="S25" i="39"/>
  <c r="W23" i="39"/>
  <c r="AC17" i="39"/>
  <c r="AB44" i="39"/>
  <c r="AA44" i="39"/>
  <c r="AC44" i="39"/>
  <c r="W43" i="39"/>
  <c r="U42" i="39"/>
  <c r="W41" i="39"/>
  <c r="S41" i="39"/>
  <c r="U40" i="39"/>
  <c r="AC47" i="39"/>
  <c r="AA39" i="39"/>
  <c r="S39" i="39"/>
  <c r="S38" i="39"/>
  <c r="AA38" i="39"/>
  <c r="AB38" i="39"/>
  <c r="AA15" i="39"/>
  <c r="S15" i="39"/>
  <c r="J15" i="39"/>
  <c r="H15" i="39"/>
  <c r="D18" i="9"/>
  <c r="M44" i="9" s="1"/>
  <c r="M43" i="9"/>
  <c r="A30" i="51"/>
  <c r="B22" i="63" s="1"/>
  <c r="A30" i="64"/>
  <c r="B54" i="46"/>
  <c r="K27" i="6"/>
  <c r="J109" i="46"/>
  <c r="C105" i="46"/>
  <c r="C107" i="46"/>
  <c r="J104" i="46"/>
  <c r="M19" i="6"/>
  <c r="M105" i="46"/>
  <c r="M102" i="46"/>
  <c r="S6" i="1"/>
  <c r="M16" i="1"/>
  <c r="C13" i="43" s="1"/>
  <c r="O14" i="1"/>
  <c r="P14" i="1" s="1"/>
  <c r="P9" i="1"/>
  <c r="E297" i="3"/>
  <c r="E395" i="3"/>
  <c r="AN6" i="3"/>
  <c r="E280" i="3"/>
  <c r="E59" i="3"/>
  <c r="E270" i="3"/>
  <c r="E464" i="3"/>
  <c r="E157" i="3"/>
  <c r="E209" i="3"/>
  <c r="E161" i="3"/>
  <c r="E450" i="3"/>
  <c r="E534" i="3"/>
  <c r="E376" i="3"/>
  <c r="E387" i="3"/>
  <c r="E294" i="3"/>
  <c r="R6" i="3"/>
  <c r="E21" i="3"/>
  <c r="E125" i="3"/>
  <c r="E64" i="3"/>
  <c r="AH6" i="3"/>
  <c r="AC6" i="3" s="1"/>
  <c r="E140" i="3"/>
  <c r="P6" i="3"/>
  <c r="E343" i="3"/>
  <c r="E84" i="3"/>
  <c r="E142" i="3"/>
  <c r="AP6" i="3"/>
  <c r="E410" i="3"/>
  <c r="E431" i="3"/>
  <c r="E468" i="3"/>
  <c r="E70" i="3"/>
  <c r="E109" i="3"/>
  <c r="E38" i="3"/>
  <c r="E185" i="3"/>
  <c r="E151" i="3"/>
  <c r="E148" i="3"/>
  <c r="E313" i="3"/>
  <c r="E27" i="3"/>
  <c r="E53" i="3"/>
  <c r="E412" i="3"/>
  <c r="E405" i="3"/>
  <c r="E469" i="3"/>
  <c r="W6" i="3"/>
  <c r="E29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13" i="3"/>
  <c r="E568" i="3"/>
  <c r="E79" i="3"/>
  <c r="E85" i="3"/>
  <c r="E425" i="3"/>
  <c r="E539" i="3"/>
  <c r="E401" i="3"/>
  <c r="E332" i="3"/>
  <c r="E257" i="3"/>
  <c r="E245" i="3"/>
  <c r="E272" i="3"/>
  <c r="E139" i="3"/>
  <c r="E166" i="3"/>
  <c r="E52" i="3"/>
  <c r="E102" i="3"/>
  <c r="E445" i="3"/>
  <c r="O6" i="3"/>
  <c r="H6" i="3" s="1"/>
  <c r="E6" i="3" s="1"/>
  <c r="E451" i="3"/>
  <c r="D5" i="6"/>
  <c r="E67" i="39"/>
  <c r="M104" i="46"/>
  <c r="M109" i="46"/>
  <c r="M103" i="46"/>
  <c r="F31" i="6"/>
  <c r="I6" i="6" s="1"/>
  <c r="S24" i="6"/>
  <c r="H24" i="6"/>
  <c r="R24" i="6" s="1"/>
  <c r="S21" i="6"/>
  <c r="H21" i="6"/>
  <c r="R21" i="6" s="1"/>
  <c r="H23" i="6"/>
  <c r="R23" i="6" s="1"/>
  <c r="S23" i="6"/>
  <c r="H22" i="6"/>
  <c r="R22" i="6" s="1"/>
  <c r="S22" i="6"/>
  <c r="H26" i="6"/>
  <c r="R26" i="6" s="1"/>
  <c r="S26" i="6"/>
  <c r="I19" i="6"/>
  <c r="M27" i="6"/>
  <c r="H25" i="6"/>
  <c r="R25" i="6" s="1"/>
  <c r="S25" i="6"/>
  <c r="S20" i="6"/>
  <c r="H20" i="6"/>
  <c r="R20" i="6" s="1"/>
  <c r="D15" i="6"/>
  <c r="D11" i="6"/>
  <c r="C106" i="46"/>
  <c r="C103" i="46"/>
  <c r="C104" i="46"/>
  <c r="J103" i="46"/>
  <c r="J102" i="46"/>
  <c r="E31" i="6"/>
  <c r="P11" i="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D12" i="11"/>
  <c r="C12" i="11" s="1"/>
  <c r="D21" i="12"/>
  <c r="C21" i="12" s="1"/>
  <c r="O10" i="1"/>
  <c r="P10" i="1" s="1"/>
  <c r="E14" i="6"/>
  <c r="E13" i="6"/>
  <c r="E10" i="6"/>
  <c r="S16" i="1"/>
  <c r="D16" i="43"/>
  <c r="C16" i="43" s="1"/>
  <c r="E6" i="6"/>
  <c r="L38" i="9"/>
  <c r="B14" i="66" s="1"/>
  <c r="B1" i="66" s="1"/>
  <c r="C21" i="4"/>
  <c r="P6" i="1"/>
  <c r="O8" i="1"/>
  <c r="P8" i="1" s="1"/>
  <c r="Q16" i="1"/>
  <c r="H16" i="1"/>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N5" i="54"/>
  <c r="B43" i="63" s="1"/>
  <c r="A20" i="51"/>
  <c r="B15" i="63" s="1"/>
  <c r="D113" i="46"/>
  <c r="I5" i="6"/>
  <c r="A18" i="64"/>
  <c r="B74" i="63" s="1"/>
  <c r="C53" i="10"/>
  <c r="A25" i="64" s="1"/>
  <c r="L5" i="54"/>
  <c r="B39" i="63" s="1"/>
  <c r="T41" i="4"/>
  <c r="A17" i="51" s="1"/>
  <c r="B13" i="63" s="1"/>
  <c r="A18" i="51"/>
  <c r="B14" i="63" s="1"/>
  <c r="K5" i="54"/>
  <c r="B38" i="63" s="1"/>
  <c r="A11" i="55"/>
  <c r="B62" i="63" s="1"/>
  <c r="K17" i="4"/>
  <c r="A22" i="51" s="1"/>
  <c r="B16" i="63" s="1"/>
  <c r="G6" i="1"/>
  <c r="N4" i="63"/>
  <c r="O41" i="9"/>
  <c r="R8" i="54" s="1"/>
  <c r="B54" i="63" s="1"/>
  <c r="C7" i="66"/>
  <c r="D7" i="66"/>
  <c r="D46" i="9"/>
  <c r="I14" i="66"/>
  <c r="B8" i="66" s="1"/>
  <c r="K76" i="9"/>
  <c r="AP16" i="1"/>
  <c r="F22" i="11" s="1"/>
  <c r="C95" i="9"/>
  <c r="C92" i="9" s="1"/>
  <c r="C25" i="12"/>
  <c r="C15" i="43"/>
  <c r="C31" i="43"/>
  <c r="C15" i="12"/>
  <c r="C30" i="44"/>
  <c r="C27" i="43"/>
  <c r="C28" i="15"/>
  <c r="C16" i="12"/>
  <c r="G16" i="1"/>
  <c r="H12" i="40" s="1"/>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H12" i="39"/>
  <c r="J7" i="33"/>
  <c r="J7" i="21"/>
  <c r="C18" i="11"/>
  <c r="K77" i="9"/>
  <c r="K79" i="9" s="1"/>
  <c r="K81" i="9" s="1"/>
  <c r="E12" i="52"/>
  <c r="B15" i="52"/>
  <c r="F31" i="15"/>
  <c r="F33" i="44"/>
  <c r="D8" i="59"/>
  <c r="C7" i="59"/>
  <c r="E9" i="59"/>
  <c r="E8" i="59" s="1"/>
  <c r="E7" i="59" s="1"/>
  <c r="E6" i="59" s="1"/>
  <c r="E5" i="59" s="1"/>
  <c r="B9" i="59"/>
  <c r="B8" i="59" s="1"/>
  <c r="B7" i="59" s="1"/>
  <c r="B6" i="59" s="1"/>
  <c r="B5" i="59" s="1"/>
  <c r="X8" i="59"/>
  <c r="Y8" i="59"/>
  <c r="Z8"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9" i="59"/>
  <c r="AA9" i="59"/>
  <c r="D9" i="59"/>
  <c r="Y9" i="59"/>
  <c r="Z9" i="59" s="1"/>
  <c r="P22" i="46"/>
  <c r="P24" i="46"/>
  <c r="B68" i="40" s="1"/>
  <c r="P23" i="46"/>
  <c r="P25" i="46"/>
  <c r="B73" i="39" s="1"/>
  <c r="P21" i="46"/>
  <c r="E20"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C18" i="44"/>
  <c r="C16" i="15"/>
  <c r="E2" i="65"/>
  <c r="C17" i="15"/>
  <c r="E3" i="65"/>
  <c r="W42" i="21" l="1"/>
  <c r="AC17" i="21"/>
  <c r="W17" i="21"/>
  <c r="AC15" i="21"/>
  <c r="W15" i="21"/>
  <c r="F15" i="21"/>
  <c r="G77" i="21"/>
  <c r="U37" i="21"/>
  <c r="AB37" i="21"/>
  <c r="S37" i="21"/>
  <c r="AA37" i="21"/>
  <c r="W37" i="21"/>
  <c r="AC37" i="21"/>
  <c r="S28" i="21"/>
  <c r="AA28" i="21"/>
  <c r="U13" i="39"/>
  <c r="S43" i="39"/>
  <c r="AA43" i="39"/>
  <c r="U43" i="39"/>
  <c r="AB43" i="39"/>
  <c r="AA42" i="39"/>
  <c r="S42" i="39"/>
  <c r="AC42" i="39"/>
  <c r="W42" i="39"/>
  <c r="AA29" i="39"/>
  <c r="S29" i="39"/>
  <c r="U17" i="39"/>
  <c r="AB17" i="39"/>
  <c r="AA17" i="39"/>
  <c r="S17" i="39"/>
  <c r="AC13" i="39"/>
  <c r="W13" i="39"/>
  <c r="AB15" i="39"/>
  <c r="U15" i="39"/>
  <c r="AC15" i="39"/>
  <c r="W15" i="39"/>
  <c r="L16" i="1"/>
  <c r="C14" i="43"/>
  <c r="C17" i="43"/>
  <c r="N16" i="1"/>
  <c r="C29" i="43" s="1"/>
  <c r="F12" i="39"/>
  <c r="J12" i="39"/>
  <c r="AC12" i="39" s="1"/>
  <c r="F12" i="40"/>
  <c r="J12" i="40"/>
  <c r="W12" i="40" s="1"/>
  <c r="F24" i="43"/>
  <c r="C26" i="43" s="1"/>
  <c r="D24" i="43" s="1"/>
  <c r="F33" i="12"/>
  <c r="C34" i="12" s="1"/>
  <c r="D33" i="12" s="1"/>
  <c r="O5" i="54"/>
  <c r="B45" i="63" s="1"/>
  <c r="A6" i="51"/>
  <c r="B7" i="63" s="1"/>
  <c r="D13" i="11"/>
  <c r="C13" i="11" s="1"/>
  <c r="D22" i="12"/>
  <c r="C22" i="12" s="1"/>
  <c r="C20" i="12" s="1"/>
  <c r="D6" i="6"/>
  <c r="T13" i="1"/>
  <c r="T7" i="1"/>
  <c r="T9" i="1"/>
  <c r="T12" i="1"/>
  <c r="T6" i="1"/>
  <c r="E60" i="40"/>
  <c r="E65" i="39"/>
  <c r="D13" i="6"/>
  <c r="T11" i="1"/>
  <c r="T10" i="1"/>
  <c r="A6" i="64"/>
  <c r="O16" i="1"/>
  <c r="S19" i="6"/>
  <c r="S27" i="6" s="1"/>
  <c r="H19" i="6"/>
  <c r="I27" i="6"/>
  <c r="P16" i="1"/>
  <c r="C13" i="12" s="1"/>
  <c r="E16" i="6"/>
  <c r="D10" i="6"/>
  <c r="E66" i="39"/>
  <c r="E61" i="40"/>
  <c r="D14" i="6"/>
  <c r="A20" i="64"/>
  <c r="T8" i="1"/>
  <c r="A3" i="55"/>
  <c r="B56" i="63" s="1"/>
  <c r="A17" i="64"/>
  <c r="A25" i="51"/>
  <c r="B18" i="63" s="1"/>
  <c r="C8" i="66"/>
  <c r="D8" i="66"/>
  <c r="J7" i="34"/>
  <c r="H7" i="21"/>
  <c r="AB7" i="21" s="1"/>
  <c r="T48" i="21" s="1"/>
  <c r="G48" i="21" s="1"/>
  <c r="F7" i="21"/>
  <c r="AA7" i="21" s="1"/>
  <c r="H7" i="35"/>
  <c r="U7" i="35" s="1"/>
  <c r="B40" i="1"/>
  <c r="E65" i="40"/>
  <c r="D67" i="40"/>
  <c r="AC7" i="33"/>
  <c r="V48" i="33" s="1"/>
  <c r="I48" i="33" s="1"/>
  <c r="W7" i="33"/>
  <c r="S12" i="40"/>
  <c r="AA12" i="40"/>
  <c r="U12" i="40"/>
  <c r="AB12" i="40"/>
  <c r="S7" i="34"/>
  <c r="AA7" i="34"/>
  <c r="R49" i="34" s="1"/>
  <c r="W7" i="34"/>
  <c r="AC7" i="34"/>
  <c r="V49" i="34" s="1"/>
  <c r="I49" i="34" s="1"/>
  <c r="U7" i="21"/>
  <c r="AB7" i="35"/>
  <c r="T38" i="35" s="1"/>
  <c r="G38" i="35" s="1"/>
  <c r="J7" i="37"/>
  <c r="W7" i="21"/>
  <c r="AC7" i="21"/>
  <c r="AA12" i="39"/>
  <c r="S12" i="39"/>
  <c r="AB12" i="39"/>
  <c r="U12" i="39"/>
  <c r="D72" i="39"/>
  <c r="E70" i="39"/>
  <c r="AB7" i="34"/>
  <c r="T49" i="34" s="1"/>
  <c r="G49" i="34" s="1"/>
  <c r="U7" i="34"/>
  <c r="H7" i="33"/>
  <c r="F7" i="33"/>
  <c r="J46" i="36"/>
  <c r="J7" i="35"/>
  <c r="F7" i="35"/>
  <c r="H7" i="37"/>
  <c r="F7" i="37"/>
  <c r="D7" i="59"/>
  <c r="C6"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6" i="44"/>
  <c r="C14" i="15"/>
  <c r="S15" i="21" l="1"/>
  <c r="AA15" i="21"/>
  <c r="R48" i="21" s="1"/>
  <c r="V48" i="21"/>
  <c r="I48" i="21" s="1"/>
  <c r="I52" i="21" s="1"/>
  <c r="J52" i="21" s="1"/>
  <c r="S7" i="21"/>
  <c r="C18" i="43"/>
  <c r="C19" i="43" s="1"/>
  <c r="C25" i="43" s="1"/>
  <c r="C24" i="43" s="1"/>
  <c r="W12" i="39"/>
  <c r="AC12" i="40"/>
  <c r="D16" i="6"/>
  <c r="C17" i="44"/>
  <c r="C20" i="44"/>
  <c r="C18" i="15"/>
  <c r="C15" i="15"/>
  <c r="T16" i="1"/>
  <c r="C17" i="12"/>
  <c r="C14" i="12"/>
  <c r="H27" i="6"/>
  <c r="R19" i="6"/>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G43" i="35"/>
  <c r="H43" i="35" s="1"/>
  <c r="AA7" i="33"/>
  <c r="R48" i="33" s="1"/>
  <c r="S7" i="33"/>
  <c r="F70" i="39"/>
  <c r="E72" i="39"/>
  <c r="G52" i="21"/>
  <c r="H52" i="21" s="1"/>
  <c r="I53" i="34"/>
  <c r="J53" i="34" s="1"/>
  <c r="R50" i="34"/>
  <c r="E49" i="34"/>
  <c r="I52" i="33"/>
  <c r="J52" i="33" s="1"/>
  <c r="E67" i="40"/>
  <c r="F65" i="40"/>
  <c r="D6" i="59"/>
  <c r="C5"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G53" i="21" l="1"/>
  <c r="H53" i="21" s="1"/>
  <c r="E48" i="21"/>
  <c r="E53" i="21" s="1"/>
  <c r="F53" i="21" s="1"/>
  <c r="R49" i="21"/>
  <c r="C48" i="21" s="1"/>
  <c r="G39" i="46"/>
  <c r="I39" i="46" s="1"/>
  <c r="E36" i="46"/>
  <c r="R27" i="6"/>
  <c r="R6" i="1"/>
  <c r="R16" i="1" s="1"/>
  <c r="C18" i="12"/>
  <c r="C23" i="12" s="1"/>
  <c r="C21" i="44"/>
  <c r="C22" i="44" s="1"/>
  <c r="C19" i="15"/>
  <c r="C20" i="15" s="1"/>
  <c r="C26" i="15" s="1"/>
  <c r="E37" i="46"/>
  <c r="G33" i="46"/>
  <c r="I33" i="46" s="1"/>
  <c r="C27" i="46" s="1"/>
  <c r="E35" i="46"/>
  <c r="E38" i="46"/>
  <c r="F67" i="40"/>
  <c r="G65" i="40"/>
  <c r="C50" i="34"/>
  <c r="B3" i="34" s="1"/>
  <c r="B2" i="34" s="1"/>
  <c r="C49" i="34"/>
  <c r="G70" i="39"/>
  <c r="F72" i="39"/>
  <c r="R49" i="33"/>
  <c r="E48" i="33"/>
  <c r="E52" i="21"/>
  <c r="F52" i="21" s="1"/>
  <c r="L46" i="36"/>
  <c r="R39" i="35"/>
  <c r="E38" i="35"/>
  <c r="R43" i="37"/>
  <c r="E42" i="37"/>
  <c r="E54" i="34"/>
  <c r="F54" i="34" s="1"/>
  <c r="E53" i="34"/>
  <c r="F53" i="34" s="1"/>
  <c r="I54" i="34"/>
  <c r="J54" i="34" s="1"/>
  <c r="I46" i="37"/>
  <c r="J46" i="37" s="1"/>
  <c r="I47" i="37"/>
  <c r="J47" i="37" s="1"/>
  <c r="G52" i="33"/>
  <c r="H52" i="33" s="1"/>
  <c r="G53" i="33"/>
  <c r="H53" i="33" s="1"/>
  <c r="I42" i="35"/>
  <c r="J42" i="35" s="1"/>
  <c r="I43" i="35"/>
  <c r="J43" i="35" s="1"/>
  <c r="G46" i="37"/>
  <c r="H46" i="37" s="1"/>
  <c r="G47" i="37"/>
  <c r="H47" i="37" s="1"/>
  <c r="D5" i="59"/>
  <c r="M20" i="46"/>
  <c r="E29" i="46"/>
  <c r="C65" i="15"/>
  <c r="C59" i="15"/>
  <c r="B5" i="11"/>
  <c r="B3" i="11"/>
  <c r="B4" i="11"/>
  <c r="J26" i="15"/>
  <c r="J29" i="15" s="1"/>
  <c r="J24" i="15"/>
  <c r="C38" i="15"/>
  <c r="Q58" i="44"/>
  <c r="Q67" i="44"/>
  <c r="Q49" i="44"/>
  <c r="Q55" i="44" s="1"/>
  <c r="F7" i="67"/>
  <c r="C49" i="21" l="1"/>
  <c r="B3" i="21" s="1"/>
  <c r="I53" i="21"/>
  <c r="J53" i="21" s="1"/>
  <c r="C28" i="44"/>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B2" i="21" l="1"/>
  <c r="C10" i="12" s="1"/>
  <c r="C6" i="12" s="1"/>
  <c r="C8" i="12"/>
  <c r="I65" i="40"/>
  <c r="H67" i="40"/>
  <c r="H72" i="39"/>
  <c r="I70" i="39"/>
  <c r="N46" i="36"/>
  <c r="E3" i="67"/>
  <c r="B2" i="67"/>
  <c r="D4" i="46"/>
  <c r="B3" i="46"/>
  <c r="B4" i="46"/>
  <c r="C24" i="12" l="1"/>
  <c r="C35" i="12" s="1"/>
  <c r="C33" i="12" s="1"/>
  <c r="C29" i="12"/>
  <c r="O46" i="36"/>
  <c r="J7" i="36" s="1"/>
  <c r="F7" i="36"/>
  <c r="H7" i="36"/>
  <c r="J65" i="40"/>
  <c r="I67" i="40"/>
  <c r="J70" i="39"/>
  <c r="I72" i="39"/>
  <c r="B3" i="67"/>
  <c r="B4" i="67"/>
  <c r="K70" i="39" l="1"/>
  <c r="J72" i="39"/>
  <c r="U7" i="36"/>
  <c r="AB7" i="36"/>
  <c r="T36" i="36" s="1"/>
  <c r="G36" i="36" s="1"/>
  <c r="AC7" i="36"/>
  <c r="V36" i="36" s="1"/>
  <c r="I36" i="36" s="1"/>
  <c r="W7" i="36"/>
  <c r="J67" i="40"/>
  <c r="K65" i="40"/>
  <c r="S7" i="36"/>
  <c r="AA7" i="36"/>
  <c r="R36" i="36" s="1"/>
  <c r="R37" i="36" l="1"/>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1" i="43"/>
  <c r="F26" i="12"/>
  <c r="F26" i="44"/>
  <c r="F24" i="15"/>
  <c r="C21" i="9"/>
  <c r="C20"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D19" i="9"/>
  <c r="D22" i="9" l="1"/>
  <c r="L44" i="9"/>
  <c r="G19" i="9"/>
  <c r="K21" i="9" s="1"/>
  <c r="B3" i="12"/>
  <c r="J59" i="15"/>
  <c r="J60" i="15" s="1"/>
  <c r="L46" i="15" s="1"/>
  <c r="C33" i="15"/>
  <c r="C31" i="15" s="1"/>
  <c r="C38" i="44"/>
  <c r="J19" i="15"/>
  <c r="J17" i="15" s="1"/>
  <c r="C13" i="15"/>
  <c r="Q71" i="15" s="1"/>
  <c r="C35" i="44"/>
  <c r="C33" i="44" s="1"/>
  <c r="J21" i="44"/>
  <c r="J19" i="44" s="1"/>
  <c r="C36" i="15"/>
  <c r="J14" i="15"/>
  <c r="J22" i="15" s="1"/>
  <c r="C56" i="15"/>
  <c r="C60" i="15" s="1"/>
  <c r="C58" i="15" s="1"/>
  <c r="J16" i="44"/>
  <c r="J15" i="44" s="1"/>
  <c r="J25" i="44" s="1"/>
  <c r="Q51" i="44"/>
  <c r="B4" i="43"/>
  <c r="B4" i="12"/>
  <c r="B3" i="43"/>
  <c r="B5" i="12"/>
  <c r="Q72" i="44"/>
  <c r="C39" i="44"/>
  <c r="C43" i="44"/>
  <c r="D21" i="9"/>
  <c r="D20" i="9"/>
  <c r="Q49" i="15" l="1"/>
  <c r="G21" i="9"/>
  <c r="G20" i="9"/>
  <c r="C32" i="9"/>
  <c r="G22" i="9"/>
  <c r="N43" i="9"/>
  <c r="C63" i="15"/>
  <c r="J13" i="15"/>
  <c r="J23" i="15" s="1"/>
  <c r="J16" i="15" s="1"/>
  <c r="J25" i="15" s="1"/>
  <c r="J35" i="15"/>
  <c r="C37" i="15"/>
  <c r="C30" i="15" s="1"/>
  <c r="C39" i="15" s="1"/>
  <c r="J24" i="44"/>
  <c r="J18" i="44" s="1"/>
  <c r="J27" i="44" s="1"/>
  <c r="C55" i="15"/>
  <c r="C64" i="15" s="1"/>
  <c r="C32" i="44"/>
  <c r="C42" i="44" s="1"/>
  <c r="C44" i="44" s="1"/>
  <c r="C45" i="44" s="1"/>
  <c r="L51" i="15"/>
  <c r="O38" i="9" l="1"/>
  <c r="C42" i="9"/>
  <c r="C34" i="9"/>
  <c r="C33" i="9"/>
  <c r="O43" i="9"/>
  <c r="C35" i="9"/>
  <c r="F42" i="9" s="1"/>
  <c r="C57" i="15"/>
  <c r="C66" i="15" s="1"/>
  <c r="C67" i="15" s="1"/>
  <c r="C70" i="15" s="1"/>
  <c r="Q70" i="15"/>
  <c r="Q69" i="15" s="1"/>
  <c r="C40" i="15"/>
  <c r="Q71" i="44"/>
  <c r="Q70" i="44" s="1"/>
  <c r="J39" i="15"/>
  <c r="J40" i="15" s="1"/>
  <c r="Q68" i="15"/>
  <c r="L57" i="15"/>
  <c r="L60" i="15" s="1"/>
  <c r="Q58" i="15" s="1"/>
  <c r="B2" i="44"/>
  <c r="L52" i="44"/>
  <c r="D42" i="9" l="1"/>
  <c r="Q5" i="54" s="1"/>
  <c r="B47" i="63" s="1"/>
  <c r="N38" i="9"/>
  <c r="K28" i="9" s="1"/>
  <c r="C44" i="9"/>
  <c r="R5" i="54"/>
  <c r="B48" i="63" s="1"/>
  <c r="D63" i="9"/>
  <c r="D14" i="66"/>
  <c r="N68" i="9"/>
  <c r="M38" i="9"/>
  <c r="K27" i="9" s="1"/>
  <c r="E42" i="9"/>
  <c r="P5" i="54" s="1"/>
  <c r="B46" i="63" s="1"/>
  <c r="K26" i="9"/>
  <c r="K25" i="9"/>
  <c r="C46" i="15"/>
  <c r="C43" i="15"/>
  <c r="Q48" i="15"/>
  <c r="Q54" i="15" s="1"/>
  <c r="J42" i="15"/>
  <c r="J43" i="15" s="1"/>
  <c r="Q66" i="15"/>
  <c r="Q57" i="15"/>
  <c r="Q63" i="15" s="1"/>
  <c r="B2" i="15"/>
  <c r="B3" i="15" s="1"/>
  <c r="Q67" i="15"/>
  <c r="Q69" i="44"/>
  <c r="L58" i="44"/>
  <c r="L61" i="44" s="1"/>
  <c r="B3" i="44"/>
  <c r="B5" i="44"/>
  <c r="B4" i="44"/>
  <c r="F14" i="66" l="1"/>
  <c r="E14" i="66"/>
  <c r="D73" i="9"/>
  <c r="N73" i="9" s="1"/>
  <c r="C90" i="9"/>
  <c r="C111" i="9"/>
  <c r="C104" i="9" s="1"/>
  <c r="C82" i="9"/>
  <c r="C81" i="9" s="1"/>
  <c r="C85" i="9" s="1"/>
  <c r="C86" i="9" s="1"/>
  <c r="D72" i="9" s="1"/>
  <c r="D70" i="9"/>
  <c r="D71" i="9"/>
  <c r="D66" i="9" s="1"/>
  <c r="N72" i="9" s="1"/>
  <c r="C96" i="9"/>
  <c r="C91" i="9" s="1"/>
  <c r="C103" i="9"/>
  <c r="D44" i="9"/>
  <c r="G14" i="66"/>
  <c r="E44" i="9"/>
  <c r="O39" i="9"/>
  <c r="F44" i="9"/>
  <c r="N69" i="9"/>
  <c r="Q76" i="15"/>
  <c r="Q59" i="44"/>
  <c r="Q64" i="44" s="1"/>
  <c r="Q68" i="44"/>
  <c r="Q77" i="44" s="1"/>
  <c r="C113" i="9" l="1"/>
  <c r="C114" i="9" s="1"/>
  <c r="E114" i="9" s="1"/>
  <c r="E115" i="9" s="1"/>
  <c r="M86" i="9"/>
  <c r="N86" i="9" s="1"/>
  <c r="M88" i="9"/>
  <c r="N88" i="9" s="1"/>
  <c r="M85" i="9"/>
  <c r="N85" i="9" s="1"/>
  <c r="M84" i="9"/>
  <c r="N84" i="9" s="1"/>
  <c r="M87" i="9"/>
  <c r="N87" i="9" s="1"/>
  <c r="M83" i="9"/>
  <c r="N83" i="9" s="1"/>
  <c r="R6" i="54"/>
  <c r="B50" i="63" s="1"/>
  <c r="K29" i="9"/>
  <c r="K30" i="9" s="1"/>
  <c r="C97" i="9"/>
  <c r="N89" i="9" l="1"/>
  <c r="O89" i="9" s="1"/>
  <c r="C115" i="9"/>
  <c r="D76" i="9" s="1"/>
  <c r="D74" i="9" s="1"/>
  <c r="N74" i="9" s="1"/>
  <c r="O77" i="9" s="1"/>
  <c r="O78" i="9" s="1"/>
  <c r="C98" i="9"/>
  <c r="E98" i="9" s="1"/>
  <c r="E99" i="9" s="1"/>
  <c r="C99" i="9" l="1"/>
  <c r="Q77" i="9"/>
  <c r="O79" i="9"/>
  <c r="O81" i="9" s="1"/>
  <c r="O80" i="9" l="1"/>
  <c r="F15" i="66" l="1"/>
  <c r="E15" i="66"/>
  <c r="B5" i="66"/>
  <c r="D32" i="66" s="1"/>
  <c r="B6" i="66" l="1"/>
  <c r="C5" i="66"/>
  <c r="D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<sst xmlns="http://schemas.openxmlformats.org/spreadsheetml/2006/main" count="7587" uniqueCount="3199">
  <si>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</si>
  <si>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</si>
  <si>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</si>
  <si>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</si>
  <si>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</si>
  <si>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</si>
  <si>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</si>
  <si>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</si>
  <si>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</si>
  <si>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</si>
  <si>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</si>
  <si>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</si>
  <si>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</si>
  <si>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</si>
  <si>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</si>
  <si>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</si>
  <si>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</si>
  <si>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</si>
  <si>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</si>
  <si>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</si>
  <si>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</si>
  <si>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</si>
  <si>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</si>
  <si>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</si>
  <si>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</si>
  <si>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</si>
  <si>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</si>
  <si>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</si>
  <si>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</si>
  <si>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</si>
  <si>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</si>
  <si>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</si>
  <si>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</si>
  <si>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</si>
  <si>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</si>
  <si>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</si>
  <si>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</si>
  <si>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</si>
  <si>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</si>
  <si>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</si>
  <si>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</si>
  <si>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</si>
  <si>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</si>
  <si>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</si>
  <si>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</si>
  <si>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</si>
  <si>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</si>
  <si>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</si>
  <si>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</si>
  <si>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</si>
  <si>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</si>
  <si>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</si>
  <si>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</si>
  <si>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</si>
  <si>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</si>
  <si>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</si>
  <si>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</si>
  <si>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</si>
  <si>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</si>
  <si>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</si>
  <si>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</si>
  <si>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</si>
  <si>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</si>
  <si>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</si>
  <si>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</si>
  <si>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</si>
  <si>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</si>
  <si>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</si>
  <si>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</si>
  <si>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</si>
  <si>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</si>
  <si>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</si>
  <si>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</si>
  <si>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</si>
  <si>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</si>
  <si>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</si>
  <si>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</si>
  <si>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</si>
  <si>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</si>
  <si>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</si>
  <si>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</si>
  <si>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</si>
  <si>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</si>
  <si>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</si>
  <si>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</si>
  <si>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</si>
  <si>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</si>
  <si>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</si>
  <si>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</si>
  <si>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</si>
  <si>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</si>
  <si>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</si>
  <si>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</si>
  <si>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</si>
  <si>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</si>
  <si>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</si>
  <si>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</si>
  <si>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</si>
  <si>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</si>
  <si>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</si>
  <si>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</si>
  <si>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</si>
  <si>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</si>
  <si>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</si>
  <si>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</si>
  <si>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</si>
  <si>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</si>
  <si>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</si>
  <si>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</si>
  <si>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</si>
  <si>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</si>
  <si>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</si>
  <si>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</si>
  <si>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</si>
  <si>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</si>
  <si>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</si>
  <si>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</si>
  <si>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</si>
  <si>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</si>
  <si>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</si>
  <si>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</si>
  <si>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</si>
  <si>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</si>
  <si>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</si>
  <si>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</si>
  <si>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</si>
  <si>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</si>
  <si>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</si>
  <si>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</si>
  <si>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</si>
  <si>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</si>
  <si>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</si>
  <si>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</si>
  <si>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</si>
  <si>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</si>
  <si>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</si>
  <si>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</si>
  <si>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</si>
  <si>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</si>
  <si>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</si>
  <si>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</si>
  <si>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</si>
  <si>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</si>
  <si>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</si>
  <si>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</si>
  <si>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</si>
  <si>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</si>
  <si>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</si>
  <si>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</si>
  <si>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</si>
  <si>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</si>
  <si>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</si>
  <si>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</si>
  <si>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</si>
  <si>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</si>
  <si>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</si>
  <si>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</si>
  <si>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</si>
  <si>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</si>
  <si>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</si>
  <si>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</si>
  <si>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</si>
  <si>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</si>
  <si>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</si>
  <si>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</si>
  <si>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</si>
  <si>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</si>
  <si>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</si>
  <si>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</si>
  <si>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</si>
  <si>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</si>
  <si>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</si>
  <si>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</si>
  <si>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</si>
  <si>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</si>
  <si>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</si>
  <si>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</si>
  <si>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</si>
  <si>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</si>
  <si>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</si>
  <si>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</si>
  <si>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</si>
  <si>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</si>
  <si>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</si>
  <si>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</si>
  <si>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</si>
  <si>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</si>
  <si>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</si>
  <si>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</si>
  <si>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</si>
  <si>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</si>
  <si>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</si>
  <si>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</si>
  <si>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</si>
  <si>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</si>
  <si>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</si>
  <si>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</si>
  <si>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</si>
  <si>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</si>
  <si>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</si>
  <si>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</si>
  <si>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</si>
  <si>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</si>
  <si>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</si>
  <si>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</si>
  <si>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</si>
  <si>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</si>
  <si>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</si>
  <si>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</si>
  <si>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</si>
  <si>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</si>
  <si>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</si>
  <si>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</si>
  <si>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</si>
  <si>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</si>
  <si>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</si>
  <si>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</si>
  <si>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</si>
  <si>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</si>
  <si>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</si>
  <si>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</si>
  <si>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</si>
  <si>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</si>
  <si>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</si>
  <si>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</si>
  <si>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</si>
  <si>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</si>
  <si>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</si>
  <si>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</si>
  <si>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</si>
  <si>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</si>
  <si>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</si>
  <si>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</si>
  <si>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</si>
  <si>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</si>
  <si>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</si>
  <si>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</si>
  <si>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</si>
  <si>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</si>
  <si>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</si>
  <si>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</si>
  <si>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</si>
  <si>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</si>
  <si>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</si>
  <si>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</si>
  <si>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</si>
  <si>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</si>
  <si>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</si>
  <si>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</si>
  <si>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</si>
  <si>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</si>
  <si>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</si>
  <si>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</si>
  <si>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</si>
  <si>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</si>
  <si>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</si>
  <si>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</si>
  <si>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</si>
  <si>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</si>
  <si>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</si>
  <si>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</si>
  <si>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</si>
  <si>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</si>
  <si>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</si>
  <si>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</si>
  <si>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</si>
  <si>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</si>
  <si>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</si>
  <si>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</si>
  <si>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</si>
  <si>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</si>
  <si>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</si>
  <si>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</si>
  <si>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</si>
  <si>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</si>
  <si>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</si>
  <si>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</si>
  <si>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</si>
  <si>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</si>
  <si>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</si>
  <si>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</si>
  <si>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</si>
  <si>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</si>
  <si>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</si>
  <si>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</si>
  <si>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</si>
  <si>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</si>
  <si>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</si>
  <si>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</si>
  <si>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</si>
  <si>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</si>
  <si>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</si>
  <si>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</si>
  <si>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</si>
  <si>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</si>
  <si>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</si>
  <si>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</si>
  <si>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</si>
  <si>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</si>
  <si>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</si>
  <si>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</si>
  <si>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</si>
  <si>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</si>
  <si>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</si>
  <si>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</si>
  <si>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</si>
  <si>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</si>
  <si>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</si>
  <si>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</si>
  <si>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</si>
  <si>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</si>
  <si>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</si>
  <si>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</si>
  <si>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</si>
  <si>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</si>
  <si>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</si>
  <si>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</si>
  <si>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</si>
  <si>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</si>
  <si>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</si>
  <si>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</si>
  <si>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</si>
  <si>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</si>
  <si>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</si>
  <si>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</si>
  <si>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</si>
  <si>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</si>
  <si>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</si>
  <si>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</si>
  <si>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</si>
  <si>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</si>
  <si>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</si>
  <si>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</si>
  <si>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</si>
  <si>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</si>
  <si>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</si>
  <si>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</si>
  <si>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</si>
  <si>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</si>
  <si>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</si>
  <si>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</si>
  <si>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</si>
  <si>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</si>
  <si>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</si>
  <si>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</si>
  <si>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</si>
  <si>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</si>
  <si>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</si>
  <si>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</si>
  <si>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</si>
  <si>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</si>
  <si>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</si>
  <si>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</si>
  <si>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</si>
  <si>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</si>
  <si>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</si>
  <si>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</si>
  <si>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</si>
  <si>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</si>
  <si>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</si>
  <si>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</si>
  <si>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</si>
  <si>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</si>
  <si>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</si>
  <si>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</si>
  <si>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</si>
  <si>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</si>
  <si>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</si>
  <si>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</si>
  <si>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</si>
  <si>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</si>
  <si>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</si>
  <si>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</si>
  <si>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</si>
  <si>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</si>
  <si>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</si>
  <si>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</si>
  <si>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</si>
  <si>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</si>
  <si>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</si>
  <si>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</si>
  <si>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</si>
  <si>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</si>
  <si>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</si>
  <si>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</si>
  <si>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</si>
  <si>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</si>
  <si>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</si>
  <si>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</si>
  <si>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</si>
  <si>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</si>
  <si>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</si>
  <si>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</si>
  <si>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</si>
  <si>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</si>
  <si>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</si>
  <si>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</si>
  <si>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</si>
  <si>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</si>
  <si>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</si>
  <si>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</si>
  <si>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</si>
  <si>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</si>
  <si>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</si>
  <si>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</si>
  <si>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</si>
  <si>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</si>
  <si>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</si>
  <si>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</si>
  <si>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</si>
  <si>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</si>
  <si>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</si>
  <si>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</si>
  <si>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</si>
  <si>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</si>
  <si>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</si>
  <si>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</si>
  <si>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</si>
  <si>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</si>
  <si>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</si>
  <si>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</si>
  <si>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</si>
  <si>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</si>
  <si>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</si>
  <si>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</si>
  <si>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</si>
  <si>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</si>
  <si>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</si>
  <si>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</si>
  <si>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</si>
  <si>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</si>
  <si>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</si>
  <si>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</si>
  <si>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</si>
  <si>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</si>
  <si>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</si>
  <si>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</si>
  <si>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</si>
  <si>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</si>
  <si>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</si>
  <si>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</si>
  <si>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</si>
  <si>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</si>
  <si>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</si>
  <si>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</si>
  <si>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</si>
  <si>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</si>
  <si>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</si>
  <si>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</si>
  <si>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</si>
  <si>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</si>
  <si>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</si>
  <si>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</si>
  <si>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</si>
  <si>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</si>
  <si>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</si>
  <si>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</si>
  <si>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</si>
  <si>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</si>
  <si>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</si>
  <si>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</si>
  <si>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</si>
  <si>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</si>
  <si>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</si>
  <si>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</si>
  <si>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</si>
  <si>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</si>
  <si>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</si>
  <si>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</si>
  <si>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</si>
  <si>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</si>
  <si>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</si>
  <si>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</si>
  <si>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</si>
  <si>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</si>
  <si>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</si>
  <si>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</si>
  <si>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</si>
  <si>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</si>
  <si>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</si>
  <si>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</si>
  <si>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</si>
  <si>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</si>
  <si>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</si>
  <si>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</si>
  <si>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</si>
  <si>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</si>
  <si>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</si>
  <si>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</si>
  <si>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</si>
  <si>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</si>
  <si>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</si>
  <si>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</si>
  <si>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</si>
  <si>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</si>
  <si>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</si>
  <si>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</si>
  <si>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</si>
  <si>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</si>
  <si>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</si>
  <si>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</si>
  <si>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</si>
  <si>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</si>
  <si>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</si>
  <si>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</si>
  <si>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</si>
  <si>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</si>
  <si>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</si>
  <si>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</si>
  <si>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</si>
  <si>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</si>
  <si>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</si>
  <si>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</si>
  <si>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</si>
  <si>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</si>
  <si>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</si>
  <si>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</si>
  <si>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</si>
  <si>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</si>
  <si>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</si>
  <si>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</si>
  <si>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</si>
  <si>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</si>
  <si>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</si>
  <si>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</si>
  <si>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</si>
  <si>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</si>
  <si>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</si>
  <si>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</si>
  <si>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</si>
  <si>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</si>
  <si>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</si>
  <si>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</si>
  <si>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</si>
  <si>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</si>
  <si>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</si>
  <si>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</si>
  <si>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</si>
  <si>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</si>
  <si>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</si>
  <si>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</si>
  <si>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</si>
  <si>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</si>
  <si>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</si>
  <si>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</si>
  <si>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</si>
  <si>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</si>
  <si>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</si>
  <si>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</si>
  <si>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</si>
  <si>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</si>
  <si>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</si>
  <si>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</si>
  <si>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</si>
  <si>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</si>
  <si>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</si>
  <si>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</si>
  <si>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</si>
  <si>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</si>
  <si>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</si>
  <si>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</si>
  <si>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</si>
  <si>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</si>
  <si>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</si>
  <si>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</si>
  <si>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</si>
  <si>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</si>
  <si>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</si>
  <si>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</si>
  <si>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</si>
  <si>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</si>
  <si>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</si>
  <si>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</si>
  <si>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</si>
  <si>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</si>
  <si>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</si>
  <si>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</si>
  <si>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</si>
  <si>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</si>
  <si>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</si>
  <si>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</si>
  <si>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</si>
  <si>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</si>
  <si>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</si>
  <si>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</si>
  <si>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</si>
  <si>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</si>
  <si>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</si>
  <si>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</si>
  <si>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</si>
  <si>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</si>
  <si>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</si>
  <si>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</si>
  <si>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</si>
  <si>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</si>
  <si>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</si>
  <si>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</si>
  <si>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</si>
  <si>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</si>
  <si>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</si>
  <si>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</si>
  <si>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</si>
  <si>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</si>
  <si>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</si>
  <si>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</si>
  <si>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</si>
  <si>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</si>
  <si>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</si>
  <si>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</si>
  <si>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</si>
  <si>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</si>
  <si>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</si>
  <si>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</si>
  <si>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</si>
  <si>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</si>
  <si>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</si>
  <si>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</si>
  <si>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</si>
  <si>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</si>
  <si>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</si>
  <si>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</si>
  <si>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</si>
  <si>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</si>
  <si>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</si>
  <si>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</si>
  <si>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</si>
  <si>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</si>
  <si>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</si>
  <si>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</si>
  <si>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</si>
  <si>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</si>
  <si>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</si>
  <si>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</si>
  <si>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</si>
  <si>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</si>
  <si>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</si>
  <si>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</si>
  <si>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</si>
  <si>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</si>
  <si>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</si>
  <si>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</si>
  <si>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</si>
  <si>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</si>
  <si>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</si>
  <si>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</si>
  <si>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</si>
  <si>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</si>
  <si>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</si>
  <si>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</si>
  <si>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</si>
  <si>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</si>
  <si>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</si>
  <si>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</si>
  <si>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</si>
  <si>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</si>
  <si>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</si>
  <si>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</si>
  <si>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</si>
  <si>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</si>
  <si>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</si>
  <si>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</si>
  <si>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</si>
  <si>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</si>
  <si>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</si>
  <si>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</si>
  <si>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</si>
  <si>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</si>
  <si>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</si>
  <si>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</si>
  <si>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</si>
  <si>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</si>
  <si>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</si>
  <si>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</si>
  <si>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</si>
  <si>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</si>
  <si>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</si>
  <si>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</si>
  <si>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</si>
  <si>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</si>
  <si>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</si>
  <si>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</si>
  <si>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</si>
  <si>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</si>
  <si>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</si>
  <si>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</si>
  <si>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</si>
  <si>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</si>
  <si>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</si>
  <si>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</si>
  <si>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</si>
  <si>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</si>
  <si>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</si>
  <si>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</si>
  <si>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</si>
  <si>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</si>
  <si>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</si>
  <si>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</si>
  <si>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</si>
  <si>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</si>
  <si>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</si>
  <si>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</si>
  <si>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</si>
  <si>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</si>
  <si>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</si>
  <si>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</si>
  <si>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</si>
  <si>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</si>
  <si>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</si>
  <si>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</si>
  <si>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</si>
  <si>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</si>
  <si>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</si>
  <si>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</si>
  <si>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</si>
  <si>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</si>
  <si>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</si>
  <si>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</si>
  <si>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</si>
  <si>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</si>
  <si>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</si>
  <si>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</si>
  <si>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</si>
  <si>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</si>
  <si>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</si>
  <si>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</si>
  <si>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</si>
  <si>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</si>
  <si>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</si>
  <si>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</si>
  <si>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</si>
  <si>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</si>
  <si>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</si>
  <si>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</si>
  <si>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</si>
  <si>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</si>
  <si>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</si>
  <si>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</si>
  <si>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</si>
  <si>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</si>
  <si>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</si>
  <si>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</si>
  <si>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</si>
  <si>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</si>
  <si>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</si>
  <si>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</si>
  <si>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</si>
  <si>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</si>
  <si>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</si>
  <si>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</si>
  <si>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</si>
  <si>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</si>
  <si>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</si>
  <si>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</si>
  <si>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</si>
  <si>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</si>
  <si>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</si>
  <si>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</si>
  <si>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</si>
  <si>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</si>
  <si>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</si>
  <si>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</si>
  <si>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</si>
  <si>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</si>
  <si>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</si>
  <si>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</si>
  <si>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</si>
  <si>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</si>
  <si>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</si>
  <si>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</si>
  <si>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</si>
  <si>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</si>
  <si>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</si>
  <si>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</si>
  <si>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</si>
  <si>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</si>
  <si>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</si>
  <si>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</si>
  <si>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</si>
  <si>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</si>
  <si>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</si>
  <si>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</si>
  <si>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</si>
  <si>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</si>
  <si>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</si>
  <si>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</si>
  <si>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</si>
  <si>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</si>
  <si>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</si>
  <si>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</si>
  <si>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</si>
  <si>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</si>
  <si>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</si>
  <si>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</si>
  <si>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</si>
  <si>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</si>
  <si>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</si>
  <si>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</si>
  <si>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</si>
  <si>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</si>
  <si>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</si>
  <si>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</si>
  <si>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</si>
  <si>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</si>
  <si>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</si>
  <si>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</si>
  <si>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</si>
  <si>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</si>
  <si>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</si>
  <si>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</si>
  <si>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</si>
  <si>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</si>
  <si>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</si>
  <si>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</si>
  <si>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</si>
  <si>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</si>
  <si>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</si>
  <si>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</si>
  <si>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</si>
  <si>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</si>
  <si>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</si>
  <si>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</si>
  <si>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</si>
  <si>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</si>
  <si>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</si>
  <si>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</si>
  <si>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</si>
  <si>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</si>
  <si>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</si>
  <si>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</si>
  <si>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</si>
  <si>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</si>
  <si>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</si>
  <si>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</si>
  <si>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</si>
  <si>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</si>
  <si>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</si>
  <si>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</si>
  <si>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</si>
  <si>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</si>
  <si>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</si>
  <si>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</si>
  <si>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</si>
  <si>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</si>
  <si>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</si>
  <si>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</si>
  <si>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</si>
  <si>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</si>
  <si>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</si>
  <si>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</si>
  <si>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</si>
  <si>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</si>
  <si>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</si>
  <si>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</si>
  <si>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</si>
  <si>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</si>
  <si>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</si>
  <si>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</si>
  <si>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</si>
  <si>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</si>
  <si>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</si>
  <si>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</si>
  <si>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</si>
  <si>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</si>
  <si>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</si>
  <si>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</si>
  <si>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</si>
  <si>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</si>
  <si>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</si>
  <si>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</si>
  <si>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</si>
  <si>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</si>
  <si>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</si>
  <si>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</si>
  <si>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</si>
  <si>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</si>
  <si>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</si>
  <si>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</si>
  <si>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</si>
  <si>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</si>
  <si>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</si>
  <si>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</si>
  <si>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</si>
  <si>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</si>
  <si>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</si>
  <si>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</si>
  <si>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</si>
  <si>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</si>
  <si>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</si>
  <si>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</si>
  <si>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</si>
  <si>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</si>
  <si>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</si>
  <si>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</si>
  <si>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</si>
  <si>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</si>
  <si>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</si>
  <si>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</si>
  <si>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</si>
  <si>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</si>
  <si>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</si>
  <si>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</si>
  <si>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</si>
  <si>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</si>
  <si>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</si>
  <si>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</si>
  <si>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</si>
  <si>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</si>
  <si>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</si>
  <si>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</si>
  <si>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</si>
  <si>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</si>
  <si>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</si>
  <si>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</si>
  <si>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</si>
  <si>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</si>
  <si>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</si>
  <si>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</si>
  <si>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</si>
  <si>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</si>
  <si>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</si>
  <si>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</si>
  <si>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</si>
  <si>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</si>
  <si>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</si>
  <si>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</si>
  <si>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</si>
  <si>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</si>
  <si>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</si>
  <si>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</si>
  <si>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</si>
  <si>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</si>
  <si>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</si>
  <si>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</si>
  <si>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</si>
  <si>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</si>
  <si>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</si>
  <si>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</si>
  <si>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</si>
  <si>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</si>
  <si>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</si>
  <si>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</si>
  <si>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</si>
  <si>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</si>
  <si>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</si>
  <si>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</si>
  <si>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</si>
  <si>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</si>
  <si>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</si>
  <si>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</si>
  <si>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</si>
  <si>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</si>
  <si>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</si>
  <si>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</si>
  <si>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</si>
  <si>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</si>
  <si>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</si>
  <si>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</si>
  <si>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</si>
  <si>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</si>
  <si>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</si>
  <si>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</si>
  <si>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</si>
  <si>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</si>
  <si>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</si>
  <si>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</si>
  <si>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</si>
  <si>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</si>
  <si>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</si>
  <si>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</si>
  <si>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</si>
  <si>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</si>
  <si>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</si>
  <si>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</si>
  <si>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</si>
  <si>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</si>
  <si>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</si>
  <si>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</si>
  <si>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</si>
  <si>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</si>
  <si>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</si>
  <si>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</si>
  <si>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</si>
  <si>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</si>
  <si>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</si>
  <si>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</si>
  <si>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</si>
  <si>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</si>
  <si>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</si>
  <si>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</si>
  <si>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</si>
  <si>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</si>
  <si>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</si>
  <si>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</si>
  <si>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</si>
  <si>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</si>
  <si>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</si>
  <si>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</si>
  <si>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</si>
  <si>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</si>
  <si>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</si>
  <si>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</si>
  <si>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</si>
  <si>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</si>
  <si>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</si>
  <si>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</si>
  <si>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</si>
  <si>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</si>
  <si>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</si>
  <si>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</si>
  <si>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</si>
  <si>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</si>
  <si>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</si>
  <si>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</si>
  <si>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</si>
  <si>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</si>
  <si>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</si>
  <si>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</si>
  <si>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</si>
  <si>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</si>
  <si>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</si>
  <si>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</si>
  <si>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</si>
  <si>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</si>
  <si>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</si>
  <si>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</si>
  <si>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</si>
  <si>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</si>
  <si>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</si>
  <si>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</si>
  <si>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</si>
  <si>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</si>
  <si>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</si>
  <si>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</si>
  <si>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</si>
  <si>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</si>
  <si>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</si>
  <si>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</si>
  <si>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</si>
  <si>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</si>
  <si>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</si>
  <si>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</si>
  <si>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</si>
  <si>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</si>
  <si>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</si>
  <si>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</si>
  <si>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</si>
  <si>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</si>
  <si>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</si>
  <si>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</si>
  <si>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</si>
  <si>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</si>
  <si>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</si>
  <si>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</si>
  <si>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</si>
  <si>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</si>
  <si>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</si>
  <si>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</si>
  <si>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</si>
  <si>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</si>
  <si>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</si>
  <si>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</si>
  <si>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</si>
  <si>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</si>
  <si>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</si>
  <si>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</si>
  <si>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</si>
  <si>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</si>
  <si>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</si>
  <si>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</si>
  <si>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</si>
  <si>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</si>
  <si>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</si>
  <si>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</si>
  <si>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</si>
  <si>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</si>
  <si>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</si>
  <si>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</si>
  <si>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</si>
  <si>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</si>
  <si>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</si>
  <si>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</si>
  <si>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</si>
  <si>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</si>
  <si>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</si>
  <si>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</si>
  <si>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</si>
  <si>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</si>
  <si>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</si>
  <si>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</si>
  <si>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</si>
  <si>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</si>
  <si>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</si>
  <si>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</si>
  <si>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</si>
  <si>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</si>
  <si>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</si>
  <si>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</si>
  <si>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</si>
  <si>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</si>
  <si>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</si>
  <si>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</si>
  <si>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</si>
  <si>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</si>
  <si>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</si>
  <si>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</si>
  <si>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</si>
  <si>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</si>
  <si>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</si>
  <si>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</si>
  <si>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</si>
  <si>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</si>
  <si>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</si>
  <si>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</si>
  <si>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</si>
  <si>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</si>
  <si>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</si>
  <si>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</si>
  <si>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</si>
  <si>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</si>
  <si>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</si>
  <si>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</si>
  <si>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</si>
  <si>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</si>
  <si>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</si>
  <si>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</si>
  <si>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</si>
  <si>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</si>
  <si>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</si>
  <si>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</si>
  <si>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</si>
  <si>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</si>
  <si>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</si>
  <si>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</si>
  <si>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</si>
  <si>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</si>
  <si>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</si>
  <si>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</si>
  <si>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</si>
  <si>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</si>
  <si>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</si>
  <si>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</si>
  <si>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</si>
  <si>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</si>
  <si>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</si>
  <si>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</si>
  <si>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</si>
  <si>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</si>
  <si>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</si>
  <si>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</si>
  <si>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</si>
  <si>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</si>
  <si>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</si>
  <si>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</si>
  <si>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</si>
  <si>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</si>
  <si>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</si>
  <si>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</si>
  <si>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</si>
  <si>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</si>
  <si>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</si>
  <si>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</si>
  <si>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</si>
  <si>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</si>
  <si>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</si>
  <si>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</si>
  <si>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</si>
  <si>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</si>
  <si>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</si>
  <si>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</si>
  <si>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</si>
  <si>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</si>
  <si>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</si>
  <si>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</si>
  <si>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</si>
  <si>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</si>
  <si>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</si>
  <si>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</si>
  <si>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</si>
  <si>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</si>
  <si>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</si>
  <si>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</si>
  <si>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</si>
  <si>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</si>
  <si>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</si>
  <si>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</si>
  <si>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</si>
  <si>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</si>
  <si>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</si>
  <si>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</si>
  <si>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</si>
  <si>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</si>
  <si>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</si>
  <si>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</si>
  <si>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</si>
  <si>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</si>
  <si>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</si>
  <si>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</si>
  <si>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</si>
  <si>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</si>
  <si>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</si>
  <si>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</si>
  <si>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</si>
  <si>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</si>
  <si>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</si>
  <si>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</si>
  <si>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</si>
  <si>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</si>
  <si>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</si>
  <si>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</si>
  <si>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</si>
  <si>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</si>
  <si>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</si>
  <si>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</si>
  <si>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</si>
  <si>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</si>
  <si>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</si>
  <si>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</si>
  <si>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</si>
  <si>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</si>
  <si>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</si>
  <si>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</si>
  <si>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</si>
  <si>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</si>
  <si>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</si>
  <si>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</si>
  <si>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</si>
  <si>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</si>
  <si>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</si>
  <si>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</si>
  <si>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</si>
  <si>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</si>
  <si>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</si>
  <si>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</si>
  <si>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</si>
  <si>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</si>
  <si>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</si>
  <si>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</si>
  <si>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</si>
  <si>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</si>
  <si>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</si>
  <si>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</si>
  <si>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</si>
  <si>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</si>
  <si>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</si>
  <si>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</si>
  <si>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</si>
  <si>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</si>
  <si>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</si>
  <si>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</si>
  <si>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</si>
  <si>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</si>
  <si>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</si>
  <si>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</si>
  <si>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</si>
  <si>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</si>
  <si>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</si>
  <si>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</si>
  <si>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</si>
  <si>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</si>
  <si>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</si>
  <si>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</si>
  <si>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</si>
  <si>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</si>
  <si>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</si>
  <si>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</si>
  <si>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</si>
  <si>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</si>
  <si>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</si>
  <si>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</si>
  <si>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</si>
  <si>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</si>
  <si>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</si>
  <si>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</si>
  <si>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</si>
  <si>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</si>
  <si>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</si>
  <si>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</si>
  <si>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</si>
  <si>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</si>
  <si>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</si>
  <si>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</si>
  <si>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</si>
  <si>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</si>
  <si>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</si>
  <si>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</si>
  <si>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</si>
  <si>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</si>
  <si>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</si>
  <si>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</si>
  <si>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</si>
  <si>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</si>
  <si>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</si>
  <si>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</si>
  <si>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</si>
  <si>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</si>
  <si>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</si>
  <si>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</si>
  <si>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</si>
  <si>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</si>
  <si>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</si>
  <si>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</si>
  <si>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</si>
  <si>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</si>
  <si>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</si>
  <si>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</si>
  <si>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</si>
  <si>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</si>
  <si>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</si>
  <si>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</si>
  <si>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</si>
  <si>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</si>
  <si>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</si>
  <si>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</si>
  <si>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</si>
  <si>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</si>
  <si>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</si>
  <si>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</si>
  <si>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</si>
  <si>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</si>
  <si>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</si>
  <si>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</si>
  <si>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</si>
  <si>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</si>
  <si>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</si>
  <si>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</si>
  <si>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</si>
  <si>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</si>
  <si>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</si>
  <si>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</si>
  <si>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</si>
  <si>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</si>
  <si>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</si>
  <si>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</si>
  <si>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</si>
  <si>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</si>
  <si>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</si>
  <si>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</si>
  <si>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</si>
  <si>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</si>
  <si>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</si>
  <si>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</si>
  <si>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</si>
  <si>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</si>
  <si>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</si>
  <si>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</si>
  <si>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</si>
  <si>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</si>
  <si>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</si>
  <si>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</si>
  <si>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</si>
  <si>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</si>
  <si>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</si>
  <si>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</si>
  <si>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</si>
  <si>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</si>
  <si>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</si>
  <si>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</si>
  <si>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</si>
  <si>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</si>
  <si>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</si>
  <si>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</si>
  <si>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</si>
  <si>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</si>
  <si>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</si>
  <si>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</si>
  <si>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</si>
  <si>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</si>
  <si>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</si>
  <si>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</si>
  <si>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</si>
  <si>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</si>
  <si>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</si>
  <si>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</si>
  <si>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</si>
  <si>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</si>
  <si>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</si>
  <si>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</si>
  <si>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</si>
  <si>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</si>
  <si>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</si>
  <si>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</si>
  <si>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</si>
  <si>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</si>
  <si>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</si>
  <si>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</si>
  <si>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</si>
  <si>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</si>
  <si>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</si>
  <si>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</si>
  <si>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</si>
  <si>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</si>
  <si>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</si>
  <si>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</si>
  <si>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</si>
  <si>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</si>
  <si>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</si>
  <si>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</si>
  <si>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</si>
  <si>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</si>
  <si>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</si>
  <si>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</si>
  <si>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</si>
  <si>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</si>
  <si>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</si>
  <si>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</si>
  <si>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</si>
  <si>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</si>
  <si>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</si>
  <si>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</si>
  <si>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</si>
  <si>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</si>
  <si>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</si>
  <si>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</si>
  <si>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</si>
  <si>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</si>
  <si>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</si>
  <si>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</si>
  <si>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</si>
  <si>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</si>
  <si>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</si>
  <si>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</si>
  <si>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</si>
  <si>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</si>
  <si>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</si>
  <si>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</si>
  <si>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</si>
  <si>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</si>
  <si>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</si>
  <si>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</si>
  <si>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</si>
  <si>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</si>
  <si>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</si>
  <si>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</si>
  <si>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</si>
  <si>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</si>
  <si>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</si>
  <si>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</si>
  <si>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</si>
  <si>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</si>
  <si>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</si>
  <si>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</si>
  <si>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</si>
  <si>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</si>
  <si>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</si>
  <si>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</si>
  <si>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</si>
  <si>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</si>
  <si>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</si>
  <si>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</si>
  <si>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</si>
  <si>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</si>
  <si>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</si>
  <si>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</si>
  <si>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</si>
  <si>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</si>
  <si>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</si>
  <si>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</si>
  <si>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</si>
  <si>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</si>
  <si>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</si>
  <si>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</si>
  <si>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</si>
  <si>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</si>
  <si>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</si>
  <si>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</si>
  <si>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</si>
  <si>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</si>
  <si>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</si>
  <si>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</si>
  <si>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</si>
  <si>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</si>
  <si>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</si>
  <si>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</si>
  <si>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</si>
  <si>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</si>
  <si>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</si>
  <si>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</si>
  <si>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</si>
  <si>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</si>
  <si>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</si>
  <si>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</si>
  <si>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</si>
  <si>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</si>
  <si>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</si>
  <si>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</si>
  <si>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</si>
  <si>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</si>
  <si>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</si>
  <si>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</si>
  <si>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</si>
  <si>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</si>
  <si>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</si>
  <si>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</si>
  <si>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</si>
  <si>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</si>
  <si>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</si>
  <si>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</si>
  <si>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</si>
  <si>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</si>
  <si>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</si>
  <si>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</si>
  <si>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</si>
  <si>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</si>
  <si>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</si>
  <si>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</si>
  <si>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</si>
  <si>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</si>
  <si>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</si>
  <si>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</si>
  <si>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</si>
  <si>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</si>
  <si>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</si>
  <si>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</si>
  <si>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</si>
  <si>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</si>
  <si>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</si>
  <si>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</si>
  <si>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</si>
  <si>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</si>
  <si>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</si>
  <si>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</si>
  <si>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</si>
  <si>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</si>
  <si>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</si>
  <si>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</si>
  <si>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</si>
  <si>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</si>
  <si>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</si>
  <si>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</si>
  <si>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</si>
  <si>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</si>
  <si>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</si>
  <si>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</si>
  <si>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</si>
  <si>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</si>
  <si>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</si>
  <si>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</si>
  <si>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</si>
  <si>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</si>
  <si>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</si>
  <si>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</si>
  <si>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</si>
  <si>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</si>
  <si>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</si>
  <si>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</si>
  <si>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</si>
  <si>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</si>
  <si>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</si>
  <si>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</si>
  <si>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</si>
  <si>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</si>
  <si>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</si>
  <si>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</si>
  <si>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</si>
  <si>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</si>
  <si>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</si>
  <si>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</si>
  <si>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</si>
  <si>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</si>
  <si>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</si>
  <si>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</si>
  <si>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</si>
  <si>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</si>
  <si>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</si>
  <si>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</si>
  <si>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</si>
  <si>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</si>
  <si>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</si>
  <si>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</si>
  <si>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</si>
  <si>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</si>
  <si>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</si>
  <si>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</si>
  <si>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</si>
  <si>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</si>
  <si>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</si>
  <si>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</si>
  <si>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</si>
  <si>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</si>
  <si>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</si>
  <si>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</si>
  <si>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</si>
  <si>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</si>
  <si>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</si>
  <si>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</si>
  <si>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</si>
  <si>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</si>
  <si>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</si>
  <si>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</si>
  <si>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</si>
  <si>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</si>
  <si>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</si>
  <si>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</si>
  <si>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</si>
  <si>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</si>
  <si>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</si>
  <si>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</si>
  <si>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</si>
  <si>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</si>
  <si>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</si>
  <si>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</si>
  <si>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</si>
  <si>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</si>
  <si>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</si>
  <si>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</si>
  <si>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</si>
  <si>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</si>
  <si>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</si>
  <si>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</si>
  <si>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</si>
  <si>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</si>
  <si>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</si>
  <si>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</si>
  <si>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</si>
  <si>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</si>
  <si>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</si>
  <si>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</si>
  <si>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</si>
  <si>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</si>
  <si>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</si>
  <si>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</si>
  <si>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</si>
  <si>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</si>
  <si>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</si>
  <si>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</si>
  <si>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</si>
  <si>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</si>
  <si>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</si>
  <si>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</si>
  <si>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</si>
  <si>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</si>
  <si>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</si>
  <si>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</si>
  <si>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</si>
  <si>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</si>
  <si>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</si>
  <si>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</si>
  <si>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</si>
  <si>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</si>
  <si>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</si>
  <si>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</si>
  <si>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</si>
  <si>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</si>
  <si>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</si>
  <si>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</si>
  <si>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</si>
  <si>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</si>
  <si>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</si>
  <si>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</si>
  <si>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</si>
  <si>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</si>
  <si>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</si>
  <si>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</si>
  <si>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</si>
  <si>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</si>
  <si>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</si>
  <si>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</si>
  <si>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</si>
  <si>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</si>
  <si>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</si>
  <si>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</si>
  <si>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</si>
  <si>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</si>
  <si>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</si>
  <si>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</si>
  <si>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</si>
  <si>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</si>
  <si>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</si>
  <si>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</si>
  <si>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</si>
  <si>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</si>
  <si>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</si>
  <si>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</si>
  <si>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</si>
  <si>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</si>
  <si>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</si>
  <si>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</si>
  <si>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</si>
  <si>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</si>
  <si>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</si>
  <si>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</si>
  <si>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</si>
  <si>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</si>
  <si>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</si>
  <si>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</si>
  <si>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</si>
  <si>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</si>
  <si>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</si>
  <si>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</si>
  <si>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</si>
  <si>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</si>
  <si>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</si>
  <si>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</si>
  <si>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</si>
  <si>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</si>
  <si>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</si>
  <si>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</si>
  <si>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</si>
  <si>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</si>
  <si>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</si>
  <si>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</si>
  <si>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</si>
  <si>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</si>
  <si>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</si>
  <si>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</si>
  <si>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</si>
  <si>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</si>
  <si>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</si>
  <si>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</si>
  <si>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</si>
  <si>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</si>
  <si>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</si>
  <si>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</si>
  <si>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</si>
  <si>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</si>
  <si>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</si>
  <si>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</si>
  <si>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</si>
  <si>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</si>
  <si>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</si>
  <si>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</si>
  <si>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</si>
  <si>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</si>
  <si>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</si>
  <si>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</si>
  <si>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</si>
  <si>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</si>
  <si>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</si>
  <si>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</si>
  <si>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</si>
  <si>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</si>
  <si>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</si>
  <si>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</si>
  <si>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</si>
  <si>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</si>
  <si>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</si>
  <si>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</si>
  <si>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</si>
  <si>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</si>
  <si>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</si>
  <si>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</si>
  <si>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</si>
  <si>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</si>
  <si>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</si>
  <si>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</si>
  <si>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</si>
  <si>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</si>
  <si>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</si>
  <si>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</si>
  <si>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</si>
  <si>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</si>
  <si>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</si>
  <si>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</si>
  <si>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</si>
  <si>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</si>
  <si>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</si>
  <si>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</si>
  <si>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</si>
  <si>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</si>
  <si>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</si>
  <si>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</si>
  <si>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</si>
  <si>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</si>
  <si>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</si>
  <si>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</si>
  <si>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</si>
  <si>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</si>
  <si>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</si>
  <si>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</si>
  <si>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</si>
  <si>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</si>
  <si>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</si>
  <si>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</si>
  <si>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</si>
  <si>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</si>
  <si>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</si>
  <si>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</si>
  <si>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</si>
  <si>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</si>
  <si>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</si>
  <si>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</si>
  <si>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</si>
  <si>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</si>
  <si>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</si>
  <si>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</si>
  <si>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</si>
  <si>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</si>
  <si>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</si>
  <si>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</si>
  <si>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</si>
  <si>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</si>
  <si>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</si>
  <si>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</si>
  <si>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</si>
  <si>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</si>
  <si>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</si>
  <si>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</si>
  <si>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</si>
  <si>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</si>
  <si>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</si>
  <si>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</si>
  <si>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</si>
  <si>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</si>
  <si>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</si>
  <si>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</si>
  <si>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</si>
  <si>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</si>
  <si>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</si>
  <si>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</si>
  <si>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</si>
  <si>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</si>
  <si>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</si>
  <si>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</si>
  <si>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</si>
  <si>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</si>
  <si>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</si>
  <si>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</si>
  <si>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</si>
  <si>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</si>
  <si>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</si>
  <si>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</si>
  <si>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</si>
  <si>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</si>
  <si>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</si>
  <si>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</si>
  <si>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</si>
  <si>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</si>
  <si>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</si>
  <si>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</si>
  <si>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</si>
  <si>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</si>
  <si>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</si>
  <si>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</si>
  <si>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</si>
  <si>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</si>
  <si>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</si>
  <si>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</si>
  <si>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</si>
  <si>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</si>
  <si>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</si>
  <si>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</si>
  <si>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</si>
  <si>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</si>
  <si>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</si>
  <si>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</si>
  <si>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</si>
  <si>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</si>
  <si>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</si>
  <si>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</si>
  <si>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</si>
  <si>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</si>
  <si>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</si>
  <si>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</si>
  <si>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</si>
  <si>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</si>
  <si>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</si>
  <si>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</si>
  <si>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</si>
  <si>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</si>
  <si>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</si>
  <si>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</si>
  <si>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</si>
  <si>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</si>
  <si>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</si>
  <si>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</si>
  <si>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</si>
  <si>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</si>
  <si>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</si>
  <si>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</si>
  <si>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</si>
  <si>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</si>
  <si>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</si>
  <si>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</si>
  <si>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</si>
  <si>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</si>
  <si>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</si>
  <si>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</si>
  <si>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</si>
  <si>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</si>
  <si>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</si>
  <si>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</si>
  <si>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</si>
  <si>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</si>
  <si>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</si>
  <si>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</si>
  <si>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</si>
  <si>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</si>
  <si>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</si>
  <si>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</si>
  <si>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</si>
  <si>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</si>
  <si>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</si>
  <si>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</si>
  <si>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</si>
  <si>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</si>
  <si>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</si>
  <si>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</si>
  <si>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</si>
  <si>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</si>
  <si>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</si>
  <si>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</si>
  <si>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</si>
  <si>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</si>
  <si>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</si>
  <si>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</si>
  <si>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</si>
  <si>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</si>
  <si>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</si>
  <si>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</si>
  <si>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</si>
  <si>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</si>
  <si>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</si>
  <si>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</si>
  <si>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</si>
  <si>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</si>
  <si>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</si>
  <si>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</si>
  <si>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</si>
  <si>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</si>
  <si>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</si>
  <si>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</si>
  <si>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</si>
  <si>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</si>
  <si>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</si>
  <si>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</si>
  <si>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</si>
  <si>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</si>
  <si>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</si>
  <si>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</si>
  <si>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</si>
  <si>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</si>
  <si>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</si>
  <si>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</si>
  <si>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</si>
  <si>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</si>
  <si>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</si>
  <si>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</si>
  <si>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</si>
  <si>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</si>
  <si>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</si>
  <si>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</si>
  <si>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</si>
  <si>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</si>
  <si>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</si>
  <si>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</si>
  <si>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</si>
  <si>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</si>
  <si>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</si>
  <si>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</si>
  <si>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</si>
  <si>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</si>
  <si>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</si>
  <si>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</si>
  <si>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</si>
  <si>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</si>
  <si>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</si>
  <si>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</si>
  <si>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</si>
  <si>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</si>
  <si>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</si>
  <si>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</si>
  <si>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</si>
  <si>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</si>
  <si>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</si>
  <si>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</si>
  <si>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</si>
  <si>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</si>
  <si>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</si>
  <si>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</si>
  <si>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</si>
  <si>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</si>
  <si>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</si>
  <si>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</si>
  <si>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</si>
  <si>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</si>
  <si>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</si>
  <si>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</si>
  <si>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</si>
  <si>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</si>
  <si>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</si>
  <si>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</si>
  <si>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</si>
  <si>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</si>
  <si>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</si>
  <si>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</si>
  <si>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</si>
  <si>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</si>
  <si>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</si>
  <si>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</si>
  <si>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</si>
  <si>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</si>
  <si>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</si>
  <si>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</si>
  <si>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</si>
  <si>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</si>
  <si>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</si>
  <si>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</si>
  <si>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</si>
  <si>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</si>
  <si>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</si>
  <si>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</si>
  <si>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</si>
  <si>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</si>
  <si>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</si>
  <si>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</si>
  <si>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</si>
  <si>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</si>
  <si>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</si>
  <si>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</si>
  <si>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</si>
  <si>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</si>
  <si>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</si>
  <si>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</si>
  <si>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</si>
  <si>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</si>
  <si>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</si>
  <si>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</si>
  <si>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</si>
  <si>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</si>
  <si>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</si>
  <si>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</si>
  <si>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</si>
  <si>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</si>
  <si>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</si>
  <si>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</si>
  <si>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</si>
  <si>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</si>
  <si>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</si>
  <si>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</si>
  <si>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</si>
  <si>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</si>
  <si>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</si>
  <si>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</si>
  <si>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</si>
  <si>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</si>
  <si>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</si>
  <si>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</si>
  <si>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</si>
  <si>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</si>
  <si>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</si>
  <si>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</si>
  <si>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</si>
  <si>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</si>
  <si>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</si>
  <si>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</si>
  <si>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</si>
  <si>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</si>
  <si>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</si>
  <si>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</si>
  <si>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</si>
  <si>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</si>
  <si>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</si>
  <si>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</si>
  <si>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</si>
  <si>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</si>
  <si>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</si>
  <si>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</si>
  <si>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</si>
  <si>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</si>
  <si>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</si>
  <si>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</si>
  <si>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</si>
  <si>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</si>
  <si>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</si>
  <si>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</si>
  <si>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</si>
  <si>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</si>
  <si>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</si>
  <si>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</si>
  <si>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</si>
  <si>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</si>
  <si>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</si>
  <si>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</si>
  <si>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</si>
  <si>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</si>
  <si>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</si>
  <si>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</si>
  <si>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</si>
  <si>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</si>
  <si>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</si>
  <si>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</si>
  <si>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</si>
  <si>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</si>
  <si>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</si>
  <si>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</si>
  <si>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</si>
  <si>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</si>
  <si>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</si>
  <si>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</si>
  <si>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</si>
  <si>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</si>
  <si>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</si>
  <si>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</si>
  <si>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</si>
  <si>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</si>
  <si>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</si>
  <si>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</si>
  <si>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</si>
  <si>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</si>
  <si>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</si>
  <si>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</si>
  <si>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</si>
  <si>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</si>
  <si>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</si>
  <si>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</si>
  <si>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</si>
  <si>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</si>
  <si>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</si>
  <si>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</si>
  <si>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</si>
  <si>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</si>
  <si>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</si>
  <si>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</si>
  <si>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</si>
  <si>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</si>
  <si>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</si>
  <si>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</si>
  <si>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</si>
  <si>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</si>
  <si>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</si>
  <si>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</si>
  <si>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</si>
  <si>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</si>
  <si>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</si>
  <si>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</si>
  <si>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</si>
  <si>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</si>
  <si>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</si>
  <si>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</si>
  <si>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</si>
  <si>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</si>
  <si>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</si>
  <si>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</si>
  <si>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</si>
  <si>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</si>
  <si>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</si>
  <si>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</si>
  <si>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</si>
  <si>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</si>
  <si>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</si>
  <si>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</si>
  <si>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</si>
  <si>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</si>
  <si>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</si>
  <si>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</si>
  <si>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</si>
  <si>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</si>
  <si>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</si>
  <si>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</si>
  <si>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</si>
  <si>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</si>
  <si>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</si>
  <si>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</si>
  <si>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</si>
  <si>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</si>
  <si>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</si>
  <si>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</si>
  <si>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</si>
  <si>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</si>
  <si>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</si>
  <si>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</si>
  <si>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</si>
  <si>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</si>
  <si>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</si>
  <si>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</si>
  <si>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</si>
  <si>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</si>
  <si>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</si>
  <si>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</si>
  <si>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</si>
  <si>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</si>
  <si>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</si>
  <si>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</si>
  <si>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</si>
  <si>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</si>
  <si>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</si>
  <si>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</si>
  <si>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</si>
  <si>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</si>
  <si>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</si>
  <si>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</si>
  <si>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</si>
  <si>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</si>
  <si>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</si>
  <si>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</si>
  <si>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</si>
  <si>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</si>
  <si>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</si>
  <si>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</si>
  <si>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</si>
  <si>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</si>
  <si>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</si>
  <si>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</si>
  <si>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</si>
  <si>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</si>
  <si>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</si>
  <si>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</si>
  <si>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</si>
  <si>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</si>
  <si>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</si>
  <si>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</si>
  <si>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</si>
  <si>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</si>
  <si>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</si>
  <si>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</si>
  <si>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</si>
  <si>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</si>
  <si>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</si>
  <si>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</si>
  <si>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</si>
  <si>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</si>
  <si>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</si>
  <si>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</si>
  <si>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</si>
  <si>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</si>
  <si>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</si>
  <si>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</si>
  <si>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</si>
  <si>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</si>
  <si>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</si>
  <si>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</si>
  <si>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</si>
  <si>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</si>
  <si>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</si>
  <si>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</si>
  <si>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</si>
  <si>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</si>
  <si>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</si>
  <si>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</si>
  <si>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</si>
  <si>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</si>
  <si>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</si>
  <si>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</si>
  <si>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</si>
  <si>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</si>
  <si>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</si>
  <si>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</si>
  <si>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</si>
  <si>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</si>
  <si>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</si>
  <si>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</si>
  <si>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</si>
  <si>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</si>
  <si>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</si>
  <si>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</si>
  <si>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</si>
  <si>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</si>
  <si>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</si>
  <si>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</si>
  <si>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</si>
  <si>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</si>
  <si>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</si>
  <si>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</si>
  <si>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</si>
  <si>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</si>
  <si>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</si>
  <si>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</si>
  <si>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</si>
  <si>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</si>
  <si>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</si>
  <si>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</si>
  <si>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</si>
  <si>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</si>
  <si>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</si>
  <si>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</si>
  <si>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</si>
  <si>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</si>
  <si>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</si>
  <si>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</si>
  <si>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</si>
  <si>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</si>
  <si>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</si>
  <si>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</si>
  <si>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</si>
  <si>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</si>
  <si>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</si>
  <si>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</si>
  <si>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</si>
  <si>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</si>
  <si>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</si>
  <si>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</si>
  <si>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</si>
  <si>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</si>
  <si>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</si>
  <si>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</si>
  <si>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</si>
  <si>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</si>
  <si>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</si>
  <si>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</si>
  <si>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</si>
  <si>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</si>
  <si>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</si>
  <si>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</si>
  <si>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</si>
  <si>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</si>
  <si>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</si>
  <si>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</si>
  <si>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</si>
  <si>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</si>
  <si>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</si>
  <si>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</si>
  <si>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</si>
  <si>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</si>
  <si>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</si>
  <si>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</si>
  <si>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</si>
  <si>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</si>
  <si>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</si>
  <si>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</si>
  <si>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</si>
  <si>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</si>
  <si>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</si>
  <si>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</si>
  <si>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</si>
  <si>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</si>
  <si>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</si>
  <si>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</si>
  <si>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</si>
  <si>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</si>
  <si>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</si>
  <si>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</si>
  <si>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</si>
  <si>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</si>
  <si>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</si>
  <si>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</si>
  <si>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</si>
  <si>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</si>
  <si>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</si>
  <si>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</si>
  <si>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</si>
  <si>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</si>
  <si>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</si>
  <si>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</si>
  <si>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</si>
  <si>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</si>
  <si>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</si>
  <si>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</si>
  <si>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</si>
  <si>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</si>
  <si>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</si>
  <si>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</si>
  <si>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</si>
  <si>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</si>
  <si>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</si>
  <si>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</si>
  <si>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</si>
  <si>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</si>
  <si>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</si>
  <si>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</si>
  <si>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</si>
  <si>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</si>
  <si>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</si>
  <si>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</si>
  <si>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</si>
  <si>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</si>
  <si>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</si>
  <si>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</si>
  <si>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</si>
  <si>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</si>
  <si>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</si>
  <si>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</si>
  <si>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</si>
  <si>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</si>
  <si>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</si>
  <si>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</si>
  <si>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</si>
  <si>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</si>
  <si>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</si>
  <si>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</si>
  <si>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</si>
  <si>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</si>
  <si>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</si>
  <si>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</si>
  <si>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</si>
  <si>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</si>
  <si>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</si>
  <si>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</si>
  <si>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</si>
  <si>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</si>
  <si>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</si>
  <si>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</si>
  <si>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</si>
  <si>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</si>
  <si>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</si>
  <si>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</si>
  <si>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</si>
  <si>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</si>
  <si>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</si>
  <si>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</si>
  <si>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</si>
  <si>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</si>
  <si>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</si>
  <si>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</si>
  <si>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</si>
  <si>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</si>
  <si>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</si>
  <si>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</si>
  <si>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</si>
  <si>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</si>
  <si>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</si>
  <si>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</si>
  <si>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</si>
  <si>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</si>
  <si>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</si>
  <si>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</si>
  <si>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</si>
  <si>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</si>
  <si>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</si>
  <si>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</si>
  <si>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</si>
  <si>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</si>
  <si>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</si>
  <si>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</si>
  <si>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</si>
  <si>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</si>
  <si>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</si>
  <si>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</si>
  <si>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</si>
  <si>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</si>
  <si>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</si>
  <si>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</si>
  <si>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</si>
  <si>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</si>
  <si>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</si>
  <si>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</si>
  <si>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</si>
  <si>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</si>
  <si>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</si>
  <si>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</si>
  <si>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</si>
  <si>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</si>
  <si>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</si>
  <si>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</si>
  <si>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</si>
  <si>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</si>
  <si>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</si>
  <si>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</si>
  <si>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</si>
  <si>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</si>
  <si>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</si>
  <si>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</si>
  <si>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</si>
  <si>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</si>
  <si>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</si>
  <si>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</si>
  <si>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</si>
  <si>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</si>
  <si>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</si>
  <si>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</si>
  <si>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</si>
  <si>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</si>
  <si>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</si>
  <si>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</si>
  <si>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</si>
  <si>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</si>
  <si>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</si>
  <si>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</si>
  <si>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</si>
  <si>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</si>
  <si>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</si>
  <si>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</si>
  <si>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</si>
  <si>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</si>
  <si>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</si>
  <si>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</si>
  <si>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</si>
  <si>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</si>
  <si>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</si>
  <si>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</si>
  <si>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</si>
  <si>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</si>
  <si>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</si>
  <si>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</si>
  <si>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</si>
  <si>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</si>
  <si>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</si>
  <si>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</si>
  <si>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</si>
  <si>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</si>
  <si>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</si>
  <si>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</si>
  <si>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</si>
  <si>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</si>
  <si>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</si>
  <si>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</si>
  <si>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</si>
  <si>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</si>
  <si>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</si>
  <si>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</si>
  <si>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</si>
  <si>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</si>
  <si>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</si>
  <si>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</si>
  <si>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</si>
  <si>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</si>
  <si>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</si>
  <si>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</si>
  <si>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</si>
  <si>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</si>
  <si>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</si>
  <si>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</si>
  <si>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</si>
  <si>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</si>
  <si>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</si>
  <si>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</si>
  <si>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</si>
  <si>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</si>
  <si>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</si>
  <si>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</si>
  <si>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</si>
  <si>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</si>
  <si>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</si>
  <si>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</si>
  <si>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</si>
  <si>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</si>
  <si>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</si>
  <si>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</si>
  <si>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</si>
  <si>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</si>
  <si>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</si>
  <si>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</si>
  <si>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</si>
  <si>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</si>
  <si>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</si>
  <si>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</si>
  <si>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</si>
  <si>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</si>
  <si>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</si>
  <si>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</si>
  <si>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</si>
  <si>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</si>
  <si>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</si>
  <si>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</si>
  <si>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</si>
  <si>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</si>
  <si>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</si>
  <si>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</si>
  <si>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</si>
  <si>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</si>
  <si>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</si>
  <si>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</si>
  <si>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</si>
  <si>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</si>
  <si>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</si>
  <si>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</si>
  <si>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</si>
  <si>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</si>
  <si>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</si>
  <si>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</si>
  <si>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</si>
  <si>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</si>
  <si>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</si>
  <si>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</si>
  <si>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</si>
  <si>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</si>
  <si>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</si>
  <si>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</si>
  <si>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</si>
  <si>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</si>
  <si>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</si>
  <si>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</si>
  <si>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</si>
  <si>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</si>
  <si>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</si>
  <si>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</si>
  <si>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</si>
  <si>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</si>
  <si>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</si>
  <si>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</si>
  <si>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</si>
  <si>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</si>
  <si>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</si>
  <si>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</si>
  <si>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</si>
  <si>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</si>
  <si>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</si>
  <si>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</si>
  <si>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</si>
  <si>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</si>
  <si>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</si>
  <si>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</si>
  <si>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</si>
  <si>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</si>
  <si>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</si>
  <si>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</si>
  <si>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</si>
  <si>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</si>
  <si>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</si>
  <si>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</si>
  <si>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</si>
  <si>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</si>
  <si>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</si>
  <si>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</si>
  <si>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</si>
  <si>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</si>
  <si>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</si>
  <si>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</si>
  <si>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</si>
  <si>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</si>
  <si>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</si>
  <si>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</si>
  <si>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</si>
  <si>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</si>
  <si>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</si>
  <si>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</si>
  <si>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</si>
  <si>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</si>
  <si>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</si>
  <si>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</si>
  <si>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</si>
  <si>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</si>
  <si>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</si>
  <si>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</si>
  <si>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</si>
  <si>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</si>
  <si>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</si>
  <si>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</si>
  <si>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</si>
  <si>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</si>
  <si>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</si>
  <si>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</si>
  <si>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</si>
  <si>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</si>
  <si>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</si>
  <si>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</si>
  <si>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</si>
  <si>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</si>
  <si>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</si>
  <si>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</si>
  <si>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</si>
  <si>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</si>
  <si>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</si>
  <si>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</si>
  <si>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</si>
  <si>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</si>
  <si>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</si>
  <si>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</si>
  <si>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</si>
  <si>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</si>
  <si>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</si>
  <si>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</si>
  <si>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</si>
  <si>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</si>
  <si>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</si>
  <si>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</si>
  <si>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</si>
  <si>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</si>
  <si>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</si>
  <si>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</si>
  <si>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</si>
  <si>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</si>
  <si>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</si>
  <si>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</si>
  <si>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</si>
  <si>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</si>
  <si>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</si>
  <si>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</si>
  <si>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</si>
  <si>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</si>
  <si>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</si>
  <si>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</si>
  <si>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</si>
  <si>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</si>
  <si>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</si>
  <si>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</si>
  <si>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</si>
  <si>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</si>
  <si>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</si>
  <si>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</si>
  <si>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</si>
  <si>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</si>
  <si>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</si>
  <si>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</si>
  <si>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</si>
  <si>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</si>
  <si>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</si>
  <si>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</si>
  <si>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</si>
  <si>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</si>
  <si>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</si>
  <si>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</si>
  <si>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</si>
  <si>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</si>
  <si>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</si>
  <si>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</si>
  <si>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</si>
  <si>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</si>
  <si>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</si>
  <si>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</si>
  <si>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</si>
  <si>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</si>
  <si>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</si>
  <si>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</si>
  <si>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</si>
  <si>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</si>
  <si>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</si>
  <si>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</si>
  <si>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</si>
  <si>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</si>
  <si>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</si>
  <si>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</si>
  <si>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</si>
  <si>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</si>
  <si>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</si>
  <si>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</si>
  <si>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</si>
  <si>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</si>
  <si>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</si>
  <si>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</si>
  <si>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</si>
  <si>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</si>
  <si>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</si>
  <si>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</si>
  <si>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</si>
  <si>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</si>
  <si>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</si>
  <si>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</si>
  <si>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</si>
  <si>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</si>
  <si>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</si>
  <si>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</si>
  <si>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</si>
  <si>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</si>
  <si>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</si>
  <si>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</si>
  <si>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</si>
  <si>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</si>
  <si>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</si>
  <si>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</si>
  <si>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</si>
  <si>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</si>
  <si>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</si>
  <si>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</si>
  <si>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</si>
  <si>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</si>
  <si>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</si>
  <si>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</si>
  <si>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</si>
  <si>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</si>
  <si>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</si>
  <si>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</si>
  <si>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</si>
  <si>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</si>
  <si>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</si>
  <si>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</si>
  <si>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</si>
  <si>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</si>
  <si>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</si>
  <si>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</si>
  <si>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</si>
  <si>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</si>
  <si>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</si>
  <si>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</si>
  <si>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</si>
  <si>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</si>
  <si>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</si>
  <si>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</si>
  <si>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</si>
  <si>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</si>
  <si>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</si>
  <si>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</si>
  <si>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</si>
  <si>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</si>
  <si>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</si>
  <si>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</si>
  <si>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</si>
  <si>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</si>
  <si>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</si>
  <si>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</si>
  <si>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</si>
  <si>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</si>
  <si>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</si>
  <si>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</si>
  <si>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</si>
  <si>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</si>
  <si>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</si>
  <si>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</si>
  <si>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</si>
  <si>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</si>
  <si>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</si>
  <si>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</si>
  <si>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</si>
  <si>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</si>
  <si>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</si>
  <si>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</si>
  <si>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</si>
  <si>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</si>
  <si>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</si>
  <si>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</si>
  <si>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</si>
  <si>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</si>
  <si>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</si>
  <si>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</si>
  <si>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</si>
  <si>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</si>
  <si>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</si>
  <si>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</si>
  <si>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</si>
  <si>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</si>
  <si>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</si>
  <si>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</si>
  <si>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</si>
  <si>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</si>
  <si>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</si>
  <si>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</si>
  <si>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</si>
  <si>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</si>
  <si>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</si>
  <si>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</si>
  <si>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</si>
  <si>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</si>
  <si>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</si>
  <si>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</si>
  <si>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</si>
  <si>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</si>
  <si>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</si>
  <si>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</si>
  <si>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</si>
  <si>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</si>
  <si>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</si>
  <si>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</si>
  <si>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</si>
  <si>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</si>
  <si>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</si>
  <si>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</si>
  <si>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</si>
  <si>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</si>
  <si>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</si>
  <si>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</si>
  <si>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</si>
  <si>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</si>
  <si>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</si>
  <si>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</si>
  <si>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</si>
  <si>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</si>
  <si>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</si>
  <si>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</si>
  <si>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</si>
  <si>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</si>
  <si>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</si>
  <si>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</si>
  <si>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</si>
  <si>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</si>
  <si>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</si>
  <si>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</si>
  <si>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</si>
  <si>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</si>
  <si>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</si>
  <si>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</si>
  <si>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</si>
  <si>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</si>
  <si>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</si>
  <si>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</si>
  <si>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</si>
  <si>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</si>
  <si>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</si>
  <si>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</si>
  <si>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</si>
  <si>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</si>
  <si>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</si>
  <si>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</si>
  <si>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</si>
  <si>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</si>
  <si>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</si>
  <si>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</si>
  <si>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</si>
  <si>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</si>
  <si>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</si>
  <si>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</si>
  <si>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</si>
  <si>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</si>
  <si>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</si>
  <si>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</si>
  <si>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</si>
  <si>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</si>
  <si>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</si>
  <si>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</si>
  <si>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</si>
  <si>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</si>
  <si>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</si>
  <si>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</si>
  <si>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</si>
  <si>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</si>
  <si>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</si>
  <si>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</si>
  <si>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</si>
  <si>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</si>
  <si>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</si>
  <si>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</si>
  <si>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</si>
  <si>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</si>
  <si>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</si>
  <si>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</si>
  <si>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</si>
  <si>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</si>
  <si>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</si>
  <si>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</si>
  <si>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</si>
  <si>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</si>
  <si>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</si>
  <si>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</si>
  <si>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</si>
  <si>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</si>
  <si>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</si>
  <si>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</si>
  <si>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</si>
  <si>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</si>
  <si>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</si>
  <si>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</si>
  <si>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</si>
  <si>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</si>
  <si>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</si>
  <si>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</si>
  <si>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</si>
  <si>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</si>
  <si>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</si>
  <si>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</si>
  <si>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</si>
  <si>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</si>
  <si>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</si>
  <si>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</si>
  <si>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</si>
  <si>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</si>
  <si>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</si>
  <si>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</si>
  <si>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</si>
  <si>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</si>
  <si>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</si>
  <si>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</si>
  <si>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</si>
  <si>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</si>
  <si>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</si>
  <si>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</si>
  <si>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</si>
  <si>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</si>
  <si>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</si>
  <si>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</si>
  <si>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</si>
  <si>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</si>
  <si>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</si>
  <si>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</si>
  <si>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</si>
  <si>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</si>
  <si>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</si>
  <si>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</si>
  <si>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</si>
  <si>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</si>
  <si>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</si>
  <si>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</si>
  <si>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</si>
  <si>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</si>
  <si>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</si>
  <si>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</si>
  <si>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</si>
  <si>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</si>
  <si>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</si>
  <si>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</si>
  <si>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</si>
  <si>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</si>
  <si>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</si>
  <si>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</si>
  <si>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</si>
  <si>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</si>
  <si>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</si>
  <si>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</si>
  <si>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</si>
  <si>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</si>
  <si>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</si>
  <si>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</si>
  <si>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</si>
  <si>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</si>
  <si>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</si>
  <si>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</si>
  <si>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</si>
  <si>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</si>
  <si>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</si>
  <si>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</si>
  <si>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</si>
  <si>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</si>
  <si>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</si>
  <si>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</si>
  <si>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</si>
  <si>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</si>
  <si>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</si>
  <si>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</si>
  <si>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</si>
  <si>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</si>
  <si>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</si>
  <si>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</si>
  <si>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</si>
  <si>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</si>
  <si>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</si>
  <si>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</si>
  <si>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</si>
  <si>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</si>
  <si>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</si>
  <si>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</si>
  <si>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</si>
  <si>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</si>
  <si>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郑燚</t>
  </si>
  <si>
    <t>崔锴</t>
  </si>
  <si>
    <t>昆仑信托有限责任公司</t>
    <phoneticPr fontId="6" type="noConversion"/>
  </si>
  <si>
    <t>潍坊水务投资有限责任公司</t>
    <phoneticPr fontId="6" type="noConversion"/>
  </si>
  <si>
    <t>抵押价格</t>
  </si>
  <si>
    <t>其他：</t>
  </si>
  <si>
    <t>山东省</t>
    <phoneticPr fontId="6" type="noConversion"/>
  </si>
  <si>
    <t>潍坊市青州市弥河流域二宗住宅用地</t>
    <phoneticPr fontId="6" type="noConversion"/>
  </si>
  <si>
    <t>企业</t>
  </si>
  <si>
    <t>青州市城市建设投资开发有限公司</t>
  </si>
  <si>
    <t>青州市城市建设投资开发有限公司</t>
    <phoneticPr fontId="6" type="noConversion"/>
  </si>
  <si>
    <t>一致</t>
  </si>
  <si>
    <t>商业</t>
  </si>
  <si>
    <t>居住项目</t>
  </si>
  <si>
    <t>无</t>
  </si>
  <si>
    <t>否</t>
  </si>
  <si>
    <t>场地平整</t>
  </si>
  <si>
    <t>平整</t>
  </si>
  <si>
    <t>通路</t>
  </si>
  <si>
    <t>通电</t>
  </si>
  <si>
    <t>通上水</t>
  </si>
  <si>
    <t>容积率</t>
    <phoneticPr fontId="3" type="noConversion"/>
  </si>
  <si>
    <t>地上</t>
  </si>
  <si>
    <t>普通住宅</t>
  </si>
  <si>
    <t>住宅</t>
    <phoneticPr fontId="7" type="noConversion"/>
  </si>
  <si>
    <t>利息：取LPR加浮动点数</t>
  </si>
  <si>
    <t>较差</t>
  </si>
  <si>
    <t>较差</t>
    <phoneticPr fontId="3" type="noConversion"/>
  </si>
  <si>
    <t>一般</t>
  </si>
  <si>
    <t>一般</t>
    <phoneticPr fontId="3" type="noConversion"/>
  </si>
  <si>
    <t>较差</t>
    <phoneticPr fontId="3" type="noConversion"/>
  </si>
  <si>
    <t>七通</t>
  </si>
  <si>
    <t>七通</t>
    <phoneticPr fontId="3" type="noConversion"/>
  </si>
  <si>
    <t>较好</t>
  </si>
  <si>
    <t>较好</t>
    <phoneticPr fontId="3" type="noConversion"/>
  </si>
  <si>
    <t>较好</t>
    <phoneticPr fontId="21" type="noConversion"/>
  </si>
  <si>
    <t>比较法-住宅、综合</t>
  </si>
  <si>
    <t>剩余法-待开发</t>
  </si>
  <si>
    <t>地块名称</t>
  </si>
  <si>
    <t>城市</t>
  </si>
  <si>
    <t>用地性质</t>
  </si>
  <si>
    <t>区县</t>
  </si>
  <si>
    <t>详细规划</t>
  </si>
  <si>
    <t>建设用地面积(㎡)</t>
  </si>
  <si>
    <t>规划建筑面积(㎡)</t>
  </si>
  <si>
    <t>成交日期</t>
  </si>
  <si>
    <t>受让单位</t>
  </si>
  <si>
    <t>成交价(万元)</t>
  </si>
  <si>
    <t>成交每亩价(万元/亩)</t>
  </si>
  <si>
    <t>成交楼面价(元/㎡)</t>
  </si>
  <si>
    <t>溢价率</t>
  </si>
  <si>
    <t>出让年限</t>
  </si>
  <si>
    <t>土地星级</t>
  </si>
  <si>
    <t>云门山路与将军山路交叉口东北侧</t>
  </si>
  <si>
    <t>潍坊市</t>
  </si>
  <si>
    <t>住宅用地</t>
  </si>
  <si>
    <t>青州市</t>
  </si>
  <si>
    <t>城镇住宅-普通商品住房用地</t>
  </si>
  <si>
    <t>大于1并且小于1.5</t>
  </si>
  <si>
    <t>2021-03-04</t>
  </si>
  <si>
    <t>青州恒润建设投资发展有限公司</t>
  </si>
  <si>
    <t>70年</t>
  </si>
  <si>
    <t>3星</t>
  </si>
  <si>
    <t>经济开发区益王府路与益能街交叉口东南侧</t>
  </si>
  <si>
    <t>大于1并且小于1.6</t>
  </si>
  <si>
    <t>潍坊北大科技园建设开发有限公司青州经济开发区分公司</t>
  </si>
  <si>
    <t>2星</t>
  </si>
  <si>
    <t>经济开发区纽约路与益王府路交叉口西北侧</t>
  </si>
  <si>
    <t>青州市国泰置业有限公司</t>
  </si>
  <si>
    <t>青州市顺诚置业有限公司</t>
  </si>
  <si>
    <t>0星</t>
  </si>
  <si>
    <t>益都街道东马官社区,南至纽约路,东至仰天山路西侧</t>
  </si>
  <si>
    <t>大于1并且小于1.4</t>
  </si>
  <si>
    <t>青州市城建房地产开发有限公司</t>
  </si>
  <si>
    <t>昭德路与胶济铁路货运线交叉口西北侧</t>
  </si>
  <si>
    <t>大于1并且小于2.2</t>
  </si>
  <si>
    <t>2021-02-09</t>
  </si>
  <si>
    <t>青州天金房地产开发有限公司</t>
  </si>
  <si>
    <t>王坟镇于家庄村,南至颐正嘉苑小区,东、西、北至于家庄村</t>
  </si>
  <si>
    <t>大于1并且小于或等于1.3</t>
  </si>
  <si>
    <t>2021-02-05</t>
  </si>
  <si>
    <t>青州市新亚房地产开发有限公司</t>
  </si>
  <si>
    <t>1星</t>
  </si>
  <si>
    <t>山东甲天下地产有限公司</t>
  </si>
  <si>
    <t>尧王山路与益王府路交叉口西北侧</t>
  </si>
  <si>
    <t>青州市山水置业有限公司</t>
  </si>
  <si>
    <t>尧王山路与冠街交叉口东北侧,东至华裕小区</t>
  </si>
  <si>
    <t>大于1并且小于1.8</t>
  </si>
  <si>
    <t>潍坊诚信房地产开发有限公司</t>
  </si>
  <si>
    <t>4星</t>
  </si>
  <si>
    <t>庙子镇黄鹿井村,东至黄鹿井村村地,西至府后路,南至黄鹿井村村路,北至黄鹿井后山路</t>
  </si>
  <si>
    <t>驼山路和明祖山路交叉口东北侧,东至衡王府路</t>
  </si>
  <si>
    <t>大于1并且小于2</t>
  </si>
  <si>
    <t>2021-01-27</t>
  </si>
  <si>
    <t>潍坊德利盛房地产开发有限公司</t>
  </si>
  <si>
    <t>位于青垦路与巴黎路交叉口西北侧</t>
  </si>
  <si>
    <t>大于1并且小于1.2</t>
  </si>
  <si>
    <t>青州市德锦置业有限公司</t>
  </si>
  <si>
    <t>海岱路与丰收一路交叉口东北侧</t>
  </si>
  <si>
    <t>2021-01-22</t>
  </si>
  <si>
    <t>青州恒晨置业有限公司</t>
  </si>
  <si>
    <t>2020-12-30</t>
  </si>
  <si>
    <t>309国道与海岱路交叉口东南侧,北至309国道,西至海岱路,东至规划路,南至规划明祖山路</t>
  </si>
  <si>
    <t>2020-12-23</t>
  </si>
  <si>
    <t>潍坊东鑫置业有限公司</t>
  </si>
  <si>
    <t>玲珑山路与明祖山路交叉口东南侧</t>
  </si>
  <si>
    <t>2020-11-18</t>
  </si>
  <si>
    <t>王府街与政法街北段交叉口东南侧区域,西至政法街北段,北至王府街,南至九州名座小区,东至规划路</t>
  </si>
  <si>
    <t>城镇住宅用地</t>
  </si>
  <si>
    <t>2020-09-18</t>
  </si>
  <si>
    <t>青州伟业房地产开发有限公司</t>
  </si>
  <si>
    <t>东夏镇王小村,北临迎宾大道,南至高速铁路,西临龙山文化广场,东临王小村地</t>
  </si>
  <si>
    <t>大于1并且小于或等于1.5</t>
  </si>
  <si>
    <t>2020-09-17</t>
  </si>
  <si>
    <t>新南环路与工程机路交叉口东南侧</t>
  </si>
  <si>
    <t>海岱路与卢郭路交叉口东南侧</t>
  </si>
  <si>
    <t>2020-08-26</t>
  </si>
  <si>
    <t>潍坊德利恒房地产开发有限公司</t>
  </si>
  <si>
    <t>凤凰山路与花博园东侧规划路交叉口东南侧</t>
  </si>
  <si>
    <t>2020-07-01</t>
  </si>
  <si>
    <t>青州大易置业有限公司</t>
  </si>
  <si>
    <t>潍坊恒信建设集团有限公司</t>
  </si>
  <si>
    <t>2020-06-10</t>
  </si>
  <si>
    <t>山东中晨房地产开发有限公司</t>
  </si>
  <si>
    <t>昭德路与青龙街交叉口东南侧,东至玉竹路,南至东坝中路</t>
  </si>
  <si>
    <t>大于1并且小于2.3</t>
  </si>
  <si>
    <t>2020-04-30</t>
  </si>
  <si>
    <t>2020-06-03</t>
  </si>
  <si>
    <t>山东蓝银置业有限公司</t>
  </si>
  <si>
    <t>王府迎宾大道与仁和路交叉口东南侧</t>
  </si>
  <si>
    <t>苏桥路与海天辰韵南侧规划路交叉口东北侧</t>
  </si>
  <si>
    <t>王府迎宾大道与仁和路交叉口西南侧</t>
  </si>
  <si>
    <t>庙子镇朱崖村、黄鹿井村,东至府后路,西至朱崖村地,南、北至黄鹿井村地</t>
  </si>
  <si>
    <t>2020-05-27</t>
  </si>
  <si>
    <t>海岱南路与顺兴路交叉口西南侧</t>
  </si>
  <si>
    <t>2020-05-08</t>
  </si>
  <si>
    <t>综合用地(含住宅)</t>
  </si>
  <si>
    <t>城镇住宅用地、零售商业用地</t>
  </si>
  <si>
    <t>住宅70年,商业40年</t>
  </si>
  <si>
    <t>弥河镇规划朱兴路与卢郭路交叉口东北侧</t>
  </si>
  <si>
    <t>潍坊博凯置业有限公司</t>
  </si>
  <si>
    <t>弥河镇卢郭路与坡子路交叉口东南侧</t>
  </si>
  <si>
    <t>凤凰山路与云门山路交叉口西南侧</t>
  </si>
  <si>
    <t>大于1并且小于1.1</t>
  </si>
  <si>
    <t>2020-04-22</t>
  </si>
  <si>
    <t>青州市鑫海房地产开发有限公司</t>
  </si>
  <si>
    <t>将军山路与规划政法街交叉口东北侧</t>
  </si>
  <si>
    <t>住宅</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</si>
  <si>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</si>
  <si>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</si>
  <si>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</si>
  <si>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</si>
  <si>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</si>
  <si>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</si>
  <si>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</si>
  <si>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</si>
  <si>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</si>
  <si>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</si>
  <si>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</si>
  <si>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70</t>
    <phoneticPr fontId="26" type="noConversion"/>
  </si>
  <si>
    <t>三通</t>
  </si>
  <si>
    <t>楼面地价</t>
  </si>
  <si>
    <t>高层</t>
  </si>
  <si>
    <t>高层</t>
    <phoneticPr fontId="21" type="noConversion"/>
  </si>
  <si>
    <t>钢混</t>
  </si>
  <si>
    <t>钢混</t>
    <phoneticPr fontId="21" type="noConversion"/>
  </si>
  <si>
    <t>高档</t>
  </si>
  <si>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</si>
  <si>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</si>
  <si>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</si>
  <si>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</si>
  <si>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</si>
  <si>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</si>
  <si>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</si>
  <si>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</si>
  <si>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</si>
  <si>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</si>
  <si>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专业物业管理</t>
  </si>
  <si>
    <t>专业物业管理</t>
    <phoneticPr fontId="21" type="noConversion"/>
  </si>
  <si>
    <t>普通物业管理</t>
    <phoneticPr fontId="21" type="noConversion"/>
  </si>
  <si>
    <t>青州碧桂园玖州府</t>
    <phoneticPr fontId="3" type="noConversion"/>
  </si>
  <si>
    <t>正常</t>
  </si>
  <si>
    <t>住宅</t>
    <phoneticPr fontId="21" type="noConversion"/>
  </si>
  <si>
    <t>50-60（含）</t>
  </si>
  <si>
    <t>60-70（含）</t>
  </si>
  <si>
    <t>较好</t>
    <phoneticPr fontId="21" type="noConversion"/>
  </si>
  <si>
    <t>售价</t>
  </si>
  <si>
    <t>御星宸苑</t>
  </si>
  <si>
    <t>洋房</t>
  </si>
  <si>
    <t xml:space="preserve"> </t>
    <phoneticPr fontId="21" type="noConversion"/>
  </si>
  <si>
    <t xml:space="preserve"> </t>
    <phoneticPr fontId="21" type="noConversion"/>
  </si>
  <si>
    <t>洋房</t>
    <phoneticPr fontId="21" type="noConversion"/>
  </si>
  <si>
    <r>
      <t>2019</t>
    </r>
    <r>
      <rPr>
        <sz val="10"/>
        <color indexed="8"/>
        <rFont val="宋体"/>
        <family val="3"/>
        <charset val="134"/>
      </rPr>
      <t>年</t>
    </r>
    <phoneticPr fontId="3" type="noConversion"/>
  </si>
  <si>
    <t>弥河镇规划朱兴路与卢郭路交叉口东北侧</t>
    <phoneticPr fontId="228" type="noConversion"/>
  </si>
  <si>
    <t>一般</t>
    <phoneticPr fontId="21" type="noConversion"/>
  </si>
  <si>
    <t>王府迎宾大道与仁和路交叉口西北侧,凤凰山路南侧</t>
    <phoneticPr fontId="228" type="noConversion"/>
  </si>
  <si>
    <r>
      <t>2</t>
    </r>
    <r>
      <rPr>
        <sz val="11"/>
        <color theme="1"/>
        <rFont val="宋体"/>
        <family val="3"/>
        <charset val="134"/>
        <scheme val="minor"/>
      </rPr>
      <t>019年</t>
    </r>
    <phoneticPr fontId="228" type="noConversion"/>
  </si>
  <si>
    <t>差值</t>
    <phoneticPr fontId="228" type="noConversion"/>
  </si>
  <si>
    <t>评估值</t>
    <phoneticPr fontId="228" type="noConversion"/>
  </si>
  <si>
    <t>景城花园</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</si>
</sst>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12" xfId="0" applyNumberFormat="1" applyFont="1" applyFill="1" applyBorder="1" applyAlignment="1" applyProtection="1">
      <alignment horizontal="left" vertical="center" wrapText="1"/>
      <protection locked="0"/>
    </xf>
    <xf numFmtId="0" fontId="0" fillId="1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6" fillId="5" borderId="0" xfId="0" applyNumberFormat="1" applyFont="1" applyFill="1" applyAlignment="1" applyProtection="1">
      <alignment horizontal="left" vertical="center"/>
      <protection locked="0"/>
    </xf>
    <xf numFmtId="0" fontId="145" fillId="16" borderId="0" xfId="0" applyFont="1" applyFill="1">
      <alignment vertical="center"/>
    </xf>
    <xf numFmtId="49" fontId="144" fillId="0" borderId="53" xfId="0" applyNumberFormat="1" applyFont="1" applyFill="1" applyBorder="1" applyAlignment="1" applyProtection="1">
      <alignment horizontal="center" vertical="center" wrapText="1"/>
      <protection locked="0"/>
    </xf>
    <xf numFmtId="0" fontId="145" fillId="0" borderId="0" xfId="0" applyFont="1" applyAlignment="1" applyProtection="1">
      <alignment horizontal="lef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80"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790575</xdr:colOff>
      <xdr:row>19</xdr:row>
      <xdr:rowOff>161925</xdr:rowOff>
    </xdr:from>
    <xdr:to>
      <xdr:col>8</xdr:col>
      <xdr:colOff>332547</xdr:colOff>
      <xdr:row>52</xdr:row>
      <xdr:rowOff>65980</xdr:rowOff>
    </xdr:to>
    <xdr:pic>
      <xdr:nvPicPr>
        <xdr:cNvPr id="2" name="图片 1"/>
        <xdr:cNvPicPr>
          <a:picLocks noChangeAspect="1"/>
        </xdr:cNvPicPr>
      </xdr:nvPicPr>
      <xdr:blipFill>
        <a:blip xmlns:r="http://schemas.openxmlformats.org/officeDocument/2006/relationships" r:embed="rId1"/>
        <a:stretch>
          <a:fillRect/>
        </a:stretch>
      </xdr:blipFill>
      <xdr:spPr>
        <a:xfrm>
          <a:off x="790575" y="3419475"/>
          <a:ext cx="6628572" cy="5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570572</xdr:colOff>
      <xdr:row>14</xdr:row>
      <xdr:rowOff>75891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28572" cy="2476191"/>
        </a:xfrm>
        <a:prstGeom prst="rect">
          <a:avLst/>
        </a:prstGeom>
      </xdr:spPr>
    </xdr:pic>
    <xdr:clientData/>
  </xdr:twoCellAnchor>
  <xdr:twoCellAnchor editAs="oneCell">
    <xdr:from>
      <xdr:col>0</xdr:col>
      <xdr:colOff>0</xdr:colOff>
      <xdr:row>15</xdr:row>
      <xdr:rowOff>0</xdr:rowOff>
    </xdr:from>
    <xdr:to>
      <xdr:col>16</xdr:col>
      <xdr:colOff>570058</xdr:colOff>
      <xdr:row>45</xdr:row>
      <xdr:rowOff>8881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1542858" cy="5152381"/>
        </a:xfrm>
        <a:prstGeom prst="rect">
          <a:avLst/>
        </a:prstGeom>
      </xdr:spPr>
    </xdr:pic>
    <xdr:clientData/>
  </xdr:twoCellAnchor>
  <xdr:twoCellAnchor editAs="oneCell">
    <xdr:from>
      <xdr:col>0</xdr:col>
      <xdr:colOff>0</xdr:colOff>
      <xdr:row>53</xdr:row>
      <xdr:rowOff>0</xdr:rowOff>
    </xdr:from>
    <xdr:to>
      <xdr:col>10</xdr:col>
      <xdr:colOff>608667</xdr:colOff>
      <xdr:row>69</xdr:row>
      <xdr:rowOff>123467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7466667" cy="2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山东省潍坊市青州市弥河流域二宗住宅用地出让国有建设用地使用权抵押价格预评估</v>
      </c>
      <c r="AX2" s="2614"/>
      <c r="AZ2" s="2614"/>
      <c r="BA2" s="2615"/>
      <c r="BC2" s="2615"/>
    </row>
    <row r="3" spans="1:55" s="2616" customFormat="1">
      <c r="A3" s="2595" t="s">
        <v>2641</v>
      </c>
      <c r="B3" s="2598" t="str">
        <f>'预评函-封皮'!B40</f>
        <v>昆仑信托有限责任公司</v>
      </c>
    </row>
    <row r="4" spans="1:55" s="2597" customFormat="1">
      <c r="A4" s="2595" t="s">
        <v>2642</v>
      </c>
      <c r="B4" s="2596" t="str">
        <f>'预评函-封皮'!B46</f>
        <v>郑燚、崔锴</v>
      </c>
      <c r="N4" s="2597" t="str">
        <f>'预评函-1'!A28</f>
        <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受贵公司委托，我公司对山东省潍坊市青州市弥河流域二宗住宅用地出让国有建设用地使用权抵押价格进行了预评估。</v>
      </c>
      <c r="AM6" s="2620"/>
    </row>
    <row r="7" spans="1:55" s="2594" customFormat="1">
      <c r="A7" s="2595" t="s">
        <v>2637</v>
      </c>
      <c r="B7" s="2596" t="str">
        <f>'预评函-1'!A6</f>
        <v>估价对象为青州市城市建设投资开发有限公司使用的、位于山东省潍坊市青州市弥河流域二宗住宅用地出让国有建设用地使用权。根据《国有土地使用证》[]，估价对象（分摊）出让国有建设用地使用权面积为248287.39平方米。根据《建设工程规划许可证》[]、《出让合同》[]，估价对象规划建筑面积为494091.91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潍坊水务投资有限责任公司拟使用山东省潍坊市青州市弥河流域二宗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2021年3月18日（评估专业人员勘察现场之日）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根据委托估价方介绍及评估专业人员现场勘查，本次评估估价对象实际土地开发程度为红线外市政基础设施达“七通”（即通路、通电、通上水、、、、）、宗地红线内场地平整。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根据《国有土地使用证》[]，估价对象（分摊）出让国有建设用地使用权面积为248287.39平方米。根据《建设工程规划许可证》[]、《出让合同》[]，估价对象规划建筑面积为494091.91平方米。</v>
      </c>
    </row>
    <row r="16" spans="1:55" s="2594" customFormat="1">
      <c r="A16" s="2595" t="s">
        <v>2649</v>
      </c>
      <c r="B16" s="2596" t="str">
        <f>'预评函-1'!A22</f>
        <v>本次估价对象为出让国有建设用地使用权，《国有土地使用证》[]证载土地终止日期为住宅2078年12月19日、商业2048年12月19日。截至估价期日，出让国有建设用地使用权剩余土地使用年限为。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3月18日，在规划利用条件下、设定土地开发程度为红线外“七通”、宗地内场地平整，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
      </c>
    </row>
    <row r="22" spans="1:48" ht="15" thickTop="1">
      <c r="A22" s="2606" t="s">
        <v>2655</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估价期日：2021年3月18日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红线外七通、宗地红线内场地平整</v>
      </c>
    </row>
    <row r="39" spans="1:2">
      <c r="A39" s="2595" t="s">
        <v>2699</v>
      </c>
      <c r="B39" s="2596" t="str">
        <f>'预评函-2'!L5</f>
        <v>红线外七通、宗地红线内场地平整</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248287.39</v>
      </c>
    </row>
    <row r="44" spans="1:2">
      <c r="A44" s="2595" t="s">
        <v>2720</v>
      </c>
      <c r="B44" s="2596" t="str">
        <f>'预评函-2'!O3</f>
        <v>规划建筑面积/㎡</v>
      </c>
    </row>
    <row r="45" spans="1:2">
      <c r="A45" s="2595" t="s">
        <v>2702</v>
      </c>
      <c r="B45" s="2596">
        <f>'预评函-2'!O5</f>
        <v>494091.91</v>
      </c>
    </row>
    <row r="46" spans="1:2">
      <c r="A46" s="2595" t="s">
        <v>2703</v>
      </c>
      <c r="B46" s="2596">
        <f ca="1">'预评函-2'!P5</f>
        <v>2757</v>
      </c>
    </row>
    <row r="47" spans="1:2">
      <c r="A47" s="2595" t="s">
        <v>2704</v>
      </c>
      <c r="B47" s="2596">
        <f ca="1">'预评函-2'!Q5</f>
        <v>1386</v>
      </c>
    </row>
    <row r="48" spans="1:2">
      <c r="A48" s="2595" t="s">
        <v>2705</v>
      </c>
      <c r="B48" s="2596">
        <f ca="1">'预评函-2'!R5</f>
        <v>68460</v>
      </c>
    </row>
    <row r="49" spans="1:2">
      <c r="A49" s="2595" t="s">
        <v>2721</v>
      </c>
      <c r="B49" s="2596" t="str">
        <f>'预评函-2'!A6</f>
        <v>抵押价格</v>
      </c>
    </row>
    <row r="50" spans="1:2">
      <c r="A50" s="2595" t="s">
        <v>2706</v>
      </c>
      <c r="B50" s="2596">
        <f ca="1">'预评函-2'!R6</f>
        <v>68460</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1.权利限制：根据估价对象《不动产权证书》原件、《国有土地使用权》复印件，截至估价期日，估价对象已设定抵押。未设定租赁等其他他项权利。</v>
      </c>
    </row>
    <row r="56" spans="1:2">
      <c r="A56" s="2595" t="s">
        <v>2659</v>
      </c>
      <c r="B56" s="2596" t="str">
        <f>'预评函-3'!A3</f>
        <v>2.基础设施条件：估价对象实际开发程度为红线外七通、宗地红线内场地平整；本次评估设定开发程度为红线外七通、宗地红线内场地平整。</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郑燚</v>
      </c>
    </row>
    <row r="70" spans="1:2">
      <c r="A70" s="2595" t="s">
        <v>2670</v>
      </c>
      <c r="B70" s="2602">
        <f ca="1">'预评函-3'!B20</f>
        <v>2014110011</v>
      </c>
    </row>
    <row r="71" spans="1:2">
      <c r="A71" s="2595" t="s">
        <v>2671</v>
      </c>
      <c r="B71" s="2596" t="str">
        <f>'预评函-3'!A21</f>
        <v>崔锴</v>
      </c>
    </row>
    <row r="72" spans="1:2" s="2610" customFormat="1" ht="15" thickBot="1">
      <c r="A72" s="2617" t="s">
        <v>2671</v>
      </c>
      <c r="B72" s="2623">
        <f ca="1">'预评函-3'!B21</f>
        <v>2010110070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J25" sqref="J25"/>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27" t="str">
        <f>IF(B10="北京市","北京市",C10)&amp;F10&amp;B16&amp;"国有建设用地使用权"&amp;B9&amp;"预评估"</f>
        <v>山东省潍坊市青州市弥河流域二宗住宅用地出让国有建设用地使用权抵押价格预评估</v>
      </c>
      <c r="C1" s="3328"/>
      <c r="D1" s="3328"/>
      <c r="E1" s="3328"/>
      <c r="F1" s="3328"/>
      <c r="G1" s="3328"/>
      <c r="H1" s="3328"/>
      <c r="I1" s="3329"/>
      <c r="J1" s="3074"/>
      <c r="K1" s="2310" t="str">
        <f>IF(B10="北京市","北京市",C10)&amp;F10&amp;B16&amp;"国有建设用地使用权"&amp;B9</f>
        <v>山东省潍坊市青州市弥河流域二宗住宅用地出让国有建设用地使用权抵押价格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山东省潍坊市青州市弥河流域二宗住宅用地出让国有建设用地使用权</v>
      </c>
      <c r="L2" s="3053"/>
      <c r="M2" s="3053"/>
      <c r="N2" s="3054"/>
      <c r="O2" s="3055"/>
      <c r="P2" s="3054"/>
      <c r="Q2" s="3054"/>
      <c r="R2" s="3054"/>
      <c r="S2" s="3054"/>
      <c r="T2" s="3054"/>
      <c r="U2" s="3054"/>
    </row>
    <row r="3" spans="1:21">
      <c r="A3" s="1588" t="s">
        <v>1928</v>
      </c>
      <c r="B3" s="1589">
        <v>44273</v>
      </c>
      <c r="C3" s="2997" t="s">
        <v>1984</v>
      </c>
      <c r="D3" s="1589">
        <f>B3</f>
        <v>44273</v>
      </c>
      <c r="E3" s="3074"/>
      <c r="F3" s="3074"/>
      <c r="G3" s="3074"/>
      <c r="H3" s="3075"/>
      <c r="I3" s="3076"/>
      <c r="J3" s="3074"/>
      <c r="K3" s="3057"/>
      <c r="L3" s="3053"/>
      <c r="M3" s="3053"/>
      <c r="N3" s="3054"/>
      <c r="O3" s="3055"/>
      <c r="P3" s="3054"/>
      <c r="Q3" s="3054"/>
      <c r="R3" s="3054"/>
      <c r="S3" s="3054"/>
      <c r="T3" s="3054"/>
      <c r="U3" s="3054"/>
    </row>
    <row r="4" spans="1:21" ht="15" thickBot="1">
      <c r="A4" s="1591" t="s">
        <v>1929</v>
      </c>
      <c r="B4" s="1756" t="s">
        <v>2999</v>
      </c>
      <c r="C4" s="1759">
        <f ca="1">SUMIF(土地估价师,B4,估价师及机构信息!E3:E16)</f>
        <v>2014110011</v>
      </c>
      <c r="D4" s="1756" t="s">
        <v>3000</v>
      </c>
      <c r="E4" s="1759">
        <f ca="1">SUMIF(土地估价师,D4,估价师及机构信息!E3:E16)</f>
        <v>2010110070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郑燚、崔锴</v>
      </c>
      <c r="L4" s="3053"/>
      <c r="M4" s="3053"/>
      <c r="N4" s="3054"/>
      <c r="O4" s="3055"/>
      <c r="P4" s="3054"/>
      <c r="Q4" s="3054"/>
      <c r="R4" s="3054"/>
      <c r="S4" s="3054"/>
      <c r="T4" s="3054"/>
      <c r="U4" s="3054"/>
    </row>
    <row r="5" spans="1:21" ht="15" thickTop="1">
      <c r="A5" s="1592" t="s">
        <v>1930</v>
      </c>
      <c r="B5" s="1703" t="s">
        <v>3001</v>
      </c>
      <c r="C5" s="1593"/>
      <c r="D5" s="1594"/>
      <c r="E5" s="3074"/>
      <c r="F5" s="3074"/>
      <c r="G5" s="3074"/>
      <c r="H5" s="3075"/>
      <c r="I5" s="3076"/>
      <c r="J5" s="3074"/>
      <c r="K5" s="3057"/>
      <c r="L5" s="3053"/>
      <c r="M5" s="3053"/>
      <c r="N5" s="3054"/>
      <c r="O5" s="3055"/>
      <c r="P5" s="3054"/>
      <c r="Q5" s="3054"/>
      <c r="R5" s="3054"/>
      <c r="S5" s="3054"/>
      <c r="T5" s="3054"/>
      <c r="U5" s="3054"/>
    </row>
    <row r="6" spans="1:21" ht="26.25">
      <c r="A6" s="1590" t="s">
        <v>2686</v>
      </c>
      <c r="B6" s="1703" t="str">
        <f>B5</f>
        <v>昆仑信托有限责任公司</v>
      </c>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2687</v>
      </c>
      <c r="B7" s="1703" t="s">
        <v>3002</v>
      </c>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2951</v>
      </c>
      <c r="C8" s="1598"/>
      <c r="D8" s="3333" t="s">
        <v>1933</v>
      </c>
      <c r="E8" s="1757" t="s">
        <v>3003</v>
      </c>
      <c r="F8" s="1599"/>
      <c r="G8" s="3075"/>
      <c r="H8" s="3075"/>
      <c r="I8" s="3078"/>
      <c r="J8" s="3074"/>
      <c r="K8" s="3057"/>
      <c r="L8" s="3053"/>
      <c r="M8" s="3053"/>
      <c r="N8" s="3054"/>
      <c r="O8" s="3055"/>
      <c r="P8" s="3054"/>
      <c r="Q8" s="3054"/>
      <c r="R8" s="3054"/>
      <c r="S8" s="3054"/>
      <c r="T8" s="3054"/>
      <c r="U8" s="3054"/>
    </row>
    <row r="9" spans="1:21" ht="15" thickBot="1">
      <c r="A9" s="2999" t="s">
        <v>1932</v>
      </c>
      <c r="B9" s="1600" t="s">
        <v>3003</v>
      </c>
      <c r="C9" s="1601"/>
      <c r="D9" s="3334"/>
      <c r="E9" s="1600" t="s">
        <v>943</v>
      </c>
      <c r="F9" s="1664"/>
      <c r="G9" s="3079"/>
      <c r="H9" s="3079"/>
      <c r="I9" s="3080"/>
      <c r="J9" s="3074"/>
      <c r="K9" s="3057"/>
      <c r="L9" s="3053"/>
      <c r="M9" s="3053"/>
      <c r="N9" s="3054"/>
      <c r="O9" s="3055"/>
      <c r="P9" s="3054"/>
      <c r="Q9" s="3054"/>
      <c r="R9" s="3054"/>
      <c r="S9" s="3054"/>
      <c r="T9" s="3054"/>
      <c r="U9" s="3054"/>
    </row>
    <row r="10" spans="1:21" ht="15" thickTop="1">
      <c r="A10" s="3000" t="s">
        <v>1988</v>
      </c>
      <c r="B10" s="1640" t="s">
        <v>3004</v>
      </c>
      <c r="C10" s="1602" t="s">
        <v>3005</v>
      </c>
      <c r="D10" s="1594"/>
      <c r="E10" s="1603" t="s">
        <v>1935</v>
      </c>
      <c r="F10" s="1604" t="s">
        <v>3006</v>
      </c>
      <c r="G10" s="1662"/>
      <c r="H10" s="1663"/>
      <c r="I10" s="1594"/>
      <c r="J10" s="3074"/>
      <c r="K10" s="3057"/>
      <c r="L10" s="3053"/>
      <c r="M10" s="3053"/>
      <c r="N10" s="3054"/>
      <c r="O10" s="3055"/>
      <c r="P10" s="3054"/>
      <c r="Q10" s="3054"/>
      <c r="R10" s="3054"/>
      <c r="S10" s="3054"/>
      <c r="T10" s="3054"/>
      <c r="U10" s="3054"/>
    </row>
    <row r="11" spans="1:21" ht="42.75">
      <c r="A11" s="3001" t="s">
        <v>1989</v>
      </c>
      <c r="B11" s="1619" t="s">
        <v>3007</v>
      </c>
      <c r="C11" s="1605" t="s">
        <v>3009</v>
      </c>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330"/>
      <c r="C12" s="3331"/>
      <c r="D12" s="3332"/>
      <c r="E12" s="1620" t="s">
        <v>2050</v>
      </c>
      <c r="F12" s="3348" t="s">
        <v>2867</v>
      </c>
      <c r="G12" s="3349"/>
      <c r="H12" s="3349"/>
      <c r="I12" s="3350"/>
      <c r="J12" s="3074"/>
      <c r="K12" s="3057"/>
      <c r="L12" s="3053"/>
      <c r="M12" s="3053"/>
      <c r="N12" s="3054"/>
      <c r="O12" s="3055"/>
      <c r="P12" s="3054"/>
      <c r="Q12" s="3054"/>
      <c r="R12" s="3054"/>
      <c r="S12" s="3054"/>
      <c r="T12" s="3054"/>
      <c r="U12" s="3054"/>
    </row>
    <row r="13" spans="1:21">
      <c r="A13" s="1611" t="s">
        <v>2048</v>
      </c>
      <c r="B13" s="3330"/>
      <c r="C13" s="3331"/>
      <c r="D13" s="3332"/>
      <c r="E13" s="1620" t="s">
        <v>2050</v>
      </c>
      <c r="F13" s="3348" t="s">
        <v>2868</v>
      </c>
      <c r="G13" s="3349"/>
      <c r="H13" s="3349"/>
      <c r="I13" s="3350"/>
      <c r="J13" s="3074"/>
      <c r="K13" s="3057"/>
      <c r="L13" s="3053"/>
      <c r="M13" s="3053"/>
      <c r="N13" s="3054"/>
      <c r="O13" s="3055"/>
      <c r="P13" s="3054"/>
      <c r="Q13" s="3054"/>
      <c r="R13" s="3054"/>
      <c r="S13" s="3054"/>
      <c r="T13" s="3054"/>
      <c r="U13" s="3054"/>
    </row>
    <row r="14" spans="1:21">
      <c r="A14" s="1588" t="s">
        <v>2051</v>
      </c>
      <c r="B14" s="1620"/>
      <c r="C14" s="1758" t="s">
        <v>3010</v>
      </c>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42.75">
      <c r="A16" s="3002" t="s">
        <v>1936</v>
      </c>
      <c r="B16" s="1606" t="s">
        <v>2946</v>
      </c>
      <c r="C16" s="1620" t="s">
        <v>1937</v>
      </c>
      <c r="D16" s="2488" t="s">
        <v>1938</v>
      </c>
      <c r="E16" s="1643" t="s">
        <v>3011</v>
      </c>
      <c r="F16" s="1643"/>
      <c r="G16" s="1643"/>
      <c r="H16" s="1643"/>
      <c r="I16" s="1610" t="s">
        <v>1943</v>
      </c>
      <c r="J16" s="3074"/>
      <c r="K16" s="2311" t="str">
        <f>IF(D17="","",D16&amp;TEXT(D17,"yyyy年m月d日;;"))</f>
        <v>住宅2078年12月19日</v>
      </c>
      <c r="L16" s="1620" t="str">
        <f>IF(OR(K16="",M16=""),"","、")</f>
        <v>、</v>
      </c>
      <c r="M16" s="2311" t="str">
        <f>IF(E17="","",E16&amp;TEXT(E17,"yyyy年m月d日;;"))</f>
        <v>商业2048年12月19日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3" t="s">
        <v>1944</v>
      </c>
      <c r="D17" s="1621">
        <v>65368</v>
      </c>
      <c r="E17" s="1621">
        <v>54411</v>
      </c>
      <c r="F17" s="1621"/>
      <c r="G17" s="1621"/>
      <c r="H17" s="1621"/>
      <c r="I17" s="1621"/>
      <c r="J17" s="3074"/>
      <c r="K17" s="3052" t="str">
        <f>CONCATENATE(K16,L16,M16,N16,O16,P16,Q16,R16,S16,T16,,U16)</f>
        <v>住宅2078年12月19日、商业2048年12月19日</v>
      </c>
      <c r="L17" s="3053"/>
      <c r="M17" s="3053"/>
      <c r="N17" s="3054"/>
      <c r="O17" s="3055"/>
      <c r="P17" s="3054"/>
      <c r="Q17" s="3054"/>
      <c r="R17" s="3054"/>
      <c r="S17" s="3054"/>
      <c r="T17" s="3054"/>
      <c r="U17" s="3054"/>
    </row>
    <row r="18" spans="1:21">
      <c r="A18" s="1680"/>
      <c r="B18" s="1607"/>
      <c r="C18" s="3003" t="s">
        <v>1945</v>
      </c>
      <c r="D18" s="1608">
        <v>70</v>
      </c>
      <c r="E18" s="1608">
        <v>40</v>
      </c>
      <c r="F18" s="1608"/>
      <c r="G18" s="1608"/>
      <c r="H18" s="1608"/>
      <c r="I18" s="1608"/>
      <c r="J18" s="3074"/>
      <c r="K18" s="3057"/>
      <c r="L18" s="3053"/>
      <c r="M18" s="3053"/>
      <c r="N18" s="3054"/>
      <c r="O18" s="3055"/>
      <c r="P18" s="3054"/>
      <c r="Q18" s="3054"/>
      <c r="R18" s="3054"/>
      <c r="S18" s="3054"/>
      <c r="T18" s="3054"/>
      <c r="U18" s="3054"/>
    </row>
    <row r="19" spans="1:21">
      <c r="A19" s="1680"/>
      <c r="B19" s="1607"/>
      <c r="C19" s="1587" t="s">
        <v>1946</v>
      </c>
      <c r="D19" s="1675">
        <f>IF(B16="出让",IF(D17="","",ROUNDDOWN(MIN((D17-$D$3)/365,D18),2)),D18)</f>
        <v>57.79</v>
      </c>
      <c r="E19" s="1609">
        <f>IF(B16="出让",IF(E17="","",ROUNDDOWN(MIN((E17-$D$3)/365,E18),2)),E18)</f>
        <v>27.77</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345"/>
      <c r="E20" s="3346"/>
      <c r="F20" s="3346"/>
      <c r="G20" s="3346"/>
      <c r="H20" s="3346"/>
      <c r="I20" s="3347"/>
      <c r="J20" s="3074"/>
      <c r="K20" s="3057"/>
      <c r="L20" s="3053"/>
      <c r="M20" s="3053"/>
      <c r="N20" s="3054"/>
      <c r="O20" s="3055"/>
      <c r="P20" s="3054"/>
      <c r="Q20" s="3054"/>
      <c r="R20" s="3054"/>
      <c r="S20" s="3054"/>
      <c r="T20" s="3054"/>
      <c r="U20" s="3054"/>
    </row>
    <row r="21" spans="1:21">
      <c r="A21" s="1680" t="s">
        <v>1947</v>
      </c>
      <c r="B21" s="1681" t="s">
        <v>1948</v>
      </c>
      <c r="C21" s="1676">
        <f>'数据-汇总表'!E3</f>
        <v>494091.91</v>
      </c>
      <c r="D21" s="1677" t="s">
        <v>1949</v>
      </c>
      <c r="E21" s="3335" t="s">
        <v>1987</v>
      </c>
      <c r="F21" s="3336"/>
      <c r="G21" s="3336"/>
      <c r="H21" s="3336"/>
      <c r="I21" s="3337"/>
      <c r="J21" s="3074"/>
      <c r="K21" s="3057"/>
      <c r="L21" s="3053"/>
      <c r="M21" s="3053"/>
      <c r="N21" s="3054"/>
      <c r="O21" s="3055"/>
      <c r="P21" s="3054"/>
      <c r="Q21" s="3054"/>
      <c r="R21" s="3054"/>
      <c r="S21" s="3054"/>
      <c r="T21" s="3054"/>
      <c r="U21" s="3054"/>
    </row>
    <row r="22" spans="1:21">
      <c r="A22" s="2802" t="s">
        <v>943</v>
      </c>
      <c r="B22" s="1588" t="s">
        <v>1950</v>
      </c>
      <c r="C22" s="1610">
        <f>'数据-汇总表'!D3</f>
        <v>248287.39</v>
      </c>
      <c r="D22" s="1611" t="s">
        <v>1949</v>
      </c>
      <c r="E22" s="3335" t="s">
        <v>2869</v>
      </c>
      <c r="F22" s="3336"/>
      <c r="G22" s="3336"/>
      <c r="H22" s="3336"/>
      <c r="I22" s="3337"/>
      <c r="J22" s="3074"/>
      <c r="K22" s="3057"/>
      <c r="L22" s="3053"/>
      <c r="M22" s="3053"/>
      <c r="N22" s="3054"/>
      <c r="O22" s="3055"/>
      <c r="P22" s="3054"/>
      <c r="Q22" s="3054"/>
      <c r="R22" s="3054"/>
      <c r="S22" s="3054"/>
      <c r="T22" s="3054"/>
      <c r="U22" s="3054"/>
    </row>
    <row r="23" spans="1:21" ht="43.5" thickBot="1">
      <c r="A23" s="1682" t="s">
        <v>1951</v>
      </c>
      <c r="B23" s="1622" t="s">
        <v>1952</v>
      </c>
      <c r="C23" s="1623" t="s">
        <v>1669</v>
      </c>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38" t="s">
        <v>1955</v>
      </c>
      <c r="C24" s="3339"/>
      <c r="D24" s="3340" t="s">
        <v>1956</v>
      </c>
      <c r="E24" s="3341"/>
      <c r="F24" s="1629" t="s">
        <v>1957</v>
      </c>
      <c r="G24" s="3074"/>
      <c r="H24" s="3074"/>
      <c r="I24" s="3078"/>
      <c r="J24" s="3074"/>
      <c r="K24" s="3326"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326"/>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326"/>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353" t="s">
        <v>1990</v>
      </c>
      <c r="B31" s="1681" t="s">
        <v>1991</v>
      </c>
      <c r="C31" s="3351" t="s">
        <v>3012</v>
      </c>
      <c r="D31" s="3352"/>
      <c r="E31" s="3074"/>
      <c r="F31" s="3074"/>
      <c r="G31" s="3074"/>
      <c r="H31" s="3074"/>
      <c r="I31" s="3078"/>
      <c r="J31" s="3074"/>
      <c r="K31" s="3060"/>
      <c r="L31" s="3054"/>
      <c r="M31" s="3054"/>
      <c r="N31" s="3054"/>
      <c r="O31" s="3054"/>
      <c r="P31" s="3054"/>
      <c r="Q31" s="3054"/>
      <c r="R31" s="3054"/>
      <c r="S31" s="3054"/>
      <c r="T31" s="3054"/>
      <c r="U31" s="3054"/>
    </row>
    <row r="32" spans="1:21">
      <c r="A32" s="3353"/>
      <c r="B32" s="1588" t="s">
        <v>1992</v>
      </c>
      <c r="C32" s="1640" t="s">
        <v>3013</v>
      </c>
      <c r="D32" s="1641"/>
      <c r="E32" s="3074"/>
      <c r="F32" s="3074"/>
      <c r="G32" s="3074"/>
      <c r="H32" s="3074"/>
      <c r="I32" s="3078"/>
      <c r="J32" s="3074"/>
      <c r="K32" s="3060"/>
      <c r="L32" s="3054"/>
      <c r="M32" s="3054"/>
      <c r="N32" s="3054"/>
      <c r="O32" s="3054"/>
      <c r="P32" s="3054"/>
      <c r="Q32" s="3054"/>
      <c r="R32" s="3054"/>
      <c r="S32" s="3054"/>
      <c r="T32" s="3054"/>
      <c r="U32" s="3054"/>
    </row>
    <row r="33" spans="1:28">
      <c r="A33" s="3353"/>
      <c r="B33" s="1588" t="s">
        <v>1993</v>
      </c>
      <c r="C33" s="1642" t="s">
        <v>3014</v>
      </c>
      <c r="D33" s="1752"/>
      <c r="E33" s="3074"/>
      <c r="F33" s="3074"/>
      <c r="G33" s="3074"/>
      <c r="H33" s="3074"/>
      <c r="I33" s="3078"/>
      <c r="J33" s="3074"/>
      <c r="K33" s="3060"/>
      <c r="L33" s="3054"/>
      <c r="M33" s="3054"/>
      <c r="N33" s="3054"/>
      <c r="O33" s="3054"/>
      <c r="P33" s="3054"/>
      <c r="Q33" s="3054"/>
      <c r="R33" s="3054"/>
      <c r="S33" s="3054"/>
      <c r="T33" s="3054"/>
      <c r="U33" s="3054"/>
    </row>
    <row r="34" spans="1:28">
      <c r="A34" s="3354"/>
      <c r="B34" s="1588" t="s">
        <v>1994</v>
      </c>
      <c r="C34" s="3355"/>
      <c r="D34" s="3356"/>
      <c r="E34" s="3074"/>
      <c r="F34" s="3074"/>
      <c r="G34" s="3074"/>
      <c r="H34" s="3074"/>
      <c r="I34" s="3078"/>
      <c r="J34" s="3074"/>
      <c r="K34" s="3060"/>
      <c r="L34" s="3054"/>
      <c r="M34" s="3054"/>
      <c r="N34" s="3054"/>
      <c r="O34" s="3054"/>
      <c r="P34" s="3054"/>
      <c r="Q34" s="3054"/>
      <c r="R34" s="3054"/>
      <c r="S34" s="3054"/>
      <c r="T34" s="3054"/>
      <c r="U34" s="3054"/>
    </row>
    <row r="35" spans="1:28">
      <c r="A35" s="3357" t="s">
        <v>839</v>
      </c>
      <c r="B35" s="1643" t="s">
        <v>3015</v>
      </c>
      <c r="C35" s="1690" t="str">
        <f>IF(B35="场地平整","——","具体情况：")</f>
        <v>——</v>
      </c>
      <c r="D35" s="3359"/>
      <c r="E35" s="3360"/>
      <c r="F35" s="3360"/>
      <c r="G35" s="3360"/>
      <c r="H35" s="3360"/>
      <c r="I35" s="3361"/>
      <c r="J35" s="3074"/>
      <c r="K35" s="3061"/>
      <c r="L35" s="3053"/>
      <c r="M35" s="3053"/>
      <c r="N35" s="3054"/>
      <c r="O35" s="3055"/>
      <c r="P35" s="3054"/>
      <c r="Q35" s="3054"/>
      <c r="R35" s="3054"/>
      <c r="S35" s="3054"/>
      <c r="T35" s="3054"/>
      <c r="U35" s="3054"/>
    </row>
    <row r="36" spans="1:28">
      <c r="A36" s="3353"/>
      <c r="B36" s="3362" t="s">
        <v>2043</v>
      </c>
      <c r="C36" s="3363"/>
      <c r="D36" s="1706" t="s">
        <v>3016</v>
      </c>
      <c r="E36" s="3364"/>
      <c r="F36" s="3364"/>
      <c r="G36" s="1611" t="str">
        <f>IF(B35="场地未平整","估价结果处理","")</f>
        <v/>
      </c>
      <c r="H36" s="3365"/>
      <c r="I36" s="3365"/>
      <c r="J36" s="3074"/>
      <c r="K36" s="3061"/>
      <c r="L36" s="3053"/>
      <c r="M36" s="3053"/>
      <c r="N36" s="3054"/>
      <c r="O36" s="3055"/>
      <c r="P36" s="3054"/>
      <c r="Q36" s="3054"/>
      <c r="R36" s="3054"/>
      <c r="S36" s="3054"/>
      <c r="T36" s="3054"/>
      <c r="U36" s="3054"/>
    </row>
    <row r="37" spans="1:28" ht="28.5">
      <c r="A37" s="3353"/>
      <c r="B37" s="3342"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53"/>
      <c r="B38" s="3343"/>
      <c r="C38" s="1596" t="s">
        <v>842</v>
      </c>
      <c r="D38" s="1705">
        <f>ROUNDDOWN(MIN(('数据-取费表'!$B$2-D37)/365,D34),1)</f>
        <v>121.2</v>
      </c>
      <c r="E38" s="1648" t="s">
        <v>843</v>
      </c>
      <c r="F38" s="3074"/>
      <c r="G38" s="3074"/>
      <c r="H38" s="3074"/>
      <c r="I38" s="3078"/>
      <c r="J38" s="3074"/>
      <c r="K38" s="3061"/>
      <c r="L38" s="3054"/>
      <c r="M38" s="3054"/>
      <c r="N38" s="3054"/>
      <c r="O38" s="3054"/>
      <c r="P38" s="3054"/>
      <c r="Q38" s="3054"/>
      <c r="R38" s="3054"/>
      <c r="S38" s="3054"/>
      <c r="T38" s="3054"/>
      <c r="U38" s="3054"/>
    </row>
    <row r="39" spans="1:28">
      <c r="A39" s="3354"/>
      <c r="B39" s="3344"/>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t="s">
        <v>3017</v>
      </c>
      <c r="C40" s="1612" t="s">
        <v>3018</v>
      </c>
      <c r="D40" s="1612" t="s">
        <v>3019</v>
      </c>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325" t="s">
        <v>1974</v>
      </c>
      <c r="T40" s="1652" t="str">
        <f>NUMBERSTRING(7-K40,1)&amp;"通"</f>
        <v>七通</v>
      </c>
      <c r="U40" s="3054"/>
    </row>
    <row r="41" spans="1:28">
      <c r="A41" s="1590"/>
      <c r="B41" s="3358" t="s">
        <v>1712</v>
      </c>
      <c r="C41" s="3358"/>
      <c r="D41" s="3358"/>
      <c r="E41" s="3358"/>
      <c r="F41" s="1653" t="str">
        <f>C10</f>
        <v>山东省</v>
      </c>
      <c r="G41" s="3074"/>
      <c r="H41" s="3074"/>
      <c r="I41" s="3078"/>
      <c r="J41" s="3074"/>
      <c r="K41" s="1620"/>
      <c r="L41" s="1617" t="str">
        <f>B40</f>
        <v>通路</v>
      </c>
      <c r="M41" s="1654" t="str">
        <f>B40&amp;"、"&amp;C40</f>
        <v>通路、通电</v>
      </c>
      <c r="N41" s="1655" t="str">
        <f>B40&amp;"、"&amp;C40&amp;"、"&amp;D40</f>
        <v>通路、通电、通上水</v>
      </c>
      <c r="O41" s="1655" t="str">
        <f>B40&amp;"、"&amp;C40&amp;"、"&amp;D40&amp;"、"&amp;E40</f>
        <v>通路、通电、通上水、</v>
      </c>
      <c r="P41" s="1655" t="str">
        <f>B40&amp;"、"&amp;C40&amp;"、"&amp;D40&amp;"、"&amp;E40&amp;"、"&amp;F40</f>
        <v>通路、通电、通上水、、</v>
      </c>
      <c r="Q41" s="1655" t="str">
        <f>B40&amp;"、"&amp;C40&amp;"、"&amp;D40&amp;"、"&amp;E40&amp;"、"&amp;F40&amp;"、"&amp;G40</f>
        <v>通路、通电、通上水、、、</v>
      </c>
      <c r="R41" s="1655" t="str">
        <f>B40&amp;"、"&amp;C40&amp;"、"&amp;D40&amp;"、"&amp;E40&amp;"、"&amp;F40&amp;"、"&amp;G40&amp;"、"&amp;H40</f>
        <v>通路、通电、通上水、、、、</v>
      </c>
      <c r="S41" s="3325"/>
      <c r="T41" s="1654" t="str">
        <f>IF(T40="一通",L41,IF(T40="二通",M41,IF(T40="三通",N41,IF(T40="四通",O41,IF(T40="五通",P41,IF(T40="六通",Q41,R41))))))</f>
        <v>通路、通电、通上水、、、、</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2870</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P41" sqref="P41"/>
      <selection pane="topRight" activeCell="P41" sqref="P41"/>
      <selection pane="bottomLeft" activeCell="P41" sqref="P41"/>
      <selection pane="bottomRight" activeCell="J24" sqref="J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248287.39</v>
      </c>
      <c r="B3" s="22">
        <f>IF(C3="否",G5-AT5,G5)</f>
        <v>494091.91</v>
      </c>
      <c r="C3" s="23" t="s">
        <v>1669</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494091.91</v>
      </c>
      <c r="H5" s="27">
        <f t="shared" ref="H5:AT5" si="0">SUM(H13:H641)</f>
        <v>494091.91</v>
      </c>
      <c r="I5" s="27">
        <f t="shared" si="0"/>
        <v>494091.91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494091.91</v>
      </c>
      <c r="BA5" s="29">
        <f t="shared" si="1"/>
        <v>494091.91</v>
      </c>
      <c r="BB5" s="29">
        <f t="shared" si="1"/>
        <v>494091.91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248287.39</v>
      </c>
      <c r="F6" s="27" t="s">
        <v>1</v>
      </c>
      <c r="G6" s="27" t="s">
        <v>2</v>
      </c>
      <c r="H6" s="33">
        <f>SUMIF(I$12:AB$12,"总值",I6:AB6)</f>
        <v>248287.39</v>
      </c>
      <c r="I6" s="27">
        <f t="shared" ref="I6:AB6" si="2">ROUND($A$3*I5/$B$3,2)</f>
        <v>248287.39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248287.39</v>
      </c>
      <c r="AZ6" s="27" t="s">
        <v>3</v>
      </c>
      <c r="BA6" s="27">
        <f>ROUND($AY$6*BA5/$AZ$5,2)</f>
        <v>248287.39</v>
      </c>
      <c r="BB6" s="27">
        <f>ROUND($AY$6*BB5/$AZ$5,2)</f>
        <v>248287.39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3021</v>
      </c>
      <c r="J9" s="51"/>
      <c r="K9" s="2732"/>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914</v>
      </c>
      <c r="J10" s="51"/>
      <c r="K10" s="2734"/>
      <c r="L10" s="51"/>
      <c r="M10" s="2734"/>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t="s">
        <v>3022</v>
      </c>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t="s">
        <v>3020</v>
      </c>
      <c r="B13" s="2727">
        <v>1.99</v>
      </c>
      <c r="C13" s="2727"/>
      <c r="D13" s="2728" t="s">
        <v>1669</v>
      </c>
      <c r="E13" s="27">
        <f t="shared" ref="E13:E20" si="6">IF($C$3="是",ROUND($A$3*G13/$B$3,2),ROUND($A$3*(G13-AT13)/$B$3,2))</f>
        <v>248287.39</v>
      </c>
      <c r="F13" s="81"/>
      <c r="G13" s="82">
        <f t="shared" ref="G13:G20" si="7">H13+AC13+AT13</f>
        <v>494091.91</v>
      </c>
      <c r="H13" s="33">
        <f t="shared" ref="H13:H20" si="8">SUMIF(I$12:AB$12,"总值",I13:AB13)</f>
        <v>494091.91</v>
      </c>
      <c r="I13" s="2731">
        <f>ROUND(A3*B13,2)</f>
        <v>494091.91</v>
      </c>
      <c r="J13" s="2731"/>
      <c r="K13" s="2731"/>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t="str">
        <f t="shared" ref="AV13:AX20" si="10">A13</f>
        <v>容积率</v>
      </c>
      <c r="AW13" s="17">
        <f t="shared" si="10"/>
        <v>1.99</v>
      </c>
      <c r="AX13" s="17">
        <f t="shared" si="10"/>
        <v>0</v>
      </c>
      <c r="AY13" s="984">
        <f t="shared" ref="AY13:AY20" si="11">ROUND($AY$6*AZ13/$AZ$5,2)</f>
        <v>248287.39</v>
      </c>
      <c r="AZ13" s="27">
        <f t="shared" ref="AZ13:AZ20" si="12">BA13+BL13</f>
        <v>494091.91</v>
      </c>
      <c r="BA13" s="27">
        <f t="shared" ref="BA13:BA20" si="13">SUM(BB13:BK13)</f>
        <v>494091.91</v>
      </c>
      <c r="BB13" s="27">
        <f t="shared" ref="BB13:BB20" si="14">IF($D13="是",I13-J13,0)</f>
        <v>494091.91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6" t="s">
        <v>0</v>
      </c>
      <c r="B1" s="3366" t="s">
        <v>4</v>
      </c>
      <c r="C1" s="3366" t="s">
        <v>5</v>
      </c>
      <c r="D1" s="3367" t="s">
        <v>40</v>
      </c>
      <c r="E1" s="3367" t="s">
        <v>41</v>
      </c>
      <c r="F1" s="3367"/>
      <c r="G1" s="3367"/>
      <c r="H1" s="3367"/>
      <c r="I1" s="3367"/>
      <c r="J1" s="3367"/>
      <c r="K1" s="3367"/>
      <c r="L1" s="3367"/>
      <c r="M1" s="3367"/>
    </row>
    <row r="2" spans="1:13" ht="27" customHeight="1">
      <c r="A2" s="3366"/>
      <c r="B2" s="3366"/>
      <c r="C2" s="3366"/>
      <c r="D2" s="3367"/>
      <c r="E2" s="3367" t="s">
        <v>24</v>
      </c>
      <c r="F2" s="3367" t="s">
        <v>25</v>
      </c>
      <c r="G2" s="3367"/>
      <c r="H2" s="3367"/>
      <c r="I2" s="3367"/>
      <c r="J2" s="3367" t="s">
        <v>26</v>
      </c>
      <c r="K2" s="3367"/>
      <c r="L2" s="3367"/>
      <c r="M2" s="3367"/>
    </row>
    <row r="3" spans="1:13" ht="28.5">
      <c r="A3" s="3366"/>
      <c r="B3" s="3366"/>
      <c r="C3" s="3366"/>
      <c r="D3" s="3367"/>
      <c r="E3" s="33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7" t="s">
        <v>42</v>
      </c>
      <c r="B9" s="3367"/>
      <c r="C9" s="33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K37" sqref="K37"/>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77" t="s">
        <v>203</v>
      </c>
      <c r="B2" s="3377"/>
      <c r="C2" s="3377"/>
      <c r="D2" s="1889" t="s">
        <v>204</v>
      </c>
      <c r="E2" s="106" t="s">
        <v>205</v>
      </c>
      <c r="F2" s="3083"/>
      <c r="G2" s="1181"/>
      <c r="H2" s="1182"/>
      <c r="I2" s="1183" t="s">
        <v>849</v>
      </c>
      <c r="J2" s="3083"/>
      <c r="K2" s="3083"/>
      <c r="L2" s="3083"/>
      <c r="M2" s="3083"/>
      <c r="N2" s="3083"/>
      <c r="O2" s="3083"/>
      <c r="P2" s="3083"/>
    </row>
    <row r="3" spans="1:16" ht="15.75" thickBot="1">
      <c r="A3" s="3378" t="s">
        <v>206</v>
      </c>
      <c r="B3" s="3378"/>
      <c r="C3" s="3378"/>
      <c r="D3" s="107">
        <f>'数据-基础表'!AY6</f>
        <v>248287.39</v>
      </c>
      <c r="E3" s="107">
        <f>'数据-基础表'!AZ5</f>
        <v>494091.91</v>
      </c>
      <c r="F3" s="3083"/>
      <c r="G3" s="278" t="s">
        <v>850</v>
      </c>
      <c r="H3" s="273" t="s">
        <v>851</v>
      </c>
      <c r="I3" s="1890">
        <f>ROUND('数据-基础表'!B3/'数据-基础表'!A3,2)</f>
        <v>1.99</v>
      </c>
      <c r="J3" s="3083"/>
      <c r="K3" s="3083"/>
      <c r="L3" s="3083"/>
      <c r="M3" s="3083"/>
      <c r="N3" s="3083"/>
      <c r="O3" s="3083"/>
      <c r="P3" s="3083"/>
    </row>
    <row r="4" spans="1:16" ht="15">
      <c r="A4" s="3379"/>
      <c r="B4" s="3380"/>
      <c r="C4" s="3381"/>
      <c r="D4" s="108" t="s">
        <v>204</v>
      </c>
      <c r="E4" s="109" t="s">
        <v>205</v>
      </c>
      <c r="F4" s="3083"/>
      <c r="G4" s="1184"/>
      <c r="H4" s="273" t="s">
        <v>852</v>
      </c>
      <c r="I4" s="1890">
        <f>ROUND(SUMIF('数据-基础表'!I9:AS9,"地上",'数据-基础表'!I5:AS5)/'数据-基础表'!A3,2)</f>
        <v>1.99</v>
      </c>
      <c r="J4" s="3083"/>
      <c r="K4" s="3083"/>
      <c r="L4" s="3083"/>
      <c r="M4" s="3083"/>
      <c r="N4" s="3083"/>
      <c r="O4" s="3083"/>
      <c r="P4" s="3083"/>
    </row>
    <row r="5" spans="1:16">
      <c r="A5" s="110" t="s">
        <v>207</v>
      </c>
      <c r="B5" s="3382" t="s">
        <v>230</v>
      </c>
      <c r="C5" s="3382"/>
      <c r="D5" s="111">
        <f>ROUND($D$3*E5/$E$3,2)</f>
        <v>248287.39</v>
      </c>
      <c r="E5" s="112">
        <f>SUMIF('数据-基础表'!$11:$11,"住宅",'数据-基础表'!$5:$5)</f>
        <v>494091.91</v>
      </c>
      <c r="F5" s="3083"/>
      <c r="G5" s="278" t="s">
        <v>853</v>
      </c>
      <c r="H5" s="273" t="s">
        <v>851</v>
      </c>
      <c r="I5" s="1890">
        <f>ROUND(E31/D31,2)</f>
        <v>1.99</v>
      </c>
      <c r="J5" s="3083"/>
      <c r="K5" s="3083"/>
      <c r="L5" s="3083"/>
      <c r="M5" s="3083"/>
      <c r="N5" s="3083"/>
      <c r="O5" s="3083"/>
      <c r="P5" s="3083"/>
    </row>
    <row r="6" spans="1:16" ht="15" thickBot="1">
      <c r="A6" s="113"/>
      <c r="B6" s="3382" t="s">
        <v>208</v>
      </c>
      <c r="C6" s="3382"/>
      <c r="D6" s="111">
        <f>ROUND($D$3*E6/$E$3,2)</f>
        <v>0</v>
      </c>
      <c r="E6" s="112">
        <f>E3-E5</f>
        <v>0</v>
      </c>
      <c r="F6" s="3083"/>
      <c r="G6" s="1184"/>
      <c r="H6" s="273" t="s">
        <v>852</v>
      </c>
      <c r="I6" s="1890">
        <f>ROUND(F31/D31,2)</f>
        <v>1.99</v>
      </c>
      <c r="J6" s="3083"/>
      <c r="K6" s="3083"/>
      <c r="L6" s="3083"/>
      <c r="M6" s="3083"/>
      <c r="N6" s="3083"/>
      <c r="O6" s="3083"/>
      <c r="P6" s="3083"/>
    </row>
    <row r="7" spans="1:16" ht="15">
      <c r="A7" s="3374"/>
      <c r="B7" s="3375"/>
      <c r="C7" s="3376"/>
      <c r="D7" s="108" t="s">
        <v>204</v>
      </c>
      <c r="E7" s="114" t="s">
        <v>231</v>
      </c>
      <c r="F7" s="3083"/>
      <c r="G7" s="1139" t="s">
        <v>1636</v>
      </c>
      <c r="H7" s="1140"/>
      <c r="I7" s="1760"/>
      <c r="J7" s="3083"/>
      <c r="K7" s="3083"/>
      <c r="L7" s="3083"/>
      <c r="M7" s="3083"/>
      <c r="N7" s="3083"/>
      <c r="O7" s="3083"/>
      <c r="P7" s="3083"/>
    </row>
    <row r="8" spans="1:16">
      <c r="A8" s="110" t="s">
        <v>209</v>
      </c>
      <c r="B8" s="115" t="s">
        <v>210</v>
      </c>
      <c r="C8" s="111" t="s">
        <v>211</v>
      </c>
      <c r="D8" s="111">
        <f t="shared" ref="D8:D15" si="0">ROUND($D$3*E8/$E$3,2)</f>
        <v>248287.39</v>
      </c>
      <c r="E8" s="116">
        <f>SUMIF('数据-基础表'!BB10:BK10,"地上",'数据-基础表'!BB5:BK5)</f>
        <v>494091.91</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248287.39</v>
      </c>
      <c r="E16" s="120">
        <f>SUM(E8:E15)</f>
        <v>494091.91</v>
      </c>
      <c r="F16" s="3083"/>
      <c r="G16" s="3084"/>
      <c r="H16" s="956" t="s">
        <v>219</v>
      </c>
      <c r="I16" s="957"/>
      <c r="J16" s="1898"/>
      <c r="K16" s="3368" t="s">
        <v>2547</v>
      </c>
      <c r="L16" s="3369"/>
      <c r="M16" s="3369"/>
      <c r="N16" s="3369"/>
      <c r="O16" s="3369"/>
      <c r="P16" s="3370"/>
    </row>
    <row r="17" spans="1:19" ht="15">
      <c r="A17" s="121" t="s">
        <v>216</v>
      </c>
      <c r="B17" s="122" t="s">
        <v>217</v>
      </c>
      <c r="C17" s="2178" t="s">
        <v>2301</v>
      </c>
      <c r="D17" s="108" t="s">
        <v>204</v>
      </c>
      <c r="E17" s="124" t="s">
        <v>205</v>
      </c>
      <c r="F17" s="125"/>
      <c r="G17" s="1319"/>
      <c r="H17" s="958" t="s">
        <v>218</v>
      </c>
      <c r="I17" s="959" t="s">
        <v>2300</v>
      </c>
      <c r="J17" s="1898"/>
      <c r="K17" s="3371" t="s">
        <v>2548</v>
      </c>
      <c r="L17" s="3372"/>
      <c r="M17" s="3373"/>
      <c r="N17" s="3371" t="s">
        <v>2549</v>
      </c>
      <c r="O17" s="3372"/>
      <c r="P17" s="3373"/>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8" t="s">
        <v>3023</v>
      </c>
      <c r="D19" s="111">
        <f t="shared" ref="D19:D26" si="1">ROUND($D$3*E19/$E$3,2)</f>
        <v>248287.39</v>
      </c>
      <c r="E19" s="134">
        <f t="shared" ref="E19:E26" si="2">SUM(F19:G19)</f>
        <v>494091.91</v>
      </c>
      <c r="F19" s="3085">
        <f>E3</f>
        <v>494091.91</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248287.39</v>
      </c>
      <c r="S19" s="2181">
        <f t="shared" si="5"/>
        <v>494091.91</v>
      </c>
    </row>
    <row r="20" spans="1:19">
      <c r="A20" s="137"/>
      <c r="B20" s="115" t="s">
        <v>226</v>
      </c>
      <c r="C20" s="2738"/>
      <c r="D20" s="111">
        <f t="shared" si="1"/>
        <v>0</v>
      </c>
      <c r="E20" s="134">
        <f t="shared" si="2"/>
        <v>0</v>
      </c>
      <c r="F20" s="3085"/>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248287.39</v>
      </c>
      <c r="E27" s="141">
        <f>IF(SUM(E19:E26)='数据-基础表'!BA5,SUM(E19:E26),IF(F27="地上面积有误","面积有误","地下面积有误"))</f>
        <v>494091.91</v>
      </c>
      <c r="F27" s="134">
        <f>IF(SUM(F19:F26)=E8,SUM(F19:F26),"地上面积有误")</f>
        <v>494091.91</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248287.39</v>
      </c>
      <c r="S27" s="273">
        <f>IF(SUM(S19:S26)=$E$3,SUM(S19:S26),SUM(S19:S26)&amp;"误差"&amp;ROUND(SUM(S19:S26)-E3,2))</f>
        <v>494091.91</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2310</v>
      </c>
      <c r="D31" s="1323">
        <f>D27+D30</f>
        <v>248287.39</v>
      </c>
      <c r="E31" s="1323">
        <f>E27+E30</f>
        <v>494091.91</v>
      </c>
      <c r="F31" s="1324">
        <f>F27+F30</f>
        <v>494091.91</v>
      </c>
      <c r="G31" s="1325">
        <f>G27+G30</f>
        <v>0</v>
      </c>
      <c r="H31" s="3083"/>
      <c r="I31" s="3083"/>
      <c r="J31" s="3083"/>
      <c r="K31" s="3083"/>
      <c r="L31" s="3083"/>
      <c r="M31" s="3083"/>
      <c r="N31" s="3083"/>
      <c r="O31" s="3083"/>
      <c r="P31" s="3083"/>
    </row>
    <row r="32" spans="1:19">
      <c r="A32" s="1898"/>
      <c r="B32" s="2222" t="s">
        <v>2309</v>
      </c>
      <c r="C32" s="2489"/>
      <c r="D32" s="1184"/>
      <c r="E32" s="1184">
        <f>SUMIF(C19:C26,"*住宅*",E19:E26)</f>
        <v>494091.91</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activeCell="P41" sqref="P41"/>
      <selection pane="topRight" activeCell="P41" sqref="P41"/>
      <selection pane="bottomLeft" activeCell="P41" sqref="P41"/>
      <selection pane="bottomRight" activeCell="L28" sqref="L28"/>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44273</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40.5">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2970</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住宅</v>
      </c>
      <c r="B6" s="2217" t="str">
        <f>IF(A6=0,"","经营性")</f>
        <v>经营性</v>
      </c>
      <c r="C6" s="171" t="s">
        <v>914</v>
      </c>
      <c r="D6" s="2188">
        <f>SUMIF(项目基本情况!D$15:I$15,C6,项目基本情况!D$18:I$18)</f>
        <v>70</v>
      </c>
      <c r="E6" s="2189">
        <f>IF(B6="","",SUMIF(项目基本情况!D$15:I$15,C6,项目基本情况!D$17:I$17))</f>
        <v>65368</v>
      </c>
      <c r="F6" s="172">
        <f>SUMIF(项目基本情况!D$15:I$15,C6,项目基本情况!D$19:I$19)</f>
        <v>57.79</v>
      </c>
      <c r="G6" s="173">
        <f>IF(ISERROR(ROUND(POWER(1+H6,D6-F6)*(POWER(1+H6,F6)-1)/(POWER(1+H6,D6)-1),3)),0,ROUND(POWER(1+H6,D6-F6)*(POWER(1+H6,F6)-1)/(POWER(1+H6,D6)-1),3))</f>
        <v>0.95799999999999996</v>
      </c>
      <c r="H6" s="2739">
        <v>0.04</v>
      </c>
      <c r="I6" s="2739">
        <v>4.4999999999999998E-2</v>
      </c>
      <c r="J6" s="174"/>
      <c r="K6" s="177">
        <f>SUMIF('数据-汇总表'!C$19:C$33,'数据-取费表'!A6,'数据-汇总表'!E$19:E$33)</f>
        <v>494091.91</v>
      </c>
      <c r="L6" s="2740">
        <v>2000</v>
      </c>
      <c r="M6" s="175">
        <f t="shared" ref="M6:M14" si="0">ROUND(K6*L6/10000,0)</f>
        <v>98818</v>
      </c>
      <c r="N6" s="2741">
        <v>0</v>
      </c>
      <c r="O6" s="175">
        <f>IF($N$5="成新度","——",ROUND(M6*N6,0))</f>
        <v>0</v>
      </c>
      <c r="P6" s="176">
        <f>IF($N$5="成新度","——",M6-O6)</f>
        <v>98818</v>
      </c>
      <c r="Q6" s="2742">
        <v>0.13</v>
      </c>
      <c r="R6" s="177">
        <f>SUMIF('数据-汇总表'!C$19:C$33,A6,'数据-汇总表'!R$19:R$33)</f>
        <v>248287.39</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3"/>
      <c r="AN6" s="2247"/>
      <c r="AO6" s="3093"/>
      <c r="AP6" s="1187">
        <f>ROUND(1-1/(1+H6)^F6,3)</f>
        <v>0.89600000000000002</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9"/>
      <c r="I7" s="2739"/>
      <c r="J7" s="174"/>
      <c r="K7" s="177">
        <f>SUMIF('数据-汇总表'!C$19:C$33,'数据-取费表'!A7,'数据-汇总表'!E$19:E$33)</f>
        <v>0</v>
      </c>
      <c r="L7" s="2740"/>
      <c r="M7" s="175">
        <f t="shared" si="0"/>
        <v>0</v>
      </c>
      <c r="N7" s="2741"/>
      <c r="O7" s="175">
        <f t="shared" ref="O7:O14" si="3">IF($N$5="成新度","——",ROUND(M7*N7,0))</f>
        <v>0</v>
      </c>
      <c r="P7" s="176">
        <f t="shared" ref="P7:P14" si="4">IF($N$5="成新度","——",M7-O7)</f>
        <v>0</v>
      </c>
      <c r="Q7" s="2742"/>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3"/>
      <c r="AP7" s="1187">
        <f t="shared" ref="AP7:AP13" si="8">ROUND(1-1/(1+H7)^F7,3)</f>
        <v>0</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0.95799999999999996</v>
      </c>
      <c r="H16" s="201">
        <f>ROUND(SUMPRODUCT(H6:H13,K6:K13)/SUMPRODUCT((H6:H13&gt;0)*(K6:K13)),3)</f>
        <v>0.04</v>
      </c>
      <c r="I16" s="202"/>
      <c r="J16" s="202"/>
      <c r="K16" s="203">
        <f>SUM(K6:K15)</f>
        <v>494091.91</v>
      </c>
      <c r="L16" s="204">
        <f>ROUND(M16*10000/SUM(K6:K14),0)</f>
        <v>2000</v>
      </c>
      <c r="M16" s="204">
        <f>SUM(M6:M14)</f>
        <v>98818</v>
      </c>
      <c r="N16" s="205">
        <f>ROUND(SUMPRODUCT(M6:M14,N6:N14)/M16,3)</f>
        <v>0</v>
      </c>
      <c r="O16" s="204">
        <f>SUM(O6:O14)</f>
        <v>0</v>
      </c>
      <c r="P16" s="204">
        <f>SUM(P6:P14)</f>
        <v>98818</v>
      </c>
      <c r="Q16" s="206">
        <f>ROUND(SUMPRODUCT(Q6:Q13,K6:K13)/SUMPRODUCT((Q6:Q13&gt;0)*(K6:K13)),2)</f>
        <v>0.13</v>
      </c>
      <c r="R16" s="2191">
        <f>SUM(R6:R13)</f>
        <v>248287.39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0.89600000000000002</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2982</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2</v>
      </c>
      <c r="C20" s="3105" t="s">
        <v>2323</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2</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2</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v>217</v>
      </c>
      <c r="C27" s="3106" t="s">
        <v>2983</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217</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50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150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0.02</v>
      </c>
      <c r="C33" s="3108" t="s">
        <v>2971</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0.02</v>
      </c>
      <c r="C34" s="3108" t="s">
        <v>2972</v>
      </c>
      <c r="D34" s="3109" t="s">
        <v>2979</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f>B30</f>
        <v>200</v>
      </c>
      <c r="C35" s="3108" t="s">
        <v>2973</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2974</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0.03</v>
      </c>
      <c r="C37" s="3108" t="s">
        <v>2975</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0.03</v>
      </c>
      <c r="C38" s="3108" t="s">
        <v>2975</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3278" t="s">
        <v>3024</v>
      </c>
      <c r="B40" s="2334">
        <f ca="1">IF(A40="利息：取LPR",存贷款利率!E2,存贷款利率!E2+C40)</f>
        <v>4.3499999999999997E-2</v>
      </c>
      <c r="C40" s="3279">
        <v>5.0000000000000001E-3</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5.6500000000000002E-2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6.5000000000000006E-3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7.0000000000000007E-2</v>
      </c>
      <c r="C44" s="3108" t="s">
        <v>2980</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2976</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0.01</v>
      </c>
      <c r="C46" s="3111" t="s">
        <v>2977</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v>1E-3</v>
      </c>
      <c r="C47" s="3106" t="s">
        <v>2984</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2976</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2978</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6</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916</v>
      </c>
      <c r="C53" s="3101" t="s">
        <v>2871</v>
      </c>
      <c r="D53" s="3112" t="s">
        <v>2981</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2872</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2873</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2874</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2875</v>
      </c>
      <c r="B57" s="184">
        <v>6</v>
      </c>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2876</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2877</v>
      </c>
      <c r="B59" s="184"/>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2878</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2879</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2880</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2881</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P41" sqref="P41"/>
      <selection pane="topRight" activeCell="P41" sqref="P41"/>
      <selection pane="bottomLeft" activeCell="P41" sqref="P41"/>
      <selection pane="bottomRight" activeCell="C21" sqref="C21"/>
    </sheetView>
  </sheetViews>
  <sheetFormatPr defaultColWidth="9" defaultRowHeight="13.5"/>
  <cols>
    <col min="1" max="1" width="9.5" style="3124"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4"/>
  </cols>
  <sheetData>
    <row r="1" spans="1:18" s="3118" customFormat="1" ht="19.5" thickBot="1">
      <c r="A1" s="3383" t="s">
        <v>1654</v>
      </c>
      <c r="B1" s="3384"/>
      <c r="C1" s="3384"/>
      <c r="D1" s="3384"/>
      <c r="E1" s="3384"/>
      <c r="F1" s="3384"/>
      <c r="G1" s="3384"/>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28.5">
      <c r="A3" s="3125" t="s">
        <v>1657</v>
      </c>
      <c r="B3" s="3126" t="s">
        <v>1644</v>
      </c>
      <c r="C3" s="3280" t="s">
        <v>3026</v>
      </c>
      <c r="D3" s="3127"/>
      <c r="E3" s="3128" t="s">
        <v>1657</v>
      </c>
      <c r="F3" s="3129" t="s">
        <v>1645</v>
      </c>
      <c r="G3" s="3130" t="s">
        <v>2886</v>
      </c>
      <c r="H3" s="3124"/>
      <c r="I3" s="3124"/>
      <c r="J3" s="3124"/>
      <c r="K3" s="3124"/>
      <c r="L3" s="3124"/>
      <c r="M3" s="3124"/>
      <c r="N3" s="3124"/>
      <c r="O3" s="3124"/>
      <c r="P3" s="3124"/>
      <c r="Q3" s="3124"/>
      <c r="R3" s="3124"/>
    </row>
    <row r="4" spans="1:18" ht="40.5">
      <c r="A4" s="3128"/>
      <c r="B4" s="3131" t="s">
        <v>1658</v>
      </c>
      <c r="C4" s="3281" t="s">
        <v>3028</v>
      </c>
      <c r="D4" s="3127"/>
      <c r="E4" s="3132"/>
      <c r="F4" s="3133" t="s">
        <v>1659</v>
      </c>
      <c r="G4" s="3134" t="s">
        <v>2883</v>
      </c>
      <c r="H4" s="3124"/>
      <c r="I4" s="3124"/>
      <c r="J4" s="3124"/>
      <c r="K4" s="3124"/>
      <c r="L4" s="3124"/>
      <c r="M4" s="3124"/>
      <c r="N4" s="3124"/>
      <c r="O4" s="3124"/>
      <c r="P4" s="3124"/>
      <c r="Q4" s="3124"/>
      <c r="R4" s="3124"/>
    </row>
    <row r="5" spans="1:18" ht="27">
      <c r="A5" s="3128"/>
      <c r="B5" s="3131" t="s">
        <v>1660</v>
      </c>
      <c r="C5" s="3281" t="s">
        <v>3028</v>
      </c>
      <c r="D5" s="3127"/>
      <c r="E5" s="3132"/>
      <c r="F5" s="3131" t="s">
        <v>2527</v>
      </c>
      <c r="G5" s="3134" t="s">
        <v>2884</v>
      </c>
      <c r="H5" s="3124"/>
      <c r="I5" s="3124"/>
      <c r="J5" s="3124"/>
      <c r="K5" s="3124"/>
      <c r="L5" s="3124"/>
      <c r="M5" s="3124"/>
      <c r="N5" s="3124"/>
      <c r="O5" s="3124"/>
      <c r="P5" s="3124"/>
      <c r="Q5" s="3124"/>
      <c r="R5" s="3124"/>
    </row>
    <row r="6" spans="1:18">
      <c r="A6" s="3128"/>
      <c r="B6" s="3131" t="s">
        <v>1646</v>
      </c>
      <c r="C6" s="3282" t="s">
        <v>3028</v>
      </c>
      <c r="D6" s="3127"/>
      <c r="E6" s="3132"/>
      <c r="F6" s="3131" t="s">
        <v>2528</v>
      </c>
      <c r="G6" s="3134" t="s">
        <v>2882</v>
      </c>
      <c r="H6" s="3124"/>
      <c r="I6" s="3124"/>
      <c r="J6" s="3124"/>
      <c r="K6" s="3124"/>
      <c r="L6" s="3124"/>
      <c r="M6" s="3124"/>
      <c r="N6" s="3124"/>
      <c r="O6" s="3124"/>
      <c r="P6" s="3124"/>
      <c r="Q6" s="3124"/>
      <c r="R6" s="3124"/>
    </row>
    <row r="7" spans="1:18" ht="27.75" thickBot="1">
      <c r="A7" s="3128"/>
      <c r="B7" s="3131" t="s">
        <v>2527</v>
      </c>
      <c r="C7" s="3282" t="s">
        <v>3029</v>
      </c>
      <c r="D7" s="3135"/>
      <c r="E7" s="3136"/>
      <c r="F7" s="3137" t="s">
        <v>1661</v>
      </c>
      <c r="G7" s="3138" t="s">
        <v>2885</v>
      </c>
      <c r="H7" s="3124"/>
      <c r="I7" s="3124"/>
      <c r="J7" s="3124"/>
      <c r="K7" s="3124"/>
      <c r="L7" s="3124"/>
      <c r="M7" s="3124"/>
      <c r="N7" s="3124"/>
      <c r="O7" s="3124"/>
      <c r="P7" s="3124"/>
      <c r="Q7" s="3124"/>
      <c r="R7" s="3124"/>
    </row>
    <row r="8" spans="1:18">
      <c r="A8" s="3128"/>
      <c r="B8" s="3131" t="s">
        <v>2528</v>
      </c>
      <c r="C8" s="3282" t="s">
        <v>3031</v>
      </c>
      <c r="D8" s="3135"/>
      <c r="E8" s="3135"/>
      <c r="F8" s="3139"/>
      <c r="G8" s="3139"/>
      <c r="H8" s="3124"/>
      <c r="I8" s="3124"/>
      <c r="J8" s="3124"/>
      <c r="K8" s="3124"/>
      <c r="L8" s="3124"/>
      <c r="M8" s="3124"/>
      <c r="N8" s="3124"/>
      <c r="O8" s="3124"/>
      <c r="P8" s="3124"/>
      <c r="Q8" s="3124"/>
      <c r="R8" s="3124"/>
    </row>
    <row r="9" spans="1:18">
      <c r="A9" s="3128"/>
      <c r="B9" s="3131" t="s">
        <v>1647</v>
      </c>
      <c r="C9" s="3281" t="s">
        <v>3033</v>
      </c>
      <c r="D9" s="3127"/>
      <c r="E9" s="3135"/>
      <c r="F9" s="3139"/>
      <c r="G9" s="3139"/>
      <c r="H9" s="3124"/>
      <c r="I9" s="3124"/>
      <c r="J9" s="3124"/>
      <c r="K9" s="3124"/>
      <c r="L9" s="3124"/>
      <c r="M9" s="3124"/>
      <c r="N9" s="3124"/>
      <c r="O9" s="3124"/>
      <c r="P9" s="3124"/>
      <c r="Q9" s="3124"/>
      <c r="R9" s="3124"/>
    </row>
    <row r="10" spans="1:18" s="3146" customFormat="1" ht="15" thickBot="1">
      <c r="A10" s="3140"/>
      <c r="B10" s="3141" t="s">
        <v>1662</v>
      </c>
      <c r="C10" s="3142"/>
      <c r="D10" s="3127"/>
      <c r="E10" s="3127"/>
      <c r="F10" s="3139"/>
      <c r="G10" s="3139"/>
      <c r="H10" s="3143"/>
      <c r="I10" s="3144"/>
      <c r="J10" s="3145"/>
      <c r="K10" s="3143"/>
      <c r="L10" s="3144"/>
      <c r="M10" s="3145"/>
      <c r="N10" s="3143"/>
      <c r="O10" s="3144"/>
      <c r="P10" s="3145"/>
      <c r="Q10" s="3143"/>
      <c r="R10" s="3144"/>
    </row>
    <row r="11" spans="1:18" s="3146" customFormat="1">
      <c r="A11" s="3147"/>
      <c r="B11" s="3135"/>
      <c r="C11" s="3127"/>
      <c r="D11" s="3127"/>
      <c r="E11" s="3127"/>
      <c r="F11" s="3135"/>
      <c r="G11" s="3148"/>
      <c r="H11" s="3143"/>
      <c r="I11" s="3144"/>
      <c r="J11" s="3145"/>
      <c r="K11" s="3143"/>
      <c r="L11" s="3144"/>
      <c r="M11" s="3145"/>
      <c r="N11" s="3143"/>
      <c r="O11" s="3144"/>
      <c r="P11" s="3145"/>
      <c r="Q11" s="3143"/>
      <c r="R11" s="3144"/>
    </row>
    <row r="12" spans="1:18" s="3118" customFormat="1" ht="18.75">
      <c r="A12" s="3147"/>
      <c r="B12" s="3135"/>
      <c r="C12" s="3127"/>
      <c r="D12" s="3149"/>
      <c r="E12" s="3127"/>
      <c r="F12" s="3135"/>
      <c r="G12" s="3148"/>
      <c r="H12" s="3150"/>
      <c r="I12" s="3151"/>
      <c r="J12" s="3150"/>
      <c r="K12" s="3150"/>
      <c r="L12" s="3152"/>
      <c r="M12" s="3150"/>
      <c r="N12" s="3153"/>
      <c r="O12" s="3154"/>
      <c r="P12" s="3155"/>
      <c r="Q12" s="3153"/>
      <c r="R12" s="3117"/>
    </row>
    <row r="13" spans="1:18" ht="19.5" thickBot="1">
      <c r="A13" s="3156" t="s">
        <v>1663</v>
      </c>
      <c r="B13" s="3149"/>
      <c r="C13" s="3149"/>
      <c r="D13" s="3122"/>
      <c r="E13" s="3149"/>
      <c r="F13" s="3149"/>
      <c r="G13" s="3149"/>
    </row>
    <row r="14" spans="1:18" ht="14.25" thickBot="1">
      <c r="A14" s="3161"/>
      <c r="B14" s="3161"/>
      <c r="C14" s="3162" t="s">
        <v>1655</v>
      </c>
      <c r="D14" s="3127"/>
      <c r="E14" s="3163"/>
      <c r="F14" s="3163"/>
      <c r="G14" s="3121" t="s">
        <v>1656</v>
      </c>
    </row>
    <row r="15" spans="1:18" ht="27">
      <c r="A15" s="3164" t="s">
        <v>1648</v>
      </c>
      <c r="B15" s="3165" t="s">
        <v>1644</v>
      </c>
      <c r="C15" s="3166" t="str">
        <f>C3</f>
        <v>较差</v>
      </c>
      <c r="D15" s="3127"/>
      <c r="E15" s="3167" t="s">
        <v>1649</v>
      </c>
      <c r="F15" s="3165" t="s">
        <v>1664</v>
      </c>
      <c r="G15" s="3168" t="str">
        <f>G3</f>
        <v>估价对象位于XX开发区，园区建设成熟度XX，产业集聚程度XX</v>
      </c>
    </row>
    <row r="16" spans="1:18" ht="40.5">
      <c r="A16" s="3169"/>
      <c r="B16" s="3170" t="s">
        <v>1658</v>
      </c>
      <c r="C16" s="3171" t="str">
        <f>C4</f>
        <v>一般</v>
      </c>
      <c r="D16" s="3127"/>
      <c r="E16" s="3172"/>
      <c r="F16" s="3173" t="s">
        <v>1659</v>
      </c>
      <c r="G16" s="3174" t="str">
        <f>G4</f>
        <v>估价对象周边道路状况、公共交通通达情况、停车便捷程度，综合评价交通便捷度较好</v>
      </c>
    </row>
    <row r="17" spans="1:7" ht="14.25">
      <c r="A17" s="3169"/>
      <c r="B17" s="3170" t="s">
        <v>1660</v>
      </c>
      <c r="C17" s="3171" t="str">
        <f>C5</f>
        <v>一般</v>
      </c>
      <c r="D17" s="3135"/>
      <c r="E17" s="3172"/>
      <c r="F17" s="3173" t="s">
        <v>1665</v>
      </c>
      <c r="G17" s="3175"/>
    </row>
    <row r="18" spans="1:7" ht="27">
      <c r="A18" s="3169"/>
      <c r="B18" s="3173" t="s">
        <v>1646</v>
      </c>
      <c r="C18" s="3174" t="str">
        <f>C6</f>
        <v>一般</v>
      </c>
      <c r="D18" s="3135"/>
      <c r="E18" s="3172"/>
      <c r="F18" s="3173" t="s">
        <v>1661</v>
      </c>
      <c r="G18" s="3174" t="str">
        <f>G7</f>
        <v>该园区内是否有污染型企业，绿化情况，卫生条件，整体环境状况判断</v>
      </c>
    </row>
    <row r="19" spans="1:7" ht="27">
      <c r="A19" s="3169"/>
      <c r="B19" s="3173" t="s">
        <v>1650</v>
      </c>
      <c r="C19" s="3283" t="s">
        <v>3034</v>
      </c>
      <c r="D19" s="3127"/>
      <c r="E19" s="3172"/>
      <c r="F19" s="3131" t="s">
        <v>2527</v>
      </c>
      <c r="G19" s="3174" t="str">
        <f>G5</f>
        <v>估价对象所在区域公共配套设施齐备情况</v>
      </c>
    </row>
    <row r="20" spans="1:7">
      <c r="A20" s="3169"/>
      <c r="B20" s="3173" t="s">
        <v>1651</v>
      </c>
      <c r="C20" s="3171" t="str">
        <f>C9</f>
        <v>较好</v>
      </c>
      <c r="D20" s="3135"/>
      <c r="E20" s="3172"/>
      <c r="F20" s="3131" t="s">
        <v>2528</v>
      </c>
      <c r="G20" s="3174" t="str">
        <f>G6</f>
        <v>估价对象所在区域基础设施水平</v>
      </c>
    </row>
    <row r="21" spans="1:7" ht="14.25">
      <c r="A21" s="3169"/>
      <c r="B21" s="3131" t="s">
        <v>2527</v>
      </c>
      <c r="C21" s="3174" t="str">
        <f>C7</f>
        <v>较差</v>
      </c>
      <c r="D21" s="3127"/>
      <c r="E21" s="3172"/>
      <c r="F21" s="3173" t="s">
        <v>1652</v>
      </c>
      <c r="G21" s="3176"/>
    </row>
    <row r="22" spans="1:7" ht="14.25">
      <c r="A22" s="3169"/>
      <c r="B22" s="3131" t="s">
        <v>2528</v>
      </c>
      <c r="C22" s="3174" t="str">
        <f>C8</f>
        <v>七通</v>
      </c>
      <c r="D22" s="3127"/>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2"/>
  <sheetViews>
    <sheetView view="pageBreakPreview" zoomScale="90" zoomScaleNormal="80" zoomScaleSheetLayoutView="90" workbookViewId="0">
      <selection activeCell="B5" sqref="B5"/>
    </sheetView>
  </sheetViews>
  <sheetFormatPr defaultColWidth="14.625" defaultRowHeight="13.5"/>
  <cols>
    <col min="1" max="1" width="24.375" style="3185" customWidth="1"/>
    <col min="2" max="16384" width="14.625" style="3185"/>
  </cols>
  <sheetData>
    <row r="1" spans="1:10" ht="16.5">
      <c r="A1" s="3184" t="s">
        <v>2823</v>
      </c>
      <c r="B1" s="3184">
        <f>SUM(B14:B23)</f>
        <v>494091.91</v>
      </c>
      <c r="C1" s="3193"/>
      <c r="D1" s="3193"/>
      <c r="E1" s="3193"/>
      <c r="F1" s="3193"/>
      <c r="G1" s="3194"/>
      <c r="H1" s="3194"/>
      <c r="I1" s="3194"/>
      <c r="J1" s="3194"/>
    </row>
    <row r="2" spans="1:10" ht="16.5">
      <c r="A2" s="3184" t="s">
        <v>2824</v>
      </c>
      <c r="B2" s="3184">
        <f>SUM(C14:C23)</f>
        <v>248287.39</v>
      </c>
      <c r="C2" s="3193"/>
      <c r="D2" s="3193"/>
      <c r="E2" s="3193"/>
      <c r="F2" s="3193"/>
      <c r="G2" s="3194"/>
      <c r="H2" s="3194"/>
      <c r="I2" s="3194"/>
      <c r="J2" s="3194"/>
    </row>
    <row r="3" spans="1:10" ht="16.5">
      <c r="A3" s="3184" t="s">
        <v>2825</v>
      </c>
      <c r="B3" s="3186">
        <f>项目基本情况!D3</f>
        <v>44273</v>
      </c>
      <c r="C3" s="3193"/>
      <c r="D3" s="3193"/>
      <c r="E3" s="3193"/>
      <c r="F3" s="3193"/>
      <c r="G3" s="3194"/>
      <c r="H3" s="3194"/>
      <c r="I3" s="3194"/>
      <c r="J3" s="3194"/>
    </row>
    <row r="4" spans="1:10" ht="33">
      <c r="A4" s="3184" t="s">
        <v>2826</v>
      </c>
      <c r="B4" s="3184" t="s">
        <v>2827</v>
      </c>
      <c r="C4" s="3184" t="s">
        <v>2828</v>
      </c>
      <c r="D4" s="3184" t="s">
        <v>2829</v>
      </c>
      <c r="E4" s="3193"/>
      <c r="F4" s="3193"/>
      <c r="G4" s="3194"/>
      <c r="H4" s="3194"/>
      <c r="I4" s="3194"/>
      <c r="J4" s="3194"/>
    </row>
    <row r="5" spans="1:10" ht="16.5">
      <c r="A5" s="3184" t="s">
        <v>2830</v>
      </c>
      <c r="B5" s="3184">
        <f ca="1">SUM(D14:D23)</f>
        <v>68460</v>
      </c>
      <c r="C5" s="3184">
        <f ca="1">ROUND(B5*10000/$B$1,0)</f>
        <v>1386</v>
      </c>
      <c r="D5" s="3184">
        <f ca="1">ROUND(B5*10000/$B$2,0)</f>
        <v>2757</v>
      </c>
      <c r="E5" s="3193"/>
      <c r="F5" s="3193"/>
      <c r="G5" s="3194"/>
      <c r="H5" s="3194"/>
      <c r="I5" s="3194"/>
      <c r="J5" s="3194"/>
    </row>
    <row r="6" spans="1:10" ht="16.5">
      <c r="A6" s="3184" t="s">
        <v>2831</v>
      </c>
      <c r="B6" s="3184">
        <f ca="1">SUM(G14:G23)</f>
        <v>68460</v>
      </c>
      <c r="C6" s="3184">
        <f t="shared" ref="C6:C8" ca="1" si="0">ROUND(B6*10000/$B$1,0)</f>
        <v>1386</v>
      </c>
      <c r="D6" s="3184">
        <f t="shared" ref="D6:D8" ca="1" si="1">ROUND(B6*10000/$B$2,0)</f>
        <v>2757</v>
      </c>
      <c r="E6" s="3193"/>
      <c r="F6" s="3193"/>
      <c r="G6" s="3194"/>
      <c r="H6" s="3194"/>
      <c r="I6" s="3194"/>
      <c r="J6" s="3194"/>
    </row>
    <row r="7" spans="1:10" ht="16.5">
      <c r="A7" s="3184" t="s">
        <v>2832</v>
      </c>
      <c r="B7" s="3184">
        <f>SUM(H14:H23)</f>
        <v>0</v>
      </c>
      <c r="C7" s="3184">
        <f t="shared" si="0"/>
        <v>0</v>
      </c>
      <c r="D7" s="3184">
        <f t="shared" si="1"/>
        <v>0</v>
      </c>
      <c r="E7" s="3193"/>
      <c r="F7" s="3193"/>
      <c r="G7" s="3194"/>
      <c r="H7" s="3194"/>
      <c r="I7" s="3194"/>
      <c r="J7" s="3194"/>
    </row>
    <row r="8" spans="1:10" ht="16.5">
      <c r="A8" s="3184" t="s">
        <v>2833</v>
      </c>
      <c r="B8" s="3184">
        <f>SUM(I14:I23)</f>
        <v>0</v>
      </c>
      <c r="C8" s="3184">
        <f t="shared" si="0"/>
        <v>0</v>
      </c>
      <c r="D8" s="3184">
        <f t="shared" si="1"/>
        <v>0</v>
      </c>
      <c r="E8" s="3193"/>
      <c r="F8" s="3193"/>
      <c r="G8" s="3194"/>
      <c r="H8" s="3194"/>
      <c r="I8" s="3194"/>
      <c r="J8" s="3194"/>
    </row>
    <row r="9" spans="1:10" ht="16.5">
      <c r="A9" s="3184" t="s">
        <v>2834</v>
      </c>
      <c r="B9" s="3192"/>
      <c r="C9" s="3193"/>
      <c r="D9" s="3193"/>
      <c r="E9" s="3193"/>
      <c r="F9" s="3193"/>
      <c r="G9" s="3194"/>
      <c r="H9" s="3194"/>
      <c r="I9" s="3194"/>
      <c r="J9" s="3194"/>
    </row>
    <row r="10" spans="1:10" ht="16.5">
      <c r="A10" s="3184" t="s">
        <v>2835</v>
      </c>
      <c r="B10" s="3192"/>
      <c r="C10" s="3193"/>
      <c r="D10" s="3193"/>
      <c r="E10" s="3193"/>
      <c r="F10" s="3193"/>
      <c r="G10" s="3194"/>
      <c r="H10" s="3194"/>
      <c r="I10" s="3194"/>
      <c r="J10" s="3194"/>
    </row>
    <row r="11" spans="1:10" ht="16.5">
      <c r="A11" s="3184" t="s">
        <v>2852</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2851</v>
      </c>
      <c r="B13" s="3188" t="s">
        <v>2823</v>
      </c>
      <c r="C13" s="3188" t="s">
        <v>2824</v>
      </c>
      <c r="D13" s="3188" t="s">
        <v>2836</v>
      </c>
      <c r="E13" s="3184" t="s">
        <v>2850</v>
      </c>
      <c r="F13" s="3184" t="s">
        <v>2829</v>
      </c>
      <c r="G13" s="3188" t="s">
        <v>2837</v>
      </c>
      <c r="H13" s="3188" t="s">
        <v>2838</v>
      </c>
      <c r="I13" s="3188" t="s">
        <v>2839</v>
      </c>
      <c r="J13" s="3194"/>
    </row>
    <row r="14" spans="1:10" ht="16.5">
      <c r="A14" s="3189" t="s">
        <v>2849</v>
      </c>
      <c r="B14" s="3190">
        <f>结果表!L38</f>
        <v>494091.91</v>
      </c>
      <c r="C14" s="3190">
        <f>结果表!K38</f>
        <v>248287.39</v>
      </c>
      <c r="D14" s="3190">
        <f ca="1">结果表!C42</f>
        <v>68460</v>
      </c>
      <c r="E14" s="3190">
        <f ca="1">ROUND(D14*10000/B14,0)</f>
        <v>1386</v>
      </c>
      <c r="F14" s="3190">
        <f ca="1">ROUND(D14*10000/C14,0)</f>
        <v>2757</v>
      </c>
      <c r="G14" s="3190">
        <f ca="1">结果表!C44</f>
        <v>68460</v>
      </c>
      <c r="H14" s="3190" t="str">
        <f>结果表!C45</f>
        <v>——</v>
      </c>
      <c r="I14" s="3190" t="str">
        <f>结果表!C46</f>
        <v>——</v>
      </c>
      <c r="J14" s="3194"/>
    </row>
    <row r="15" spans="1:10" ht="16.5">
      <c r="A15" s="3189" t="s">
        <v>2840</v>
      </c>
      <c r="B15" s="3191"/>
      <c r="C15" s="3191"/>
      <c r="D15" s="3191"/>
      <c r="E15" s="3190" t="e">
        <f t="shared" ref="E15:E23" si="2">ROUND(D15*10000/B15,0)</f>
        <v>#DIV/0!</v>
      </c>
      <c r="F15" s="3190" t="e">
        <f t="shared" ref="F15:F23" si="3">ROUND(D15*10000/C15,0)</f>
        <v>#DIV/0!</v>
      </c>
      <c r="G15" s="2758"/>
      <c r="H15" s="2758"/>
      <c r="I15" s="3191"/>
      <c r="J15" s="3194"/>
    </row>
    <row r="16" spans="1:10" ht="16.5">
      <c r="A16" s="3189" t="s">
        <v>2841</v>
      </c>
      <c r="B16" s="3191"/>
      <c r="C16" s="3191"/>
      <c r="D16" s="3191"/>
      <c r="E16" s="3190" t="e">
        <f t="shared" si="2"/>
        <v>#DIV/0!</v>
      </c>
      <c r="F16" s="3190" t="e">
        <f t="shared" si="3"/>
        <v>#DIV/0!</v>
      </c>
      <c r="G16" s="2758"/>
      <c r="H16" s="2758"/>
      <c r="I16" s="3191"/>
      <c r="J16" s="3194"/>
    </row>
    <row r="17" spans="1:10" ht="16.5">
      <c r="A17" s="3189" t="s">
        <v>2842</v>
      </c>
      <c r="B17" s="3191"/>
      <c r="C17" s="3191"/>
      <c r="D17" s="3191"/>
      <c r="E17" s="3190" t="e">
        <f t="shared" si="2"/>
        <v>#DIV/0!</v>
      </c>
      <c r="F17" s="3190" t="e">
        <f t="shared" si="3"/>
        <v>#DIV/0!</v>
      </c>
      <c r="G17" s="2758"/>
      <c r="H17" s="2758"/>
      <c r="I17" s="3191"/>
      <c r="J17" s="3194"/>
    </row>
    <row r="18" spans="1:10" ht="16.5">
      <c r="A18" s="3189" t="s">
        <v>2843</v>
      </c>
      <c r="B18" s="3191"/>
      <c r="C18" s="3191"/>
      <c r="D18" s="3191"/>
      <c r="E18" s="3190" t="e">
        <f t="shared" si="2"/>
        <v>#DIV/0!</v>
      </c>
      <c r="F18" s="3190" t="e">
        <f t="shared" si="3"/>
        <v>#DIV/0!</v>
      </c>
      <c r="G18" s="3191"/>
      <c r="H18" s="3191"/>
      <c r="I18" s="3191"/>
      <c r="J18" s="3194"/>
    </row>
    <row r="19" spans="1:10" ht="16.5">
      <c r="A19" s="3189" t="s">
        <v>2844</v>
      </c>
      <c r="B19" s="3191"/>
      <c r="C19" s="3191"/>
      <c r="D19" s="3191"/>
      <c r="E19" s="3190" t="e">
        <f t="shared" si="2"/>
        <v>#DIV/0!</v>
      </c>
      <c r="F19" s="3190" t="e">
        <f t="shared" si="3"/>
        <v>#DIV/0!</v>
      </c>
      <c r="G19" s="3191"/>
      <c r="H19" s="3191"/>
      <c r="I19" s="3191"/>
      <c r="J19" s="3194"/>
    </row>
    <row r="20" spans="1:10" ht="16.5">
      <c r="A20" s="3189" t="s">
        <v>2845</v>
      </c>
      <c r="B20" s="3191"/>
      <c r="C20" s="3191"/>
      <c r="D20" s="3191"/>
      <c r="E20" s="3190" t="e">
        <f t="shared" si="2"/>
        <v>#DIV/0!</v>
      </c>
      <c r="F20" s="3190" t="e">
        <f t="shared" si="3"/>
        <v>#DIV/0!</v>
      </c>
      <c r="G20" s="3191"/>
      <c r="H20" s="3191"/>
      <c r="I20" s="3191"/>
      <c r="J20" s="3194"/>
    </row>
    <row r="21" spans="1:10" ht="16.5">
      <c r="A21" s="3189" t="s">
        <v>2846</v>
      </c>
      <c r="B21" s="3191"/>
      <c r="C21" s="3191"/>
      <c r="D21" s="3191"/>
      <c r="E21" s="3190" t="e">
        <f t="shared" si="2"/>
        <v>#DIV/0!</v>
      </c>
      <c r="F21" s="3190" t="e">
        <f t="shared" si="3"/>
        <v>#DIV/0!</v>
      </c>
      <c r="G21" s="3191"/>
      <c r="H21" s="3191"/>
      <c r="I21" s="3191"/>
      <c r="J21" s="3194"/>
    </row>
    <row r="22" spans="1:10" ht="16.5">
      <c r="A22" s="3189" t="s">
        <v>2847</v>
      </c>
      <c r="B22" s="3191"/>
      <c r="C22" s="3191"/>
      <c r="D22" s="3191"/>
      <c r="E22" s="3190" t="e">
        <f t="shared" si="2"/>
        <v>#DIV/0!</v>
      </c>
      <c r="F22" s="3190" t="e">
        <f t="shared" si="3"/>
        <v>#DIV/0!</v>
      </c>
      <c r="G22" s="3191"/>
      <c r="H22" s="3191"/>
      <c r="I22" s="3191"/>
      <c r="J22" s="3194"/>
    </row>
    <row r="23" spans="1:10" ht="16.5">
      <c r="A23" s="3189" t="s">
        <v>2848</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row r="30" spans="1:10">
      <c r="D30" s="3293" t="s">
        <v>3195</v>
      </c>
    </row>
    <row r="31" spans="1:10">
      <c r="C31" s="3293" t="s">
        <v>3197</v>
      </c>
      <c r="D31" s="3185">
        <v>95555</v>
      </c>
    </row>
    <row r="32" spans="1:10">
      <c r="C32" s="3293" t="s">
        <v>3196</v>
      </c>
      <c r="D32" s="3185">
        <f ca="1">B5-D31</f>
        <v>-27095</v>
      </c>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90" zoomScaleNormal="100" zoomScaleSheetLayoutView="90" zoomScalePageLayoutView="80" workbookViewId="0">
      <selection activeCell="A31" sqref="A31:I31"/>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29" t="str">
        <f>项目基本情况!K2</f>
        <v>山东省潍坊市青州市弥河流域二宗住宅用地出让国有建设用地使用权</v>
      </c>
      <c r="B2" s="3430"/>
      <c r="C2" s="3431"/>
      <c r="D2" s="3431"/>
      <c r="E2" s="3431"/>
      <c r="F2" s="3431"/>
      <c r="G2" s="3430"/>
      <c r="H2" s="3430"/>
      <c r="I2" s="3432"/>
      <c r="J2" s="1913"/>
      <c r="K2" s="1912"/>
      <c r="L2" s="1912"/>
      <c r="M2" s="1912"/>
      <c r="N2" s="1912"/>
      <c r="O2" s="1912"/>
      <c r="P2" s="1912"/>
      <c r="Q2" s="1912"/>
      <c r="R2" s="1912"/>
      <c r="S2" s="1912"/>
      <c r="T2" s="1912"/>
      <c r="U2" s="1912"/>
      <c r="V2" s="1912"/>
    </row>
    <row r="3" spans="1:22" ht="14.25">
      <c r="A3" s="3440" t="s">
        <v>298</v>
      </c>
      <c r="B3" s="3441"/>
      <c r="C3" s="3441"/>
      <c r="D3" s="3441"/>
      <c r="E3" s="3441"/>
      <c r="F3" s="3441"/>
      <c r="G3" s="3441"/>
      <c r="H3" s="3441"/>
      <c r="I3" s="3441"/>
      <c r="J3" s="1913"/>
      <c r="K3" s="1912"/>
      <c r="L3" s="1912"/>
      <c r="M3" s="1912"/>
      <c r="N3" s="1912"/>
      <c r="O3" s="1912"/>
      <c r="P3" s="1912"/>
      <c r="Q3" s="1912"/>
      <c r="R3" s="1912"/>
      <c r="S3" s="1912"/>
      <c r="T3" s="1912"/>
      <c r="U3" s="1912"/>
      <c r="V3" s="1912"/>
    </row>
    <row r="4" spans="1:22" ht="14.25">
      <c r="A4" s="256" t="s">
        <v>299</v>
      </c>
      <c r="B4" s="257" t="s">
        <v>300</v>
      </c>
      <c r="C4" s="258" t="s">
        <v>3035</v>
      </c>
      <c r="D4" s="258" t="s">
        <v>3036</v>
      </c>
      <c r="E4" s="3404" t="s">
        <v>301</v>
      </c>
      <c r="F4" s="3446"/>
      <c r="G4" s="3446"/>
      <c r="H4" s="3446"/>
      <c r="I4" s="3405"/>
      <c r="J4" s="1913"/>
      <c r="K4" s="1912"/>
      <c r="L4" s="3195"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33" t="s">
        <v>302</v>
      </c>
      <c r="B5" s="3434">
        <v>25</v>
      </c>
      <c r="C5" s="3442"/>
      <c r="D5" s="3445"/>
      <c r="E5" s="259" t="s">
        <v>303</v>
      </c>
      <c r="F5" s="260"/>
      <c r="G5" s="260"/>
      <c r="H5" s="260"/>
      <c r="I5" s="261"/>
      <c r="J5" s="1913"/>
      <c r="K5" s="1912"/>
      <c r="L5" s="1912"/>
      <c r="M5" s="1912"/>
      <c r="N5" s="1912"/>
      <c r="O5" s="1912"/>
      <c r="P5" s="1912"/>
      <c r="Q5" s="1912"/>
      <c r="R5" s="1912"/>
      <c r="S5" s="1912"/>
      <c r="T5" s="1912"/>
      <c r="U5" s="1912"/>
      <c r="V5" s="1912"/>
    </row>
    <row r="6" spans="1:22" ht="14.25">
      <c r="A6" s="3433"/>
      <c r="B6" s="3434"/>
      <c r="C6" s="3443"/>
      <c r="D6" s="3445"/>
      <c r="E6" s="259" t="s">
        <v>304</v>
      </c>
      <c r="F6" s="260"/>
      <c r="G6" s="260"/>
      <c r="H6" s="260"/>
      <c r="I6" s="261"/>
      <c r="J6" s="1913"/>
      <c r="K6" s="1912"/>
      <c r="L6" s="1912"/>
      <c r="M6" s="1912"/>
      <c r="N6" s="1912"/>
      <c r="O6" s="1912"/>
      <c r="P6" s="1912"/>
      <c r="Q6" s="1912"/>
      <c r="R6" s="1912"/>
      <c r="S6" s="1912"/>
      <c r="T6" s="1912"/>
      <c r="U6" s="1912"/>
      <c r="V6" s="1912"/>
    </row>
    <row r="7" spans="1:22" ht="14.25">
      <c r="A7" s="3433"/>
      <c r="B7" s="3434"/>
      <c r="C7" s="3444"/>
      <c r="D7" s="3445"/>
      <c r="E7" s="259" t="s">
        <v>305</v>
      </c>
      <c r="F7" s="260"/>
      <c r="G7" s="260"/>
      <c r="H7" s="260"/>
      <c r="I7" s="261"/>
      <c r="J7" s="1913"/>
      <c r="K7" s="1912"/>
      <c r="L7" s="1912"/>
      <c r="M7" s="1912"/>
      <c r="N7" s="1912"/>
      <c r="O7" s="1912"/>
      <c r="P7" s="1912"/>
      <c r="Q7" s="1912"/>
      <c r="R7" s="1912"/>
      <c r="S7" s="1912"/>
      <c r="T7" s="1912"/>
      <c r="U7" s="1912"/>
      <c r="V7" s="1912"/>
    </row>
    <row r="8" spans="1:22" ht="14.25">
      <c r="A8" s="3433" t="s">
        <v>306</v>
      </c>
      <c r="B8" s="3434">
        <v>15</v>
      </c>
      <c r="C8" s="3442"/>
      <c r="D8" s="3445"/>
      <c r="E8" s="259" t="s">
        <v>307</v>
      </c>
      <c r="F8" s="260"/>
      <c r="G8" s="260"/>
      <c r="H8" s="260"/>
      <c r="I8" s="261"/>
      <c r="J8" s="1913"/>
      <c r="K8" s="1912"/>
      <c r="L8" s="1912"/>
      <c r="M8" s="1912"/>
      <c r="N8" s="1912"/>
      <c r="O8" s="1912"/>
      <c r="P8" s="1912"/>
      <c r="Q8" s="1912"/>
      <c r="R8" s="1912"/>
      <c r="S8" s="1912"/>
      <c r="T8" s="1912"/>
      <c r="U8" s="1912"/>
      <c r="V8" s="1912"/>
    </row>
    <row r="9" spans="1:22" ht="14.25">
      <c r="A9" s="3433"/>
      <c r="B9" s="3434"/>
      <c r="C9" s="3444"/>
      <c r="D9" s="3445"/>
      <c r="E9" s="259" t="s">
        <v>308</v>
      </c>
      <c r="F9" s="260"/>
      <c r="G9" s="260"/>
      <c r="H9" s="260"/>
      <c r="I9" s="261"/>
      <c r="J9" s="1913"/>
      <c r="K9" s="1912"/>
      <c r="L9" s="1912"/>
      <c r="M9" s="1912"/>
      <c r="N9" s="1912"/>
      <c r="O9" s="1912"/>
      <c r="P9" s="1912"/>
      <c r="Q9" s="1912"/>
      <c r="R9" s="1912"/>
      <c r="S9" s="1912"/>
      <c r="T9" s="1912"/>
      <c r="U9" s="1912"/>
      <c r="V9" s="1912"/>
    </row>
    <row r="10" spans="1:22" ht="14.25">
      <c r="A10" s="3433" t="s">
        <v>309</v>
      </c>
      <c r="B10" s="3434">
        <v>15</v>
      </c>
      <c r="C10" s="3442"/>
      <c r="D10" s="3445"/>
      <c r="E10" s="259" t="s">
        <v>310</v>
      </c>
      <c r="F10" s="260"/>
      <c r="G10" s="260"/>
      <c r="H10" s="260"/>
      <c r="I10" s="261"/>
      <c r="J10" s="1913"/>
      <c r="K10" s="1912"/>
      <c r="L10" s="1912"/>
      <c r="M10" s="1912"/>
      <c r="N10" s="1912"/>
      <c r="O10" s="1912"/>
      <c r="P10" s="1912"/>
      <c r="Q10" s="1912"/>
      <c r="R10" s="1912"/>
      <c r="S10" s="1912"/>
      <c r="T10" s="1912"/>
      <c r="U10" s="1912"/>
      <c r="V10" s="1912"/>
    </row>
    <row r="11" spans="1:22" ht="14.25">
      <c r="A11" s="3433"/>
      <c r="B11" s="3434"/>
      <c r="C11" s="3444"/>
      <c r="D11" s="3445"/>
      <c r="E11" s="259" t="s">
        <v>311</v>
      </c>
      <c r="F11" s="260"/>
      <c r="G11" s="260"/>
      <c r="H11" s="260"/>
      <c r="I11" s="261"/>
      <c r="J11" s="1913"/>
      <c r="K11" s="1912"/>
      <c r="L11" s="1912"/>
      <c r="M11" s="1912"/>
      <c r="N11" s="1912"/>
      <c r="O11" s="1912"/>
      <c r="P11" s="1912"/>
      <c r="Q11" s="1912"/>
      <c r="R11" s="1912"/>
      <c r="S11" s="1912"/>
      <c r="T11" s="1912"/>
      <c r="U11" s="1912"/>
      <c r="V11" s="1912"/>
    </row>
    <row r="12" spans="1:22" ht="14.25">
      <c r="A12" s="3433" t="s">
        <v>312</v>
      </c>
      <c r="B12" s="3434">
        <v>15</v>
      </c>
      <c r="C12" s="3442"/>
      <c r="D12" s="3445"/>
      <c r="E12" s="259" t="s">
        <v>313</v>
      </c>
      <c r="F12" s="260"/>
      <c r="G12" s="260"/>
      <c r="H12" s="260"/>
      <c r="I12" s="261"/>
      <c r="J12" s="1913"/>
      <c r="K12" s="1912"/>
      <c r="L12" s="1912"/>
      <c r="M12" s="1912"/>
      <c r="N12" s="1912"/>
      <c r="O12" s="1912"/>
      <c r="P12" s="1912"/>
      <c r="Q12" s="1912"/>
      <c r="R12" s="1912"/>
      <c r="S12" s="1912"/>
      <c r="T12" s="1912"/>
      <c r="U12" s="1912"/>
      <c r="V12" s="1912"/>
    </row>
    <row r="13" spans="1:22" ht="14.25">
      <c r="A13" s="3433"/>
      <c r="B13" s="3434"/>
      <c r="C13" s="3444"/>
      <c r="D13" s="3445"/>
      <c r="E13" s="259" t="s">
        <v>314</v>
      </c>
      <c r="F13" s="260"/>
      <c r="G13" s="260"/>
      <c r="H13" s="260"/>
      <c r="I13" s="261"/>
      <c r="J13" s="1913"/>
      <c r="K13" s="1912"/>
      <c r="L13" s="1912"/>
      <c r="M13" s="1912"/>
      <c r="N13" s="1912"/>
      <c r="O13" s="1912"/>
      <c r="P13" s="1912"/>
      <c r="Q13" s="1912"/>
      <c r="R13" s="1912"/>
      <c r="S13" s="1912"/>
      <c r="T13" s="1912"/>
      <c r="U13" s="1912"/>
      <c r="V13" s="1912"/>
    </row>
    <row r="14" spans="1:22" ht="14.25">
      <c r="A14" s="3433" t="s">
        <v>315</v>
      </c>
      <c r="B14" s="3434">
        <v>30</v>
      </c>
      <c r="C14" s="3442">
        <v>6</v>
      </c>
      <c r="D14" s="3445">
        <v>4</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33"/>
      <c r="B15" s="3434"/>
      <c r="C15" s="3443"/>
      <c r="D15" s="3445"/>
      <c r="E15" s="259" t="s">
        <v>317</v>
      </c>
      <c r="F15" s="260"/>
      <c r="G15" s="260"/>
      <c r="H15" s="260"/>
      <c r="I15" s="261"/>
      <c r="J15" s="1913"/>
      <c r="K15" s="1912"/>
      <c r="L15" s="1912"/>
      <c r="M15" s="1912"/>
      <c r="N15" s="1912"/>
      <c r="O15" s="1912"/>
      <c r="P15" s="1912"/>
      <c r="Q15" s="1912"/>
      <c r="R15" s="1912"/>
      <c r="S15" s="1912"/>
      <c r="T15" s="1912"/>
      <c r="U15" s="1912"/>
      <c r="V15" s="1912"/>
    </row>
    <row r="16" spans="1:22" ht="14.25">
      <c r="A16" s="3433"/>
      <c r="B16" s="3434"/>
      <c r="C16" s="3444"/>
      <c r="D16" s="3445"/>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6</v>
      </c>
      <c r="D17" s="263">
        <f>SUM(D5:D16)</f>
        <v>4</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0.6</v>
      </c>
      <c r="D18" s="265">
        <f>1-C18</f>
        <v>0.4</v>
      </c>
      <c r="E18" s="3447" t="s">
        <v>2959</v>
      </c>
      <c r="F18" s="3448"/>
      <c r="G18" s="3448"/>
      <c r="H18" s="3448"/>
      <c r="I18" s="3448"/>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39478</v>
      </c>
      <c r="D19" s="269">
        <f ca="1">SUMIF(INDIRECT("'"&amp;D4&amp;"'"&amp;"!A:A"),结果表!B19,INDIRECT("'"&amp;D4&amp;"'"&amp;"!B:B"))</f>
        <v>111933</v>
      </c>
      <c r="E19" s="266" t="s">
        <v>323</v>
      </c>
      <c r="F19" s="267" t="s">
        <v>322</v>
      </c>
      <c r="G19" s="270">
        <f ca="1">ROUND(C19*$C$18+D19*$D$18,0)</f>
        <v>68460</v>
      </c>
      <c r="H19" s="271" t="s">
        <v>324</v>
      </c>
      <c r="I19" s="309"/>
      <c r="J19" s="1912"/>
      <c r="K19" s="3290" t="s">
        <v>3191</v>
      </c>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799</v>
      </c>
      <c r="D20" s="275">
        <f ca="1">SUMIF(INDIRECT("'"&amp;D4&amp;"'"&amp;"!A:A"),结果表!B20,INDIRECT("'"&amp;D4&amp;"'"&amp;"!B:B"))</f>
        <v>2265</v>
      </c>
      <c r="E20" s="272"/>
      <c r="F20" s="273" t="s">
        <v>325</v>
      </c>
      <c r="G20" s="276">
        <f ca="1">ROUND(C20*$C$18+D20*$D$18,0)</f>
        <v>1385</v>
      </c>
      <c r="H20" s="277" t="s">
        <v>326</v>
      </c>
      <c r="I20" s="309"/>
      <c r="J20" s="1912"/>
      <c r="K20" s="3290">
        <v>68271</v>
      </c>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1590</v>
      </c>
      <c r="D21" s="149">
        <f ca="1">SUMIF(INDIRECT("'"&amp;D4&amp;"'"&amp;"!A:A"),结果表!B21,INDIRECT("'"&amp;D4&amp;"'"&amp;"!B:B"))</f>
        <v>4508</v>
      </c>
      <c r="E21" s="272"/>
      <c r="F21" s="278" t="s">
        <v>327</v>
      </c>
      <c r="G21" s="280">
        <f ca="1">ROUND(C21*$C$18+D21*$D$18,0)</f>
        <v>2757</v>
      </c>
      <c r="H21" s="1205" t="s">
        <v>326</v>
      </c>
      <c r="I21" s="309"/>
      <c r="J21" s="1912"/>
      <c r="K21" s="1965">
        <f ca="1">G19-K20</f>
        <v>189</v>
      </c>
      <c r="L21" s="1912"/>
      <c r="M21" s="1912"/>
      <c r="N21" s="1912"/>
      <c r="O21" s="1912"/>
      <c r="P21" s="1912"/>
      <c r="Q21" s="1912"/>
      <c r="R21" s="1912"/>
      <c r="S21" s="1912"/>
      <c r="T21" s="1912"/>
      <c r="U21" s="1912"/>
      <c r="V21" s="1912"/>
    </row>
    <row r="22" spans="1:26" ht="15.75" thickBot="1">
      <c r="A22" s="126" t="s">
        <v>328</v>
      </c>
      <c r="B22" s="1206"/>
      <c r="C22" s="1207"/>
      <c r="D22" s="281">
        <f ca="1">IF(C19&lt;D19,D19/C19-1,C19/D19-1)</f>
        <v>1.8353260043568569</v>
      </c>
      <c r="E22" s="282"/>
      <c r="F22" s="283"/>
      <c r="G22" s="284">
        <f ca="1">ROUND(G19/('数据-汇总表'!D3/666.67),0)</f>
        <v>184</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06"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53"/>
      <c r="B25" s="1275" t="s">
        <v>331</v>
      </c>
      <c r="C25" s="288">
        <f>IF(B30=0,0,C30)</f>
        <v>0</v>
      </c>
      <c r="D25" s="289"/>
      <c r="E25" s="309"/>
      <c r="F25" s="309"/>
      <c r="G25" s="309"/>
      <c r="H25" s="309"/>
      <c r="I25" s="309"/>
      <c r="J25" s="1912"/>
      <c r="K25" s="1209" t="str">
        <f ca="1">项目基本情况!B16&amp;"国有建设用地使用权价格："&amp;O38&amp;"万元"</f>
        <v>出让国有建设用地使用权价格：68460万元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大写金额：人民币陆亿捌仟肆佰陆拾万元整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单位面积地价：2757元/平方米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楼面地价：1386元/平方米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抵押价格：68460万元</v>
      </c>
      <c r="L29" s="1206"/>
      <c r="M29" s="1206"/>
      <c r="N29" s="1206"/>
      <c r="O29" s="1205"/>
      <c r="P29" s="1912"/>
      <c r="V29" s="1912"/>
    </row>
    <row r="30" spans="1:26" ht="18.75" thickBot="1">
      <c r="A30" s="2801" t="s">
        <v>336</v>
      </c>
      <c r="B30" s="307"/>
      <c r="C30" s="307"/>
      <c r="D30" s="308"/>
      <c r="E30" s="3004" t="s">
        <v>2960</v>
      </c>
      <c r="F30" s="309"/>
      <c r="G30" s="309"/>
      <c r="H30" s="309"/>
      <c r="I30" s="309"/>
      <c r="J30" s="1912"/>
      <c r="K30" s="1212" t="str">
        <f ca="1">IF(K29="——","——","大写金额：人民币"&amp;NUMBERSTRING(INT(O39*10000),2)&amp;"元整")</f>
        <v>大写金额：人民币陆亿捌仟肆佰陆拾万元整</v>
      </c>
      <c r="L30" s="1206"/>
      <c r="M30" s="1206"/>
      <c r="N30" s="1206"/>
      <c r="O30" s="1205"/>
      <c r="P30" s="1912"/>
      <c r="V30" s="1912"/>
    </row>
    <row r="31" spans="1:26" ht="24" customHeight="1" thickBot="1">
      <c r="A31" s="3449" t="s">
        <v>2961</v>
      </c>
      <c r="B31" s="3449"/>
      <c r="C31" s="3449"/>
      <c r="D31" s="3449"/>
      <c r="E31" s="3449"/>
      <c r="F31" s="3449"/>
      <c r="G31" s="3449"/>
      <c r="H31" s="3449"/>
      <c r="I31" s="3449"/>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68460</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1386</v>
      </c>
      <c r="D33" s="1334" t="s">
        <v>1682</v>
      </c>
      <c r="E33" s="3406"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2757</v>
      </c>
      <c r="D34" s="1336" t="s">
        <v>1682</v>
      </c>
      <c r="E34" s="3407"/>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184</v>
      </c>
      <c r="D35" s="1339" t="s">
        <v>1684</v>
      </c>
      <c r="E35" s="3408"/>
      <c r="F35" s="299" t="s">
        <v>342</v>
      </c>
      <c r="G35" s="970"/>
      <c r="H35" s="969" t="s">
        <v>343</v>
      </c>
      <c r="I35" s="309"/>
      <c r="J35" s="1912"/>
      <c r="K35" s="3412" t="s">
        <v>350</v>
      </c>
      <c r="L35" s="3412" t="s">
        <v>351</v>
      </c>
      <c r="M35" s="1218" t="s">
        <v>352</v>
      </c>
      <c r="N35" s="3412" t="s">
        <v>353</v>
      </c>
      <c r="O35" s="3412" t="s">
        <v>354</v>
      </c>
      <c r="P35" s="1912"/>
      <c r="V35" s="1912"/>
    </row>
    <row r="36" spans="1:26" ht="16.5" customHeight="1">
      <c r="A36" s="301" t="s">
        <v>344</v>
      </c>
      <c r="B36" s="302" t="s">
        <v>333</v>
      </c>
      <c r="C36" s="303" t="s">
        <v>345</v>
      </c>
      <c r="D36" s="303" t="s">
        <v>346</v>
      </c>
      <c r="E36" s="304" t="s">
        <v>347</v>
      </c>
      <c r="F36" s="309"/>
      <c r="G36" s="309"/>
      <c r="H36" s="309"/>
      <c r="I36" s="309"/>
      <c r="J36" s="1914"/>
      <c r="K36" s="3413"/>
      <c r="L36" s="3413"/>
      <c r="M36" s="1220" t="s">
        <v>355</v>
      </c>
      <c r="N36" s="3413"/>
      <c r="O36" s="3413"/>
      <c r="P36" s="1912"/>
      <c r="V36" s="1912"/>
    </row>
    <row r="37" spans="1:26" ht="16.5" customHeight="1" thickBot="1">
      <c r="A37" s="1214" t="s">
        <v>348</v>
      </c>
      <c r="B37" s="305"/>
      <c r="C37" s="292"/>
      <c r="D37" s="292"/>
      <c r="E37" s="293"/>
      <c r="F37" s="309"/>
      <c r="G37" s="309"/>
      <c r="H37" s="309"/>
      <c r="I37" s="309"/>
      <c r="J37" s="1914"/>
      <c r="K37" s="3414"/>
      <c r="L37" s="3414"/>
      <c r="M37" s="1221"/>
      <c r="N37" s="3414"/>
      <c r="O37" s="3414"/>
      <c r="P37" s="1912"/>
      <c r="V37" s="1912"/>
    </row>
    <row r="38" spans="1:26" ht="16.5" customHeight="1" thickBot="1">
      <c r="A38" s="1214" t="s">
        <v>349</v>
      </c>
      <c r="B38" s="305"/>
      <c r="C38" s="292"/>
      <c r="D38" s="292"/>
      <c r="E38" s="293"/>
      <c r="F38" s="309"/>
      <c r="G38" s="309"/>
      <c r="H38" s="309"/>
      <c r="I38" s="309"/>
      <c r="J38" s="1914"/>
      <c r="K38" s="1222">
        <f>'数据-汇总表'!D3</f>
        <v>248287.39</v>
      </c>
      <c r="L38" s="1223">
        <f>'数据-汇总表'!E3</f>
        <v>494091.91</v>
      </c>
      <c r="M38" s="1223">
        <f ca="1">C34</f>
        <v>2757</v>
      </c>
      <c r="N38" s="1223">
        <f ca="1">C33</f>
        <v>1386</v>
      </c>
      <c r="O38" s="1224">
        <f ca="1">C32</f>
        <v>68460</v>
      </c>
      <c r="P38" s="1912"/>
      <c r="V38" s="1912"/>
    </row>
    <row r="39" spans="1:26" ht="16.5" customHeight="1" thickBot="1">
      <c r="A39" s="1219"/>
      <c r="B39" s="306"/>
      <c r="C39" s="307"/>
      <c r="D39" s="307"/>
      <c r="E39" s="308"/>
      <c r="F39" s="309"/>
      <c r="G39" s="309"/>
      <c r="H39" s="309"/>
      <c r="I39" s="309"/>
      <c r="J39" s="1914"/>
      <c r="K39" s="3425" t="str">
        <f>MID(A44,3,LEN(A44)-2)</f>
        <v>抵押价格</v>
      </c>
      <c r="L39" s="3426"/>
      <c r="M39" s="3426"/>
      <c r="N39" s="3427"/>
      <c r="O39" s="1341">
        <f ca="1">C44</f>
        <v>68460</v>
      </c>
      <c r="P39" s="1912"/>
      <c r="V39" s="1912"/>
    </row>
    <row r="40" spans="1:26" ht="19.5" thickBot="1">
      <c r="A40" s="104" t="s">
        <v>864</v>
      </c>
      <c r="B40" s="309"/>
      <c r="C40" s="309"/>
      <c r="D40" s="309"/>
      <c r="E40" s="309"/>
      <c r="F40" s="309"/>
      <c r="G40" s="309"/>
      <c r="H40" s="309"/>
      <c r="I40" s="309"/>
      <c r="J40" s="1914"/>
      <c r="K40" s="3425" t="str">
        <f t="shared" ref="K40:K41" si="0">MID(A45,3,LEN(A45)-2)</f>
        <v/>
      </c>
      <c r="L40" s="3426"/>
      <c r="M40" s="3426"/>
      <c r="N40" s="3427"/>
      <c r="O40" s="1341" t="str">
        <f>C45</f>
        <v>——</v>
      </c>
      <c r="P40" s="1912"/>
      <c r="V40" s="1912"/>
    </row>
    <row r="41" spans="1:26" ht="16.5" thickBot="1">
      <c r="A41" s="310" t="s">
        <v>356</v>
      </c>
      <c r="B41" s="311"/>
      <c r="C41" s="312" t="s">
        <v>357</v>
      </c>
      <c r="D41" s="313" t="s">
        <v>358</v>
      </c>
      <c r="E41" s="313" t="s">
        <v>359</v>
      </c>
      <c r="F41" s="314" t="s">
        <v>360</v>
      </c>
      <c r="G41" s="309"/>
      <c r="H41" s="309"/>
      <c r="I41" s="309"/>
      <c r="J41" s="1914"/>
      <c r="K41" s="3425" t="str">
        <f t="shared" si="0"/>
        <v/>
      </c>
      <c r="L41" s="3426"/>
      <c r="M41" s="3426"/>
      <c r="N41" s="3427"/>
      <c r="O41" s="1341" t="str">
        <f>C46</f>
        <v>——</v>
      </c>
      <c r="P41" s="1912"/>
      <c r="V41" s="1912"/>
    </row>
    <row r="42" spans="1:26" ht="29.25">
      <c r="A42" s="3454" t="s">
        <v>2056</v>
      </c>
      <c r="B42" s="3455"/>
      <c r="C42" s="262">
        <f ca="1">C32</f>
        <v>68460</v>
      </c>
      <c r="D42" s="315">
        <f ca="1">C33</f>
        <v>1386</v>
      </c>
      <c r="E42" s="315">
        <f ca="1">C34</f>
        <v>2757</v>
      </c>
      <c r="F42" s="316">
        <f ca="1">C35</f>
        <v>184</v>
      </c>
      <c r="G42" s="309"/>
      <c r="H42" s="309"/>
      <c r="I42" s="317"/>
      <c r="J42" s="1914"/>
      <c r="K42" s="1225" t="s">
        <v>361</v>
      </c>
      <c r="L42" s="1931" t="s">
        <v>362</v>
      </c>
      <c r="M42" s="1226" t="s">
        <v>363</v>
      </c>
      <c r="N42" s="1932" t="s">
        <v>364</v>
      </c>
      <c r="O42" s="1933" t="s">
        <v>365</v>
      </c>
      <c r="P42" s="1912"/>
      <c r="V42" s="1912"/>
    </row>
    <row r="43" spans="1:26" ht="30">
      <c r="A43" s="3464" t="s">
        <v>2710</v>
      </c>
      <c r="B43" s="3465"/>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39478</v>
      </c>
      <c r="M43" s="1229">
        <f>C18</f>
        <v>0.6</v>
      </c>
      <c r="N43" s="1230">
        <f ca="1">IF(N42="测算结果/万元",G19,G20)</f>
        <v>68460</v>
      </c>
      <c r="O43" s="1231">
        <f ca="1">IF(O42="最终结果/万元",C32,C33)</f>
        <v>68460</v>
      </c>
      <c r="P43" s="1912"/>
      <c r="V43" s="1912"/>
    </row>
    <row r="44" spans="1:26" ht="30.75" thickBot="1">
      <c r="A44" s="3454" t="str">
        <f>IF(OR(项目基本情况!E8="抵押价格",项目基本情况!E8="已注销及未注销"),"3.抵押价格","——")</f>
        <v>3.抵押价格</v>
      </c>
      <c r="B44" s="3455"/>
      <c r="C44" s="262">
        <f ca="1">IF(A44="——","——",C42-C43)</f>
        <v>68460</v>
      </c>
      <c r="D44" s="315">
        <f ca="1">ROUND(C44*10000/'数据-汇总表'!E3,0)</f>
        <v>1386</v>
      </c>
      <c r="E44" s="315">
        <f ca="1">ROUND(C44*10000/'数据-汇总表'!D3,0)</f>
        <v>2757</v>
      </c>
      <c r="F44" s="316">
        <f ca="1">ROUND(C44/('数据-汇总表'!D3/666.67),0)</f>
        <v>184</v>
      </c>
      <c r="G44" s="309"/>
      <c r="H44" s="309"/>
      <c r="I44" s="317"/>
      <c r="J44" s="1914"/>
      <c r="K44" s="1232" t="str">
        <f>D4</f>
        <v>剩余法-待开发</v>
      </c>
      <c r="L44" s="1233">
        <f ca="1">IF(L42="估价结果/万元",D19,D20)</f>
        <v>111933</v>
      </c>
      <c r="M44" s="1234">
        <f>D18</f>
        <v>0.4</v>
      </c>
      <c r="N44" s="1235"/>
      <c r="O44" s="1236"/>
      <c r="P44" s="1912"/>
      <c r="V44" s="1912"/>
    </row>
    <row r="45" spans="1:26" ht="15">
      <c r="A45" s="3459" t="str">
        <f>IF(项目基本情况!E8="已注销及未注销","4.抵押担保权已注销时的抵押价格",IF(项目基本情况!E8="已注销","3.抵押担保权已注销时的抵押价格","——"))</f>
        <v>——</v>
      </c>
      <c r="B45" s="3460"/>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56" t="str">
        <f>IF(项目基本情况!E9="抵押净值",IF(A45="——","4.抵押净值","5.抵押净值"),"——")</f>
        <v>——</v>
      </c>
      <c r="B46" s="3457"/>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17" t="s">
        <v>374</v>
      </c>
      <c r="B63" s="3418"/>
      <c r="C63" s="3419"/>
      <c r="D63" s="339">
        <f ca="1">ROUND(C42*F63,0)</f>
        <v>68460</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61" t="s">
        <v>378</v>
      </c>
      <c r="B64" s="3462"/>
      <c r="C64" s="3462"/>
      <c r="D64" s="3462"/>
      <c r="E64" s="3462"/>
      <c r="F64" s="3462"/>
      <c r="G64" s="3463"/>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58" t="s">
        <v>386</v>
      </c>
      <c r="B66" s="3424"/>
      <c r="C66" s="3424"/>
      <c r="D66" s="259" t="b">
        <f>IF(H66="情况1",0,IF(H66="情况2",D70,IF(H66="情况3",D71,IF(H66="情况4",D72))))</f>
        <v>0</v>
      </c>
      <c r="E66" s="981" t="str">
        <f>IF(H66="情况4","(销售额-原购置价)×税（费）率","销售额×税（费）率")</f>
        <v>销售额×税（费）率</v>
      </c>
      <c r="F66" s="348">
        <f>IF(H66="情况1","免征",'数据-取费表'!B41)</f>
        <v>5.6500000000000002E-2</v>
      </c>
      <c r="G66" s="349" t="s">
        <v>387</v>
      </c>
      <c r="H66" s="189"/>
      <c r="I66" s="1242"/>
      <c r="J66" s="1918"/>
      <c r="K66" s="1245">
        <v>1</v>
      </c>
      <c r="L66" s="3385" t="s">
        <v>385</v>
      </c>
      <c r="M66" s="3386"/>
      <c r="N66" s="2313"/>
      <c r="O66" s="2314"/>
      <c r="P66" s="2315"/>
      <c r="Q66" s="1912"/>
      <c r="R66" s="1912"/>
      <c r="S66" s="1912"/>
      <c r="T66" s="1912"/>
      <c r="U66" s="1912"/>
      <c r="V66" s="1912"/>
    </row>
    <row r="67" spans="1:22" ht="25.5" customHeight="1">
      <c r="A67" s="350" t="s">
        <v>389</v>
      </c>
      <c r="B67" s="3436" t="s">
        <v>390</v>
      </c>
      <c r="C67" s="3436"/>
      <c r="D67" s="351">
        <v>0</v>
      </c>
      <c r="E67" s="41" t="s">
        <v>391</v>
      </c>
      <c r="F67" s="62" t="s">
        <v>21</v>
      </c>
      <c r="G67" s="3420"/>
      <c r="H67" s="3007" t="s">
        <v>2962</v>
      </c>
      <c r="I67" s="3009"/>
      <c r="J67" s="1919"/>
      <c r="K67" s="1891">
        <v>2</v>
      </c>
      <c r="L67" s="3390" t="s">
        <v>388</v>
      </c>
      <c r="M67" s="3390"/>
      <c r="N67" s="1279">
        <f>'数据-取费表'!B2</f>
        <v>44273</v>
      </c>
      <c r="O67" s="1279"/>
      <c r="P67" s="1279"/>
      <c r="Q67" s="1912"/>
      <c r="R67" s="1912"/>
      <c r="S67" s="1912"/>
      <c r="T67" s="1912"/>
      <c r="U67" s="1912"/>
      <c r="V67" s="1912"/>
    </row>
    <row r="68" spans="1:22" ht="25.5" customHeight="1">
      <c r="A68" s="352"/>
      <c r="B68" s="3436" t="s">
        <v>393</v>
      </c>
      <c r="C68" s="3436"/>
      <c r="D68" s="353"/>
      <c r="E68" s="77"/>
      <c r="F68" s="354"/>
      <c r="G68" s="3421"/>
      <c r="H68" s="3008" t="s">
        <v>2963</v>
      </c>
      <c r="I68" s="3009"/>
      <c r="J68" s="1919"/>
      <c r="K68" s="1891">
        <v>3</v>
      </c>
      <c r="L68" s="3390" t="s">
        <v>392</v>
      </c>
      <c r="M68" s="3390"/>
      <c r="N68" s="1247">
        <f ca="1">C42</f>
        <v>68460</v>
      </c>
      <c r="O68" s="1247"/>
      <c r="P68" s="1247"/>
      <c r="Q68" s="1912"/>
      <c r="R68" s="1912"/>
      <c r="S68" s="1912"/>
      <c r="T68" s="1912"/>
      <c r="U68" s="1912"/>
      <c r="V68" s="1912"/>
    </row>
    <row r="69" spans="1:22" ht="23.45" customHeight="1">
      <c r="A69" s="355"/>
      <c r="B69" s="3436" t="s">
        <v>394</v>
      </c>
      <c r="C69" s="3436"/>
      <c r="D69" s="356"/>
      <c r="E69" s="73"/>
      <c r="F69" s="354"/>
      <c r="G69" s="3422"/>
      <c r="H69" s="3008" t="s">
        <v>2964</v>
      </c>
      <c r="I69" s="3009"/>
      <c r="J69" s="1919"/>
      <c r="K69" s="1248">
        <v>4</v>
      </c>
      <c r="L69" s="3391" t="s">
        <v>2862</v>
      </c>
      <c r="M69" s="3392"/>
      <c r="N69" s="1249">
        <f ca="1">C44</f>
        <v>68460</v>
      </c>
      <c r="O69" s="1249"/>
      <c r="P69" s="1249"/>
      <c r="Q69" s="1912"/>
      <c r="R69" s="1912"/>
      <c r="S69" s="1912"/>
      <c r="T69" s="1912"/>
      <c r="U69" s="1912"/>
      <c r="V69" s="1912"/>
    </row>
    <row r="70" spans="1:22" ht="24" customHeight="1">
      <c r="A70" s="357" t="s">
        <v>395</v>
      </c>
      <c r="B70" s="3436" t="s">
        <v>396</v>
      </c>
      <c r="C70" s="3436"/>
      <c r="D70" s="356">
        <f ca="1">ROUND(D63*'数据-取费表'!B41/(1+'数据-取费表'!C42),0)</f>
        <v>3684</v>
      </c>
      <c r="E70" s="17" t="s">
        <v>397</v>
      </c>
      <c r="F70" s="358">
        <f>'数据-取费表'!B41</f>
        <v>5.6500000000000002E-2</v>
      </c>
      <c r="G70" s="359"/>
      <c r="H70" s="309"/>
      <c r="I70" s="1246"/>
      <c r="J70" s="1919"/>
      <c r="K70" s="2766"/>
      <c r="L70" s="2767"/>
      <c r="M70" s="2767"/>
      <c r="N70" s="2768" t="s">
        <v>2866</v>
      </c>
      <c r="O70" s="2767"/>
      <c r="P70" s="2769"/>
      <c r="Q70" s="1912"/>
      <c r="R70" s="1912"/>
      <c r="S70" s="1912"/>
      <c r="T70" s="1912"/>
      <c r="U70" s="1912"/>
      <c r="V70" s="1912"/>
    </row>
    <row r="71" spans="1:22" ht="12" customHeight="1">
      <c r="A71" s="357" t="s">
        <v>403</v>
      </c>
      <c r="B71" s="3435" t="s">
        <v>2993</v>
      </c>
      <c r="C71" s="3452"/>
      <c r="D71" s="356">
        <f ca="1">ROUND(D63*'数据-取费表'!B41/(1+'数据-取费表'!C42),0)</f>
        <v>3684</v>
      </c>
      <c r="E71" s="17" t="s">
        <v>397</v>
      </c>
      <c r="F71" s="358">
        <f>'数据-取费表'!B41</f>
        <v>5.6500000000000002E-2</v>
      </c>
      <c r="G71" s="359"/>
      <c r="H71" s="309"/>
      <c r="I71" s="1246"/>
      <c r="J71" s="1919"/>
      <c r="K71" s="2765" t="s">
        <v>398</v>
      </c>
      <c r="L71" s="3393" t="s">
        <v>399</v>
      </c>
      <c r="M71" s="3393"/>
      <c r="N71" s="2765" t="s">
        <v>400</v>
      </c>
      <c r="O71" s="2765" t="s">
        <v>401</v>
      </c>
      <c r="P71" s="2765" t="s">
        <v>402</v>
      </c>
      <c r="Q71" s="1912"/>
      <c r="R71" s="1912"/>
      <c r="S71" s="1912"/>
      <c r="T71" s="1912"/>
      <c r="U71" s="1912"/>
      <c r="V71" s="1912"/>
    </row>
    <row r="72" spans="1:22" ht="12" customHeight="1">
      <c r="A72" s="357" t="s">
        <v>405</v>
      </c>
      <c r="B72" s="3435" t="s">
        <v>2994</v>
      </c>
      <c r="C72" s="3452"/>
      <c r="D72" s="356">
        <f ca="1">C86</f>
        <v>3684</v>
      </c>
      <c r="E72" s="73" t="s">
        <v>406</v>
      </c>
      <c r="F72" s="358">
        <f>'数据-取费表'!B41</f>
        <v>5.6500000000000002E-2</v>
      </c>
      <c r="G72" s="359"/>
      <c r="H72" s="1252"/>
      <c r="I72" s="1246"/>
      <c r="J72" s="1919"/>
      <c r="K72" s="1891">
        <v>1</v>
      </c>
      <c r="L72" s="3389" t="s">
        <v>404</v>
      </c>
      <c r="M72" s="3389"/>
      <c r="N72" s="1250" t="b">
        <f>D66</f>
        <v>0</v>
      </c>
      <c r="O72" s="1774" t="str">
        <f>E66</f>
        <v>销售额×税（费）率</v>
      </c>
      <c r="P72" s="1251">
        <f>F66</f>
        <v>5.6500000000000002E-2</v>
      </c>
      <c r="Q72" s="1912"/>
      <c r="R72" s="1912"/>
      <c r="S72" s="1912"/>
      <c r="T72" s="1912"/>
      <c r="U72" s="1912"/>
      <c r="V72" s="1912"/>
    </row>
    <row r="73" spans="1:22" ht="24" customHeight="1">
      <c r="A73" s="3423" t="s">
        <v>408</v>
      </c>
      <c r="B73" s="3424"/>
      <c r="C73" s="3424"/>
      <c r="D73" s="360">
        <f ca="1">IF(H73="个人住宅",0,ROUND(D63*I73,0))</f>
        <v>34</v>
      </c>
      <c r="E73" s="17" t="s">
        <v>409</v>
      </c>
      <c r="F73" s="358" t="str">
        <f>IF(H73="正常",I73,"免征")</f>
        <v>免征</v>
      </c>
      <c r="G73" s="359"/>
      <c r="H73" s="189"/>
      <c r="I73" s="358">
        <f>'数据-取费表'!B49</f>
        <v>5.0000000000000001E-4</v>
      </c>
      <c r="J73" s="1919"/>
      <c r="K73" s="1891">
        <v>2</v>
      </c>
      <c r="L73" s="3389" t="s">
        <v>407</v>
      </c>
      <c r="M73" s="3389"/>
      <c r="N73" s="1250">
        <f t="shared" ref="N73:P74" ca="1" si="1">D73</f>
        <v>34</v>
      </c>
      <c r="O73" s="1774" t="str">
        <f t="shared" si="1"/>
        <v>销售额×税（费）率</v>
      </c>
      <c r="P73" s="1251" t="str">
        <f t="shared" si="1"/>
        <v>免征</v>
      </c>
      <c r="Q73" s="1912"/>
      <c r="R73" s="1912"/>
      <c r="S73" s="1912"/>
      <c r="T73" s="1912"/>
      <c r="U73" s="1912"/>
      <c r="V73" s="1912"/>
    </row>
    <row r="74" spans="1:22" ht="24.75">
      <c r="A74" s="3423" t="s">
        <v>411</v>
      </c>
      <c r="B74" s="3424"/>
      <c r="C74" s="3424"/>
      <c r="D74" s="360">
        <f ca="1">IF(H74="个人住宅",D75,D76)</f>
        <v>38717</v>
      </c>
      <c r="E74" s="17" t="s">
        <v>412</v>
      </c>
      <c r="F74" s="358" t="str">
        <f>IF(H74="正常",F76,"免征")</f>
        <v>免征</v>
      </c>
      <c r="G74" s="971" t="s">
        <v>413</v>
      </c>
      <c r="H74" s="361"/>
      <c r="I74" s="42"/>
      <c r="J74" s="1919"/>
      <c r="K74" s="1891">
        <v>3</v>
      </c>
      <c r="L74" s="3389" t="s">
        <v>410</v>
      </c>
      <c r="M74" s="3389"/>
      <c r="N74" s="1250">
        <f t="shared" ca="1" si="1"/>
        <v>38717</v>
      </c>
      <c r="O74" s="1774" t="str">
        <f t="shared" si="1"/>
        <v>增值额×税（费）率</v>
      </c>
      <c r="P74" s="1253" t="str">
        <f t="shared" si="1"/>
        <v>免征</v>
      </c>
      <c r="Q74" s="1912"/>
      <c r="R74" s="1912"/>
      <c r="S74" s="1912"/>
      <c r="T74" s="1912"/>
      <c r="U74" s="1912"/>
      <c r="V74" s="1912"/>
    </row>
    <row r="75" spans="1:22" ht="12.75">
      <c r="A75" s="357" t="s">
        <v>414</v>
      </c>
      <c r="B75" s="3404" t="s">
        <v>415</v>
      </c>
      <c r="C75" s="3405"/>
      <c r="D75" s="362">
        <v>0</v>
      </c>
      <c r="E75" s="41" t="s">
        <v>416</v>
      </c>
      <c r="F75" s="363"/>
      <c r="G75" s="359"/>
      <c r="H75" s="42"/>
      <c r="I75" s="42"/>
      <c r="J75" s="1919"/>
      <c r="K75" s="2759">
        <f>IF(H77="非个人房产","",4)</f>
        <v>4</v>
      </c>
      <c r="L75" s="3389" t="str">
        <f>IF(H77="非个人房产","——","个人所得税")</f>
        <v>个人所得税</v>
      </c>
      <c r="M75" s="3389"/>
      <c r="N75" s="1254">
        <f>D77</f>
        <v>0</v>
      </c>
      <c r="O75" s="1787" t="str">
        <f>E77</f>
        <v>差额计税</v>
      </c>
      <c r="P75" s="1255">
        <f>F77</f>
        <v>0.01</v>
      </c>
      <c r="Q75" s="1912"/>
      <c r="R75" s="1912"/>
      <c r="S75" s="1912"/>
      <c r="T75" s="1912"/>
      <c r="U75" s="1912"/>
      <c r="V75" s="1912"/>
    </row>
    <row r="76" spans="1:22" ht="24.75">
      <c r="A76" s="357" t="s">
        <v>395</v>
      </c>
      <c r="B76" s="3404" t="s">
        <v>418</v>
      </c>
      <c r="C76" s="3446"/>
      <c r="D76" s="360">
        <f ca="1">IF(H76="转让取得",C99,C115)</f>
        <v>38717</v>
      </c>
      <c r="E76" s="17" t="s">
        <v>419</v>
      </c>
      <c r="F76" s="53" t="s">
        <v>21</v>
      </c>
      <c r="G76" s="359"/>
      <c r="H76" s="361"/>
      <c r="I76" s="42"/>
      <c r="J76" s="1919"/>
      <c r="K76" s="2759" t="str">
        <f>IF(项目基本情况!K6="上海银行",IF(K75="",4,K75+1),"")</f>
        <v/>
      </c>
      <c r="L76" s="3400" t="str">
        <f>IF(项目基本情况!K6="上海银行","其他处置费用","")</f>
        <v/>
      </c>
      <c r="M76" s="3401"/>
      <c r="N76" s="1250" t="str">
        <f>IF(项目基本情况!K6="上海银行",N89,"")</f>
        <v/>
      </c>
      <c r="O76" s="3402" t="str">
        <f>IF(项目基本情况!K6="上海银行","包含处置中涉及的律师、诉讼、拍卖、评估等费用","")</f>
        <v/>
      </c>
      <c r="P76" s="3403"/>
      <c r="Q76" s="1912"/>
      <c r="R76" s="1912"/>
      <c r="S76" s="1912"/>
      <c r="T76" s="1912"/>
      <c r="U76" s="1912"/>
      <c r="V76" s="1912"/>
    </row>
    <row r="77" spans="1:22" ht="24.75" thickBot="1">
      <c r="A77" s="3415" t="s">
        <v>421</v>
      </c>
      <c r="B77" s="3416"/>
      <c r="C77" s="3416"/>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2965</v>
      </c>
      <c r="J77" s="1919"/>
      <c r="K77" s="3411">
        <f>IF(AND(K75="",K76=""),4,IF(项目基本情况!K6="上海银行",K76+1,K75+1))</f>
        <v>5</v>
      </c>
      <c r="L77" s="3389" t="s">
        <v>2863</v>
      </c>
      <c r="M77" s="2764" t="s">
        <v>417</v>
      </c>
      <c r="N77" s="1256"/>
      <c r="O77" s="1257">
        <f ca="1">SUMIF(N72:N76,"&lt;9e307")</f>
        <v>38751</v>
      </c>
      <c r="P77" s="1258"/>
      <c r="Q77" s="2762">
        <f ca="1">O77/N69</f>
        <v>0.5660385626643295</v>
      </c>
      <c r="R77" s="1912"/>
      <c r="S77" s="1912"/>
      <c r="T77" s="1912"/>
      <c r="U77" s="1912"/>
      <c r="V77" s="1912"/>
    </row>
    <row r="78" spans="1:22" ht="12" customHeight="1">
      <c r="A78" s="1259"/>
      <c r="B78" s="309"/>
      <c r="C78" s="309"/>
      <c r="D78" s="309"/>
      <c r="E78" s="42"/>
      <c r="F78" s="42"/>
      <c r="G78" s="42"/>
      <c r="H78" s="991"/>
      <c r="I78" s="309"/>
      <c r="J78" s="1919"/>
      <c r="K78" s="3411"/>
      <c r="L78" s="3389"/>
      <c r="M78" s="2764" t="s">
        <v>420</v>
      </c>
      <c r="N78" s="1256"/>
      <c r="O78" s="1257" t="str">
        <f ca="1">NUMBERSTRING(INT(O77*10000),2)&amp;"元整"</f>
        <v>叁亿捌仟柒佰伍拾壹万元整</v>
      </c>
      <c r="P78" s="1258"/>
      <c r="Q78" s="1912"/>
      <c r="R78" s="1912"/>
      <c r="S78" s="1912"/>
      <c r="T78" s="1912"/>
      <c r="U78" s="1912"/>
      <c r="V78" s="1912"/>
    </row>
    <row r="79" spans="1:22" ht="13.5" thickBot="1">
      <c r="A79" s="3466" t="s">
        <v>422</v>
      </c>
      <c r="B79" s="3466"/>
      <c r="C79" s="3466"/>
      <c r="D79" s="3466"/>
      <c r="E79" s="3466"/>
      <c r="F79" s="42"/>
      <c r="G79" s="42"/>
      <c r="H79" s="991"/>
      <c r="I79" s="309"/>
      <c r="J79" s="1919"/>
      <c r="K79" s="3387">
        <f>K77+1</f>
        <v>6</v>
      </c>
      <c r="L79" s="3389" t="s">
        <v>2864</v>
      </c>
      <c r="M79" s="2764" t="s">
        <v>417</v>
      </c>
      <c r="N79" s="1256"/>
      <c r="O79" s="1257">
        <f ca="1">N69-O77</f>
        <v>29709</v>
      </c>
      <c r="P79" s="1258"/>
      <c r="Q79" s="1912"/>
      <c r="R79" s="1912"/>
      <c r="S79" s="1912"/>
      <c r="T79" s="1912"/>
      <c r="U79" s="1912"/>
      <c r="V79" s="1912"/>
    </row>
    <row r="80" spans="1:22" ht="25.5">
      <c r="A80" s="3397" t="s">
        <v>423</v>
      </c>
      <c r="B80" s="3398"/>
      <c r="C80" s="982"/>
      <c r="D80" s="982" t="s">
        <v>424</v>
      </c>
      <c r="E80" s="364" t="s">
        <v>425</v>
      </c>
      <c r="F80" s="42"/>
      <c r="G80" s="42"/>
      <c r="H80" s="991"/>
      <c r="I80" s="309"/>
      <c r="J80" s="1912"/>
      <c r="K80" s="3388"/>
      <c r="L80" s="3389"/>
      <c r="M80" s="2764" t="s">
        <v>420</v>
      </c>
      <c r="N80" s="1256"/>
      <c r="O80" s="1257" t="str">
        <f ca="1">NUMBERSTRING(INT(O79*10000),2)&amp;"元整"</f>
        <v>贰亿玖仟柒佰零玖万元整</v>
      </c>
      <c r="P80" s="1258"/>
      <c r="Q80" s="1912"/>
      <c r="R80" s="1912"/>
      <c r="S80" s="1912"/>
      <c r="T80" s="1912"/>
      <c r="U80" s="1912"/>
      <c r="V80" s="1912"/>
    </row>
    <row r="81" spans="1:26" ht="13.5" thickBot="1">
      <c r="A81" s="375" t="s">
        <v>1814</v>
      </c>
      <c r="B81" s="365" t="s">
        <v>426</v>
      </c>
      <c r="C81" s="366">
        <f ca="1">ROUND((C82+C83)/(1+'数据-取费表'!C42),0)</f>
        <v>65200</v>
      </c>
      <c r="D81" s="367"/>
      <c r="E81" s="368"/>
      <c r="F81" s="42"/>
      <c r="G81" s="42"/>
      <c r="H81" s="991"/>
      <c r="I81" s="309"/>
      <c r="J81" s="1912"/>
      <c r="K81" s="2759">
        <f>K79+1</f>
        <v>7</v>
      </c>
      <c r="L81" s="3409" t="s">
        <v>2865</v>
      </c>
      <c r="M81" s="3410"/>
      <c r="N81" s="1260"/>
      <c r="O81" s="1261">
        <f ca="1">ROUND(O79*10000/'数据-汇总表'!E3,0)</f>
        <v>601</v>
      </c>
      <c r="P81" s="1262"/>
      <c r="Q81" s="1912"/>
      <c r="R81" s="1912"/>
      <c r="S81" s="1912"/>
      <c r="T81" s="1912"/>
      <c r="U81" s="1912"/>
      <c r="V81" s="1912"/>
    </row>
    <row r="82" spans="1:26" ht="13.5" thickTop="1">
      <c r="A82" s="369" t="s">
        <v>1815</v>
      </c>
      <c r="B82" s="370" t="s">
        <v>427</v>
      </c>
      <c r="C82" s="371">
        <f ca="1">D63</f>
        <v>68460</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399" t="s">
        <v>2853</v>
      </c>
      <c r="L83" s="2770" t="s">
        <v>2854</v>
      </c>
      <c r="M83" s="2760">
        <f ca="1">IF(N69&gt;10000,N69*0.5%,IF(AND(N69&gt;1000,N69&lt;=10000),N69*1%,IF(AND(N69&gt;100,N69&lt;=1000),N69*3%,IF(AND(N69&gt;10,N69&lt;=100),N69*5%,N69*8%))))</f>
        <v>342.3</v>
      </c>
      <c r="N83" s="53">
        <f ca="1">ROUND(M83,1)</f>
        <v>342.3</v>
      </c>
      <c r="O83" s="2763"/>
      <c r="P83" s="1912"/>
      <c r="Q83" s="1912"/>
      <c r="R83" s="1912"/>
      <c r="S83" s="1912"/>
      <c r="T83" s="1912"/>
      <c r="U83" s="1912"/>
      <c r="V83" s="1912"/>
    </row>
    <row r="84" spans="1:26" ht="12.75">
      <c r="A84" s="375" t="s">
        <v>1817</v>
      </c>
      <c r="B84" s="376" t="s">
        <v>429</v>
      </c>
      <c r="C84" s="377"/>
      <c r="D84" s="378" t="s">
        <v>19</v>
      </c>
      <c r="E84" s="2788" t="s">
        <v>2903</v>
      </c>
      <c r="F84" s="42"/>
      <c r="G84" s="42"/>
      <c r="H84" s="991"/>
      <c r="I84" s="309"/>
      <c r="J84" s="1912"/>
      <c r="K84" s="3399"/>
      <c r="L84" s="2770" t="s">
        <v>2855</v>
      </c>
      <c r="M84" s="2760">
        <f ca="1">IF(N69&gt;2000,N69*0.5%,IF(AND(N69&gt;1000,N69&lt;=2000),N69*0.6%,IF(AND(N69&gt;500,N69&lt;=1000),N69*0.7%,IF(AND(N69&gt;200,N69&lt;=500),N69*0.8%,IF(AND(N69&gt;100,N69&lt;=200),N69*0.9%,IF(AND(N69&gt;50,N69&lt;=100),N69*1%,IF(AND(N69&gt;20,N69&lt;=50),N69*1.5%,IF(AND(N69&gt;10,N69&lt;=20),N69*2%,IF(AND(N69&gt;1,N69&lt;=10),N69*2.5%)))))))))</f>
        <v>342.3</v>
      </c>
      <c r="N84" s="53">
        <f t="shared" ref="N84:N85" ca="1" si="2">ROUND(M84,1)</f>
        <v>342.3</v>
      </c>
      <c r="O84" s="1912" t="s">
        <v>2856</v>
      </c>
      <c r="P84" s="1912"/>
      <c r="Q84" s="1912"/>
      <c r="R84" s="1912"/>
      <c r="S84" s="1912"/>
      <c r="T84" s="1912"/>
      <c r="U84" s="1912"/>
      <c r="V84" s="1912"/>
    </row>
    <row r="85" spans="1:26" ht="12.75">
      <c r="A85" s="375" t="s">
        <v>1818</v>
      </c>
      <c r="B85" s="376" t="s">
        <v>430</v>
      </c>
      <c r="C85" s="379">
        <f ca="1">C81-C84</f>
        <v>65200</v>
      </c>
      <c r="D85" s="372" t="s">
        <v>19</v>
      </c>
      <c r="E85" s="373"/>
      <c r="F85" s="42"/>
      <c r="G85" s="42"/>
      <c r="H85" s="991"/>
      <c r="I85" s="309"/>
      <c r="J85" s="1912"/>
      <c r="K85" s="3399"/>
      <c r="L85" s="2770" t="s">
        <v>2857</v>
      </c>
      <c r="M85" s="2760">
        <f ca="1">IF(N69&gt;1000,N69*0.1%,IF(AND(N69&gt;500,N69&lt;=1000),N69*0.5%,IF(AND(N69&gt;50,N69&lt;=500),N69*1%,IF(AND(N69&gt;1,N69&lt;=50),N69*1.5%))))</f>
        <v>68.460000000000008</v>
      </c>
      <c r="N85" s="53">
        <f t="shared" ca="1" si="2"/>
        <v>68.5</v>
      </c>
      <c r="O85" s="1912" t="s">
        <v>2856</v>
      </c>
      <c r="P85" s="1912"/>
      <c r="Q85" s="1912"/>
      <c r="R85" s="1912"/>
      <c r="S85" s="1912"/>
      <c r="T85" s="1912"/>
      <c r="U85" s="1912"/>
      <c r="V85" s="1912"/>
    </row>
    <row r="86" spans="1:26" ht="13.5" thickBot="1">
      <c r="A86" s="380" t="s">
        <v>1819</v>
      </c>
      <c r="B86" s="381" t="s">
        <v>431</v>
      </c>
      <c r="C86" s="382">
        <f ca="1">IF(C85&lt;=0,0,ROUND(C85*D86,0))</f>
        <v>3684</v>
      </c>
      <c r="D86" s="383">
        <f>'数据-取费表'!B41</f>
        <v>5.6500000000000002E-2</v>
      </c>
      <c r="E86" s="384"/>
      <c r="F86" s="42"/>
      <c r="G86" s="42"/>
      <c r="H86" s="991"/>
      <c r="I86" s="309"/>
      <c r="J86" s="1912"/>
      <c r="K86" s="3399"/>
      <c r="L86" s="2770" t="s">
        <v>2858</v>
      </c>
      <c r="M86" s="2760">
        <f ca="1">N69*0.5%</f>
        <v>342.3</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399"/>
      <c r="L87" s="2770" t="s">
        <v>2860</v>
      </c>
      <c r="M87" s="2760">
        <f ca="1">IF(N69&gt;=10000,(8.25+(N69-10000)*0.01%),IF(AND(N69&gt;=8000,N69&lt;10000),(7.85+(N69-8000)*0.02%),IF(AND(N69&gt;=5000,N69&lt;8000),(6.65+(N69-5000)*0.04%),IF(AND(N69&gt;=2000,N69&lt;5000),(4.25+(PN69-2000)*0.08%),IF(AND(N69&gt;=1000,N69&lt;2000),(2.75+(N69-1000)*0.15%),IF(AND(N69&gt;=100,N69&lt;1000),(0.5+(N69-100)*0.25%),IF(AND(N69&gt;0,N69&lt;100),N69*0.5%)))))))</f>
        <v>14.096</v>
      </c>
      <c r="N87" s="53">
        <f ca="1">ROUND(M87*0.9,1)</f>
        <v>12.7</v>
      </c>
      <c r="O87" s="2763"/>
      <c r="P87" s="1912"/>
      <c r="Q87" s="1912"/>
      <c r="R87" s="1912"/>
      <c r="S87" s="1912"/>
      <c r="T87" s="1912"/>
      <c r="U87" s="1912"/>
      <c r="V87" s="1912"/>
      <c r="W87" s="290"/>
      <c r="X87" s="290"/>
      <c r="Y87" s="290"/>
      <c r="Z87" s="290"/>
    </row>
    <row r="88" spans="1:26" s="1268" customFormat="1" ht="15" thickBot="1">
      <c r="A88" s="3438" t="s">
        <v>432</v>
      </c>
      <c r="B88" s="3439"/>
      <c r="C88" s="3439"/>
      <c r="D88" s="3439"/>
      <c r="E88" s="3439"/>
      <c r="F88" s="3439"/>
      <c r="G88" s="3439"/>
      <c r="H88" s="3439"/>
      <c r="I88" s="1269"/>
      <c r="J88" s="1920"/>
      <c r="K88" s="3399"/>
      <c r="L88" s="2770" t="s">
        <v>2861</v>
      </c>
      <c r="M88" s="2760">
        <f ca="1">IF(N69&gt;10000,N69*0.5%,IF(AND(N69&gt;5000,N69&lt;=10000),N69*1%,IF(AND(N69&gt;1000,N69&lt;=5000),N69*2%,IF(AND(N69&gt;200,N69&lt;=1000),N69*3%,N69*5%))))</f>
        <v>342.3</v>
      </c>
      <c r="N88" s="53">
        <f ca="1">ROUND(M88,1)</f>
        <v>342.3</v>
      </c>
      <c r="O88" s="2763"/>
      <c r="P88" s="1917"/>
      <c r="Q88" s="1917"/>
      <c r="R88" s="1917"/>
      <c r="S88" s="1917"/>
      <c r="T88" s="1917"/>
      <c r="U88" s="1917"/>
      <c r="V88" s="1917"/>
      <c r="W88" s="1921"/>
      <c r="X88" s="1921"/>
      <c r="Y88" s="1921"/>
      <c r="Z88" s="1921"/>
    </row>
    <row r="89" spans="1:26" s="1268" customFormat="1" ht="14.25">
      <c r="A89" s="3397" t="s">
        <v>423</v>
      </c>
      <c r="B89" s="3398"/>
      <c r="C89" s="982"/>
      <c r="D89" s="982" t="s">
        <v>424</v>
      </c>
      <c r="E89" s="385" t="s">
        <v>433</v>
      </c>
      <c r="F89" s="386"/>
      <c r="G89" s="386"/>
      <c r="H89" s="387"/>
      <c r="I89" s="1270"/>
      <c r="J89" s="1922"/>
      <c r="K89" s="3399"/>
      <c r="L89" s="2770" t="s">
        <v>27</v>
      </c>
      <c r="M89" s="2761"/>
      <c r="N89" s="53">
        <f ca="1">ROUND(SUM(N83:N88),0)</f>
        <v>1109</v>
      </c>
      <c r="O89" s="2771">
        <f ca="1">N89/N69</f>
        <v>1.6199240432369266E-2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65200</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424</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35" t="s">
        <v>441</v>
      </c>
      <c r="F94" s="3436"/>
      <c r="G94" s="3436"/>
      <c r="H94" s="3437"/>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424</v>
      </c>
      <c r="D96" s="400">
        <f>'数据-取费表'!B43</f>
        <v>6.5000000000000006E-3</v>
      </c>
      <c r="E96" s="3394" t="s">
        <v>2413</v>
      </c>
      <c r="F96" s="3395"/>
      <c r="G96" s="3395"/>
      <c r="H96" s="3396"/>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64776</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152.77358490566039</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38717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38" t="s">
        <v>448</v>
      </c>
      <c r="B101" s="3439"/>
      <c r="C101" s="3439"/>
      <c r="D101" s="3439"/>
      <c r="E101" s="3439"/>
      <c r="F101" s="3439"/>
      <c r="G101" s="3439"/>
      <c r="H101" s="3439"/>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397" t="s">
        <v>423</v>
      </c>
      <c r="B102" s="3398"/>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65200</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424</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3" t="s">
        <v>2986</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50" t="s">
        <v>2957</v>
      </c>
      <c r="H108" s="3451"/>
      <c r="I108" s="2860"/>
      <c r="J108" s="1917"/>
      <c r="K108" s="3243" t="s">
        <v>2987</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28" t="s">
        <v>456</v>
      </c>
      <c r="F109" s="3395"/>
      <c r="G109" s="3395"/>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4">
        <v>0</v>
      </c>
      <c r="E110" s="3428" t="s">
        <v>458</v>
      </c>
      <c r="F110" s="3395"/>
      <c r="G110" s="3395"/>
      <c r="H110" s="3396"/>
      <c r="I110" s="11"/>
      <c r="J110" s="1917"/>
      <c r="K110" s="3244" t="s">
        <v>2988</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424</v>
      </c>
      <c r="D111" s="400">
        <f>'数据-取费表'!B43</f>
        <v>6.5000000000000006E-3</v>
      </c>
      <c r="E111" s="3394" t="s">
        <v>2413</v>
      </c>
      <c r="F111" s="3395"/>
      <c r="G111" s="3395"/>
      <c r="H111" s="3396"/>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28" t="s">
        <v>2436</v>
      </c>
      <c r="F112" s="3395"/>
      <c r="G112" s="3395"/>
      <c r="H112" s="3396"/>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64776</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152.77358490566039</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38717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F58" sqref="F5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9"/>
      <c r="M1" s="3210"/>
      <c r="N1" s="3210"/>
      <c r="O1" s="3210"/>
      <c r="P1" s="2015"/>
      <c r="Q1" s="2015"/>
      <c r="R1" s="2015"/>
      <c r="S1" s="2015"/>
      <c r="T1" s="2015"/>
      <c r="U1" s="2015"/>
      <c r="V1" s="2015"/>
      <c r="W1" s="2015"/>
      <c r="X1" s="2015"/>
      <c r="Y1" s="2015"/>
      <c r="Z1" s="2015"/>
      <c r="AA1" s="2015"/>
      <c r="AB1" s="2015"/>
      <c r="AC1" s="3211"/>
      <c r="AD1" s="1289"/>
    </row>
    <row r="2" spans="1:30" s="1290" customFormat="1" ht="28.5" customHeight="1">
      <c r="A2" s="417" t="s">
        <v>461</v>
      </c>
      <c r="B2" s="502">
        <f>F68</f>
        <v>39478</v>
      </c>
      <c r="C2" s="3219"/>
      <c r="D2" s="3219"/>
      <c r="E2" s="3221"/>
      <c r="F2" s="3222"/>
      <c r="G2" s="3221"/>
      <c r="H2" s="3221"/>
      <c r="I2" s="3221"/>
      <c r="J2" s="3221"/>
      <c r="K2" s="3223"/>
      <c r="L2" s="2014"/>
      <c r="M2" s="2015"/>
      <c r="N2" s="2015"/>
      <c r="O2" s="2015"/>
      <c r="P2" s="2015"/>
      <c r="Q2" s="2015"/>
      <c r="R2" s="2015"/>
      <c r="S2" s="2015"/>
      <c r="T2" s="2015"/>
      <c r="U2" s="2015"/>
      <c r="V2" s="2015"/>
      <c r="W2" s="2015"/>
      <c r="X2" s="2015"/>
      <c r="Y2" s="2015"/>
      <c r="Z2" s="2015"/>
      <c r="AA2" s="2015"/>
      <c r="AB2" s="2015"/>
      <c r="AC2" s="3211"/>
      <c r="AD2" s="1289"/>
    </row>
    <row r="3" spans="1:30" s="1290" customFormat="1" ht="28.5" customHeight="1">
      <c r="A3" s="1331" t="s">
        <v>1675</v>
      </c>
      <c r="B3" s="504">
        <f>ROUND(B2*10000/'数据-汇总表'!E3,0)</f>
        <v>799</v>
      </c>
      <c r="C3" s="3220"/>
      <c r="D3" s="3224"/>
      <c r="E3" s="3220"/>
      <c r="F3" s="3220"/>
      <c r="G3" s="3221"/>
      <c r="H3" s="3221"/>
      <c r="I3" s="3221"/>
      <c r="J3" s="3221"/>
      <c r="K3" s="3223"/>
      <c r="L3" s="2014"/>
      <c r="M3" s="2015"/>
      <c r="N3" s="2015"/>
      <c r="O3" s="2015"/>
      <c r="P3" s="2015"/>
      <c r="Q3" s="2015"/>
      <c r="R3" s="2015"/>
      <c r="S3" s="2015"/>
      <c r="T3" s="2015"/>
      <c r="U3" s="2015"/>
      <c r="V3" s="2015"/>
      <c r="W3" s="2015"/>
      <c r="X3" s="2015"/>
      <c r="Y3" s="2015"/>
      <c r="Z3" s="2015"/>
      <c r="AA3" s="2015"/>
      <c r="AB3" s="3212"/>
      <c r="AC3" s="1945"/>
    </row>
    <row r="4" spans="1:30" s="1290" customFormat="1" ht="28.5" customHeight="1">
      <c r="A4" s="505" t="s">
        <v>514</v>
      </c>
      <c r="B4" s="421">
        <f>IF(B48="单位面积地价",C50,ROUND(B2*10000/'数据-汇总表'!D3,0))</f>
        <v>1590</v>
      </c>
      <c r="C4" s="3220"/>
      <c r="D4" s="3224"/>
      <c r="E4" s="3220"/>
      <c r="F4" s="3220"/>
      <c r="G4" s="3221"/>
      <c r="H4" s="3221"/>
      <c r="I4" s="3221"/>
      <c r="J4" s="3221"/>
      <c r="K4" s="3223"/>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106</v>
      </c>
      <c r="C5" s="425" t="s">
        <v>463</v>
      </c>
      <c r="D5" s="3220"/>
      <c r="E5" s="3220"/>
      <c r="F5" s="3220"/>
      <c r="G5" s="3221"/>
      <c r="H5" s="3221"/>
      <c r="I5" s="3221"/>
      <c r="J5" s="3221"/>
      <c r="K5" s="3223"/>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89" t="s">
        <v>516</v>
      </c>
      <c r="D6" s="3490"/>
      <c r="E6" s="3489" t="s">
        <v>517</v>
      </c>
      <c r="F6" s="3490"/>
      <c r="G6" s="3489" t="s">
        <v>518</v>
      </c>
      <c r="H6" s="3490"/>
      <c r="I6" s="3489" t="s">
        <v>519</v>
      </c>
      <c r="J6" s="3490"/>
      <c r="K6" s="508" t="s">
        <v>520</v>
      </c>
      <c r="L6" s="2016"/>
      <c r="M6" s="2015"/>
      <c r="N6" s="2015"/>
      <c r="O6" s="2017"/>
      <c r="P6" s="3491" t="s">
        <v>521</v>
      </c>
      <c r="Q6" s="3492"/>
      <c r="R6" s="3477" t="s">
        <v>517</v>
      </c>
      <c r="S6" s="3478"/>
      <c r="T6" s="3477" t="s">
        <v>518</v>
      </c>
      <c r="U6" s="3478"/>
      <c r="V6" s="3497" t="s">
        <v>519</v>
      </c>
      <c r="W6" s="3497"/>
      <c r="X6" s="1502"/>
      <c r="Y6" s="3477" t="s">
        <v>521</v>
      </c>
      <c r="Z6" s="3478"/>
      <c r="AA6" s="3472" t="s">
        <v>517</v>
      </c>
      <c r="AB6" s="3473" t="s">
        <v>518</v>
      </c>
      <c r="AC6" s="3472" t="s">
        <v>519</v>
      </c>
    </row>
    <row r="7" spans="1:30" ht="38.25" customHeight="1">
      <c r="A7" s="509"/>
      <c r="B7" s="510"/>
      <c r="C7" s="3502" t="str">
        <f>项目基本情况!F10</f>
        <v>潍坊市青州市弥河流域二宗住宅用地</v>
      </c>
      <c r="D7" s="3501"/>
      <c r="E7" s="3500" t="str">
        <f>土地案例!A2</f>
        <v>弥河镇规划朱兴路与卢郭路交叉口东北侧</v>
      </c>
      <c r="F7" s="3501"/>
      <c r="G7" s="3500" t="str">
        <f>土地案例!A3</f>
        <v>弥河镇规划朱兴路与卢郭路交叉口东北侧</v>
      </c>
      <c r="H7" s="3501"/>
      <c r="I7" s="3500" t="str">
        <f>土地案例!A4</f>
        <v>弥河镇规划朱兴路与卢郭路交叉口东北侧</v>
      </c>
      <c r="J7" s="3501"/>
      <c r="K7" s="508"/>
      <c r="L7" s="2016"/>
      <c r="M7" s="2015"/>
      <c r="N7" s="2015"/>
      <c r="O7" s="2017"/>
      <c r="P7" s="3493"/>
      <c r="Q7" s="3494"/>
      <c r="R7" s="3479"/>
      <c r="S7" s="3480"/>
      <c r="T7" s="3479"/>
      <c r="U7" s="3480"/>
      <c r="V7" s="3497"/>
      <c r="W7" s="3497"/>
      <c r="X7" s="1502"/>
      <c r="Y7" s="3479"/>
      <c r="Z7" s="3480"/>
      <c r="AA7" s="3473"/>
      <c r="AB7" s="3473"/>
      <c r="AC7" s="3473"/>
    </row>
    <row r="8" spans="1:30" ht="21" thickBot="1">
      <c r="A8" s="509"/>
      <c r="B8" s="510"/>
      <c r="C8" s="3503" t="s">
        <v>2896</v>
      </c>
      <c r="D8" s="3504"/>
      <c r="E8" s="3503" t="s">
        <v>2896</v>
      </c>
      <c r="F8" s="3504"/>
      <c r="G8" s="3498" t="s">
        <v>2896</v>
      </c>
      <c r="H8" s="3499"/>
      <c r="I8" s="3498" t="s">
        <v>2896</v>
      </c>
      <c r="J8" s="3499"/>
      <c r="K8" s="508" t="s">
        <v>522</v>
      </c>
      <c r="L8" s="2016"/>
      <c r="M8" s="2015"/>
      <c r="N8" s="2015"/>
      <c r="O8" s="2017"/>
      <c r="P8" s="3495"/>
      <c r="Q8" s="3496"/>
      <c r="R8" s="3479"/>
      <c r="S8" s="3480"/>
      <c r="T8" s="3481"/>
      <c r="U8" s="3482"/>
      <c r="V8" s="3497"/>
      <c r="W8" s="3497"/>
      <c r="X8" s="1502"/>
      <c r="Y8" s="3481"/>
      <c r="Z8" s="3482"/>
      <c r="AA8" s="3474"/>
      <c r="AB8" s="3474"/>
      <c r="AC8" s="3474"/>
    </row>
    <row r="9" spans="1:30" s="1203" customFormat="1" ht="21" thickBot="1">
      <c r="A9" s="2630"/>
      <c r="B9" s="2637" t="s">
        <v>523</v>
      </c>
      <c r="C9" s="2629">
        <f>'数据-取费表'!B2</f>
        <v>44273</v>
      </c>
      <c r="D9" s="514">
        <v>100</v>
      </c>
      <c r="E9" s="515" t="str">
        <f>土地案例!I2</f>
        <v>2020-04-30</v>
      </c>
      <c r="F9" s="516">
        <f>SUMIF(72:72,YEAR(E9)&amp;"-"&amp;INT((MONTH(E9)+2)/3),73:73)</f>
        <v>98.5</v>
      </c>
      <c r="G9" s="517" t="str">
        <f>土地案例!I3</f>
        <v>2020-04-30</v>
      </c>
      <c r="H9" s="514">
        <f>SUMIF(72:72,YEAR(G9)&amp;"-"&amp;INT((MONTH(G9)+2)/3),73:73)</f>
        <v>98.5</v>
      </c>
      <c r="I9" s="517" t="str">
        <f>土地案例!I4</f>
        <v>2020-04-30</v>
      </c>
      <c r="J9" s="514">
        <f>SUMIF(72:72,YEAR(I9)&amp;"-"&amp;INT((MONTH(I9)+2)/3),73:73)</f>
        <v>98.5</v>
      </c>
      <c r="K9" s="518"/>
      <c r="L9" s="2018"/>
      <c r="M9" s="2015"/>
      <c r="N9" s="2015"/>
      <c r="O9" s="2019"/>
      <c r="P9" s="3475" t="s">
        <v>524</v>
      </c>
      <c r="Q9" s="3484"/>
      <c r="R9" s="1503" t="s">
        <v>8</v>
      </c>
      <c r="S9" s="1504">
        <f t="shared" ref="S9:S17" si="0">F9</f>
        <v>98.5</v>
      </c>
      <c r="T9" s="1503" t="s">
        <v>8</v>
      </c>
      <c r="U9" s="1504">
        <f t="shared" ref="U9:U17" si="1">H9</f>
        <v>98.5</v>
      </c>
      <c r="V9" s="1503" t="s">
        <v>8</v>
      </c>
      <c r="W9" s="1504">
        <f t="shared" ref="W9:W17" si="2">J9</f>
        <v>98.5</v>
      </c>
      <c r="X9" s="1505"/>
      <c r="Y9" s="3475" t="s">
        <v>524</v>
      </c>
      <c r="Z9" s="3476"/>
      <c r="AA9" s="1506">
        <f>D9/F9</f>
        <v>1.015228426395939</v>
      </c>
      <c r="AB9" s="1506">
        <f>D9/H9</f>
        <v>1.015228426395939</v>
      </c>
      <c r="AC9" s="1506">
        <f>D9/J9</f>
        <v>1.015228426395939</v>
      </c>
    </row>
    <row r="10" spans="1:30" s="1203" customFormat="1" ht="21" thickBot="1">
      <c r="A10" s="2631"/>
      <c r="B10" s="2638"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8"/>
      <c r="M10" s="2015"/>
      <c r="N10" s="2015"/>
      <c r="O10" s="2019"/>
      <c r="P10" s="3475" t="s">
        <v>527</v>
      </c>
      <c r="Q10" s="3476"/>
      <c r="R10" s="1503" t="s">
        <v>8</v>
      </c>
      <c r="S10" s="1504">
        <f t="shared" si="0"/>
        <v>100</v>
      </c>
      <c r="T10" s="1503" t="s">
        <v>8</v>
      </c>
      <c r="U10" s="1504">
        <f t="shared" si="1"/>
        <v>100</v>
      </c>
      <c r="V10" s="1503" t="s">
        <v>8</v>
      </c>
      <c r="W10" s="1504">
        <f t="shared" si="2"/>
        <v>100</v>
      </c>
      <c r="X10" s="1505"/>
      <c r="Y10" s="3475" t="s">
        <v>527</v>
      </c>
      <c r="Z10" s="3476"/>
      <c r="AA10" s="1506">
        <f t="shared" ref="AA10:AA47" si="3">D10/F10</f>
        <v>1</v>
      </c>
      <c r="AB10" s="1506">
        <f t="shared" ref="AB10:AB47" si="4">D10/H10</f>
        <v>1</v>
      </c>
      <c r="AC10" s="1506">
        <f t="shared" ref="AC10:AC47" si="5">D10/J10</f>
        <v>1</v>
      </c>
    </row>
    <row r="11" spans="1:30" s="1203" customFormat="1" ht="20.25">
      <c r="A11" s="2632"/>
      <c r="B11" s="2639" t="s">
        <v>2736</v>
      </c>
      <c r="C11" s="2626" t="s">
        <v>914</v>
      </c>
      <c r="D11" s="252">
        <v>100</v>
      </c>
      <c r="E11" s="2626" t="s">
        <v>914</v>
      </c>
      <c r="F11" s="252">
        <f>SUMIF(77:77,E11,78:78)-SUMIF(77:77,C11,78:78)+100</f>
        <v>100</v>
      </c>
      <c r="G11" s="2626" t="s">
        <v>914</v>
      </c>
      <c r="H11" s="252">
        <f>SUMIF(77:77,G11,78:78)-SUMIF(77:77,C11,78:78)+100</f>
        <v>100</v>
      </c>
      <c r="I11" s="2626" t="s">
        <v>914</v>
      </c>
      <c r="J11" s="252">
        <f>SUMIF(77:77,I11,78:78)-SUMIF(77:77,C11,78:78)+100</f>
        <v>100</v>
      </c>
      <c r="K11" s="518"/>
      <c r="L11" s="2018"/>
      <c r="M11" s="2015"/>
      <c r="N11" s="2015"/>
      <c r="O11" s="2020"/>
      <c r="P11" s="3483" t="s">
        <v>529</v>
      </c>
      <c r="Q11" s="1134" t="str">
        <f t="shared" ref="Q11:Q17" si="6">B11</f>
        <v>用途</v>
      </c>
      <c r="R11" s="1503" t="s">
        <v>8</v>
      </c>
      <c r="S11" s="1504">
        <f t="shared" si="0"/>
        <v>100</v>
      </c>
      <c r="T11" s="1503" t="s">
        <v>8</v>
      </c>
      <c r="U11" s="1504">
        <f t="shared" si="1"/>
        <v>100</v>
      </c>
      <c r="V11" s="1503" t="s">
        <v>8</v>
      </c>
      <c r="W11" s="1504">
        <f t="shared" si="2"/>
        <v>100</v>
      </c>
      <c r="X11" s="1505"/>
      <c r="Y11" s="3434" t="s">
        <v>530</v>
      </c>
      <c r="Z11" s="1133" t="str">
        <f t="shared" ref="Z11:Z17" si="7">Q11</f>
        <v>用途</v>
      </c>
      <c r="AA11" s="1506">
        <f t="shared" si="3"/>
        <v>1</v>
      </c>
      <c r="AB11" s="1506">
        <f t="shared" si="4"/>
        <v>1</v>
      </c>
      <c r="AC11" s="1506">
        <f t="shared" si="5"/>
        <v>1</v>
      </c>
    </row>
    <row r="12" spans="1:30" s="1292" customFormat="1" ht="27">
      <c r="A12" s="2633"/>
      <c r="B12" s="2638" t="s">
        <v>2737</v>
      </c>
      <c r="C12" s="899">
        <f>'数据-取费表'!F6</f>
        <v>57.79</v>
      </c>
      <c r="D12" s="253">
        <v>100</v>
      </c>
      <c r="E12" s="523" t="s">
        <v>3158</v>
      </c>
      <c r="F12" s="253">
        <f>ROUND(100/'数据-取费表'!G16,0)</f>
        <v>104</v>
      </c>
      <c r="G12" s="523" t="s">
        <v>3158</v>
      </c>
      <c r="H12" s="253">
        <f>ROUND(100/'数据-取费表'!G16,0)</f>
        <v>104</v>
      </c>
      <c r="I12" s="523" t="s">
        <v>3158</v>
      </c>
      <c r="J12" s="253">
        <f>ROUND(100/'数据-取费表'!G16,0)</f>
        <v>104</v>
      </c>
      <c r="K12" s="525"/>
      <c r="L12" s="2021"/>
      <c r="M12" s="2015"/>
      <c r="N12" s="2015"/>
      <c r="O12" s="2022"/>
      <c r="P12" s="3483"/>
      <c r="Q12" s="1134" t="str">
        <f t="shared" si="6"/>
        <v>土地使用年限（年）</v>
      </c>
      <c r="R12" s="1503" t="s">
        <v>8</v>
      </c>
      <c r="S12" s="1504">
        <f t="shared" si="0"/>
        <v>104</v>
      </c>
      <c r="T12" s="1503" t="s">
        <v>8</v>
      </c>
      <c r="U12" s="1504">
        <f t="shared" si="1"/>
        <v>104</v>
      </c>
      <c r="V12" s="1503" t="s">
        <v>8</v>
      </c>
      <c r="W12" s="1504">
        <f t="shared" si="2"/>
        <v>104</v>
      </c>
      <c r="X12" s="1505"/>
      <c r="Y12" s="3434"/>
      <c r="Z12" s="1133" t="str">
        <f t="shared" si="7"/>
        <v>土地使用年限（年）</v>
      </c>
      <c r="AA12" s="1506">
        <f t="shared" si="3"/>
        <v>0.96153846153846156</v>
      </c>
      <c r="AB12" s="1506">
        <f t="shared" si="4"/>
        <v>0.96153846153846156</v>
      </c>
      <c r="AC12" s="1506">
        <f t="shared" si="5"/>
        <v>0.96153846153846156</v>
      </c>
    </row>
    <row r="13" spans="1:30" ht="20.25">
      <c r="A13" s="2634"/>
      <c r="B13" s="2638" t="s">
        <v>2738</v>
      </c>
      <c r="C13" s="528">
        <f>'数据-汇总表'!I6</f>
        <v>1.99</v>
      </c>
      <c r="D13" s="253">
        <v>100</v>
      </c>
      <c r="E13" s="527">
        <f>土地案例!H2</f>
        <v>1.99</v>
      </c>
      <c r="F13" s="253">
        <f>LOOKUP(E13,82:82,83:83)-LOOKUP(C13,82:82,83:83)+100</f>
        <v>100</v>
      </c>
      <c r="G13" s="528">
        <f>土地案例!H3</f>
        <v>1.99</v>
      </c>
      <c r="H13" s="253">
        <f>LOOKUP(G13,82:82,83:83)-LOOKUP(C13,82:82,83:83)+100</f>
        <v>100</v>
      </c>
      <c r="I13" s="527">
        <f>土地案例!H4</f>
        <v>1.99</v>
      </c>
      <c r="J13" s="253">
        <f>LOOKUP(I13,82:82,83:83)-LOOKUP(C13,82:82,83:83)+100</f>
        <v>100</v>
      </c>
      <c r="K13" s="529">
        <v>2</v>
      </c>
      <c r="L13" s="2023"/>
      <c r="M13" s="2015"/>
      <c r="N13" s="2015"/>
      <c r="O13" s="2024"/>
      <c r="P13" s="3483"/>
      <c r="Q13" s="1134" t="str">
        <f t="shared" si="6"/>
        <v>容积率</v>
      </c>
      <c r="R13" s="1503" t="s">
        <v>8</v>
      </c>
      <c r="S13" s="1504">
        <f t="shared" si="0"/>
        <v>100</v>
      </c>
      <c r="T13" s="1503" t="s">
        <v>8</v>
      </c>
      <c r="U13" s="1504">
        <f t="shared" si="1"/>
        <v>100</v>
      </c>
      <c r="V13" s="1503" t="s">
        <v>8</v>
      </c>
      <c r="W13" s="1504">
        <f t="shared" si="2"/>
        <v>100</v>
      </c>
      <c r="X13" s="1505"/>
      <c r="Y13" s="3434"/>
      <c r="Z13" s="1133" t="str">
        <f t="shared" si="7"/>
        <v>容积率</v>
      </c>
      <c r="AA13" s="1506">
        <f t="shared" si="3"/>
        <v>1</v>
      </c>
      <c r="AB13" s="1506">
        <f t="shared" si="4"/>
        <v>1</v>
      </c>
      <c r="AC13" s="1506">
        <f t="shared" si="5"/>
        <v>1</v>
      </c>
    </row>
    <row r="14" spans="1:30" s="1203" customFormat="1" ht="21" thickBot="1">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83"/>
      <c r="Q14" s="1134" t="str">
        <f t="shared" si="6"/>
        <v>配建</v>
      </c>
      <c r="R14" s="1503" t="s">
        <v>8</v>
      </c>
      <c r="S14" s="1504">
        <f t="shared" si="0"/>
        <v>100</v>
      </c>
      <c r="T14" s="1503" t="s">
        <v>8</v>
      </c>
      <c r="U14" s="1504">
        <f t="shared" si="1"/>
        <v>100</v>
      </c>
      <c r="V14" s="1503" t="s">
        <v>8</v>
      </c>
      <c r="W14" s="1504">
        <f t="shared" si="2"/>
        <v>100</v>
      </c>
      <c r="X14" s="1505"/>
      <c r="Y14" s="3434"/>
      <c r="Z14" s="1133" t="str">
        <f t="shared" si="7"/>
        <v>配建</v>
      </c>
      <c r="AA14" s="1506">
        <f>D14/F14</f>
        <v>1</v>
      </c>
      <c r="AB14" s="1506">
        <f>D14/H14</f>
        <v>1</v>
      </c>
      <c r="AC14" s="1506">
        <f>D14/J14</f>
        <v>1</v>
      </c>
    </row>
    <row r="15" spans="1:30" ht="20.25" hidden="1">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83"/>
      <c r="Q15" s="1134">
        <f t="shared" si="6"/>
        <v>111</v>
      </c>
      <c r="R15" s="1503" t="s">
        <v>8</v>
      </c>
      <c r="S15" s="1504">
        <f t="shared" si="0"/>
        <v>100</v>
      </c>
      <c r="T15" s="1503" t="s">
        <v>8</v>
      </c>
      <c r="U15" s="1504">
        <f t="shared" si="1"/>
        <v>100</v>
      </c>
      <c r="V15" s="1503" t="s">
        <v>8</v>
      </c>
      <c r="W15" s="1504">
        <f t="shared" si="2"/>
        <v>100</v>
      </c>
      <c r="X15" s="1505"/>
      <c r="Y15" s="3434"/>
      <c r="Z15" s="1133">
        <f t="shared" si="7"/>
        <v>111</v>
      </c>
      <c r="AA15" s="1506">
        <f>D15/F15</f>
        <v>1</v>
      </c>
      <c r="AB15" s="1506">
        <f>D15/H15</f>
        <v>1</v>
      </c>
      <c r="AC15" s="1506">
        <f>D15/J15</f>
        <v>1</v>
      </c>
    </row>
    <row r="16" spans="1:30" ht="21" hidden="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83"/>
      <c r="Q16" s="1134">
        <f t="shared" si="6"/>
        <v>111</v>
      </c>
      <c r="R16" s="1503" t="s">
        <v>8</v>
      </c>
      <c r="S16" s="1504">
        <f t="shared" si="0"/>
        <v>100</v>
      </c>
      <c r="T16" s="1503" t="s">
        <v>8</v>
      </c>
      <c r="U16" s="1504">
        <f t="shared" si="1"/>
        <v>100</v>
      </c>
      <c r="V16" s="1503" t="s">
        <v>8</v>
      </c>
      <c r="W16" s="1504">
        <f t="shared" si="2"/>
        <v>100</v>
      </c>
      <c r="X16" s="1505"/>
      <c r="Y16" s="3434"/>
      <c r="Z16" s="1133">
        <f t="shared" si="7"/>
        <v>111</v>
      </c>
      <c r="AA16" s="1506">
        <f>D16/F16</f>
        <v>1</v>
      </c>
      <c r="AB16" s="1506">
        <f>D16/H16</f>
        <v>1</v>
      </c>
      <c r="AC16" s="1506">
        <f>D16/J16</f>
        <v>1</v>
      </c>
    </row>
    <row r="17" spans="1:29" ht="20.25">
      <c r="A17" s="2628" t="s">
        <v>2734</v>
      </c>
      <c r="B17" s="572" t="s">
        <v>295</v>
      </c>
      <c r="C17" s="542" t="str">
        <f>估价对象房地状况!C15</f>
        <v>较差</v>
      </c>
      <c r="D17" s="545">
        <v>100</v>
      </c>
      <c r="E17" s="546" t="s">
        <v>3025</v>
      </c>
      <c r="F17" s="543">
        <f>SUMIF(90:90,E18,91:91)-SUMIF(90:90,C18,91:91)+100</f>
        <v>100</v>
      </c>
      <c r="G17" s="546" t="s">
        <v>3025</v>
      </c>
      <c r="H17" s="543">
        <f>SUMIF(90:90,G18,91:91)-SUMIF(90:90,C18,91:91)+100</f>
        <v>100</v>
      </c>
      <c r="I17" s="546" t="s">
        <v>3025</v>
      </c>
      <c r="J17" s="543">
        <f>SUMIF(90:90,I18,91:91)-SUMIF(90:90,C18,91:91)+100</f>
        <v>100</v>
      </c>
      <c r="K17" s="529">
        <v>2</v>
      </c>
      <c r="L17" s="2025"/>
      <c r="M17" s="2015"/>
      <c r="N17" s="2015"/>
      <c r="O17" s="2024"/>
      <c r="P17" s="3485" t="s">
        <v>534</v>
      </c>
      <c r="Q17" s="1507" t="str">
        <f t="shared" si="6"/>
        <v>居住社区成熟度</v>
      </c>
      <c r="R17" s="1508" t="s">
        <v>8</v>
      </c>
      <c r="S17" s="1509">
        <f t="shared" si="0"/>
        <v>100</v>
      </c>
      <c r="T17" s="1508" t="s">
        <v>8</v>
      </c>
      <c r="U17" s="1509">
        <f t="shared" si="1"/>
        <v>100</v>
      </c>
      <c r="V17" s="1508" t="s">
        <v>8</v>
      </c>
      <c r="W17" s="1509">
        <f t="shared" si="2"/>
        <v>100</v>
      </c>
      <c r="X17" s="1502"/>
      <c r="Y17" s="3485" t="s">
        <v>534</v>
      </c>
      <c r="Z17" s="1510" t="str">
        <f t="shared" si="7"/>
        <v>居住社区成熟度</v>
      </c>
      <c r="AA17" s="1511">
        <f t="shared" si="3"/>
        <v>1</v>
      </c>
      <c r="AB17" s="1511">
        <f t="shared" si="4"/>
        <v>1</v>
      </c>
      <c r="AC17" s="1511">
        <f t="shared" si="5"/>
        <v>1</v>
      </c>
    </row>
    <row r="18" spans="1:29" ht="20.25">
      <c r="A18" s="526"/>
      <c r="B18" s="547"/>
      <c r="C18" s="548" t="s">
        <v>3025</v>
      </c>
      <c r="D18" s="551"/>
      <c r="E18" s="552" t="s">
        <v>3025</v>
      </c>
      <c r="F18" s="549"/>
      <c r="G18" s="552" t="s">
        <v>3025</v>
      </c>
      <c r="H18" s="553"/>
      <c r="I18" s="552" t="s">
        <v>3025</v>
      </c>
      <c r="J18" s="549"/>
      <c r="K18" s="525"/>
      <c r="L18" s="2025"/>
      <c r="M18" s="2015"/>
      <c r="N18" s="2015"/>
      <c r="O18" s="2024"/>
      <c r="P18" s="3486"/>
      <c r="Q18" s="1507"/>
      <c r="R18" s="1508"/>
      <c r="S18" s="1509"/>
      <c r="T18" s="1508"/>
      <c r="U18" s="1509"/>
      <c r="V18" s="1508"/>
      <c r="W18" s="1509"/>
      <c r="X18" s="1502"/>
      <c r="Y18" s="3486"/>
      <c r="Z18" s="1510"/>
      <c r="AA18" s="1511">
        <v>1</v>
      </c>
      <c r="AB18" s="1511">
        <v>1</v>
      </c>
      <c r="AC18" s="1511">
        <v>1</v>
      </c>
    </row>
    <row r="19" spans="1:29" ht="20.25" hidden="1">
      <c r="A19" s="526"/>
      <c r="B19" s="554" t="s">
        <v>535</v>
      </c>
      <c r="C19" s="555" t="str">
        <f>估价对象房地状况!C16</f>
        <v>一般</v>
      </c>
      <c r="D19" s="557">
        <v>100</v>
      </c>
      <c r="E19" s="558" t="s">
        <v>3027</v>
      </c>
      <c r="F19" s="553">
        <f>SUMIF(92:92,E20,93:93)-SUMIF(92:92,C20,93:93)+100</f>
        <v>100</v>
      </c>
      <c r="G19" s="558" t="s">
        <v>3027</v>
      </c>
      <c r="H19" s="559">
        <f>SUMIF(92:92,G20,93:93)-SUMIF(92:92,C20,93:93)+100</f>
        <v>100</v>
      </c>
      <c r="I19" s="558" t="s">
        <v>3027</v>
      </c>
      <c r="J19" s="559">
        <f>SUMIF(92:92,I20,93:93)-SUMIF(92:92,C20,93:93)+100</f>
        <v>100</v>
      </c>
      <c r="K19" s="529"/>
      <c r="L19" s="2025"/>
      <c r="M19" s="2015"/>
      <c r="N19" s="2015"/>
      <c r="O19" s="2024"/>
      <c r="P19" s="3486"/>
      <c r="Q19" s="1507" t="str">
        <f>B19</f>
        <v>商业繁华度</v>
      </c>
      <c r="R19" s="1508" t="s">
        <v>8</v>
      </c>
      <c r="S19" s="1509">
        <f>F19</f>
        <v>100</v>
      </c>
      <c r="T19" s="1508" t="s">
        <v>8</v>
      </c>
      <c r="U19" s="1509">
        <f>H19</f>
        <v>100</v>
      </c>
      <c r="V19" s="1508" t="s">
        <v>8</v>
      </c>
      <c r="W19" s="1509">
        <f>J19</f>
        <v>100</v>
      </c>
      <c r="X19" s="1502"/>
      <c r="Y19" s="3486"/>
      <c r="Z19" s="1510" t="str">
        <f>Q19</f>
        <v>商业繁华度</v>
      </c>
      <c r="AA19" s="1511">
        <f t="shared" si="3"/>
        <v>1</v>
      </c>
      <c r="AB19" s="1511">
        <f t="shared" si="4"/>
        <v>1</v>
      </c>
      <c r="AC19" s="1511">
        <f t="shared" si="5"/>
        <v>1</v>
      </c>
    </row>
    <row r="20" spans="1:29" ht="20.25" hidden="1">
      <c r="A20" s="526"/>
      <c r="B20" s="560"/>
      <c r="C20" s="561"/>
      <c r="D20" s="557"/>
      <c r="E20" s="563"/>
      <c r="F20" s="553"/>
      <c r="G20" s="563"/>
      <c r="H20" s="549"/>
      <c r="I20" s="563"/>
      <c r="J20" s="549"/>
      <c r="K20" s="525"/>
      <c r="L20" s="2025"/>
      <c r="M20" s="2015"/>
      <c r="N20" s="2015"/>
      <c r="O20" s="2024"/>
      <c r="P20" s="3486"/>
      <c r="Q20" s="1507"/>
      <c r="R20" s="1508"/>
      <c r="S20" s="1509"/>
      <c r="T20" s="1508"/>
      <c r="U20" s="1509"/>
      <c r="V20" s="1508"/>
      <c r="W20" s="1509"/>
      <c r="X20" s="1502"/>
      <c r="Y20" s="3486"/>
      <c r="Z20" s="1510"/>
      <c r="AA20" s="1511">
        <v>1</v>
      </c>
      <c r="AB20" s="1511">
        <v>1</v>
      </c>
      <c r="AC20" s="1511">
        <v>1</v>
      </c>
    </row>
    <row r="21" spans="1:29" ht="20.25" hidden="1">
      <c r="A21" s="526"/>
      <c r="B21" s="554" t="s">
        <v>536</v>
      </c>
      <c r="C21" s="555" t="str">
        <f>估价对象房地状况!C17</f>
        <v>一般</v>
      </c>
      <c r="D21" s="565">
        <v>100</v>
      </c>
      <c r="E21" s="566" t="s">
        <v>3027</v>
      </c>
      <c r="F21" s="559">
        <f>SUMIF(94:94,E22,95:95)-SUMIF(94:94,C22,95:95)+100</f>
        <v>100</v>
      </c>
      <c r="G21" s="566" t="s">
        <v>3027</v>
      </c>
      <c r="H21" s="553">
        <f>SUMIF(94:94,G22,95:95)-SUMIF(94:94,C22,95:95)+100</f>
        <v>100</v>
      </c>
      <c r="I21" s="566" t="s">
        <v>3027</v>
      </c>
      <c r="J21" s="553">
        <f>SUMIF(94:94,I22,95:95)-SUMIF(94:94,C22,95:95)+100</f>
        <v>100</v>
      </c>
      <c r="K21" s="529"/>
      <c r="L21" s="2025"/>
      <c r="M21" s="2015"/>
      <c r="N21" s="2015"/>
      <c r="O21" s="2024"/>
      <c r="P21" s="3486"/>
      <c r="Q21" s="1507" t="str">
        <f>B21</f>
        <v>办公集聚程度</v>
      </c>
      <c r="R21" s="1508" t="s">
        <v>8</v>
      </c>
      <c r="S21" s="1509">
        <f>F21</f>
        <v>100</v>
      </c>
      <c r="T21" s="1508" t="s">
        <v>8</v>
      </c>
      <c r="U21" s="1509">
        <f>H21</f>
        <v>100</v>
      </c>
      <c r="V21" s="1508" t="s">
        <v>8</v>
      </c>
      <c r="W21" s="1509">
        <f>J21</f>
        <v>100</v>
      </c>
      <c r="X21" s="1502"/>
      <c r="Y21" s="3486"/>
      <c r="Z21" s="1510" t="str">
        <f>Q21</f>
        <v>办公集聚程度</v>
      </c>
      <c r="AA21" s="1511">
        <f t="shared" si="3"/>
        <v>1</v>
      </c>
      <c r="AB21" s="1511">
        <f t="shared" si="4"/>
        <v>1</v>
      </c>
      <c r="AC21" s="1511">
        <f t="shared" si="5"/>
        <v>1</v>
      </c>
    </row>
    <row r="22" spans="1:29" ht="20.25" hidden="1">
      <c r="A22" s="526"/>
      <c r="B22" s="560"/>
      <c r="C22" s="548"/>
      <c r="D22" s="551"/>
      <c r="E22" s="552"/>
      <c r="F22" s="549"/>
      <c r="G22" s="552"/>
      <c r="H22" s="549"/>
      <c r="I22" s="552"/>
      <c r="J22" s="549"/>
      <c r="K22" s="525"/>
      <c r="L22" s="2025"/>
      <c r="M22" s="2015"/>
      <c r="N22" s="2015"/>
      <c r="O22" s="2024"/>
      <c r="P22" s="3486"/>
      <c r="Q22" s="1507"/>
      <c r="R22" s="1508"/>
      <c r="S22" s="1509"/>
      <c r="T22" s="1508"/>
      <c r="U22" s="1509"/>
      <c r="V22" s="1508"/>
      <c r="W22" s="1509"/>
      <c r="X22" s="1502"/>
      <c r="Y22" s="3486"/>
      <c r="Z22" s="1510"/>
      <c r="AA22" s="1511">
        <v>1</v>
      </c>
      <c r="AB22" s="1511">
        <v>1</v>
      </c>
      <c r="AC22" s="1511">
        <v>1</v>
      </c>
    </row>
    <row r="23" spans="1:29" ht="20.25">
      <c r="A23" s="526"/>
      <c r="B23" s="554" t="s">
        <v>537</v>
      </c>
      <c r="C23" s="567" t="str">
        <f>估价对象房地状况!C18</f>
        <v>一般</v>
      </c>
      <c r="D23" s="557">
        <v>100</v>
      </c>
      <c r="E23" s="558" t="s">
        <v>3027</v>
      </c>
      <c r="F23" s="559">
        <f>SUMIF(96:96,E24,97:97)-SUMIF(96:96,C24,97:97)+100</f>
        <v>100</v>
      </c>
      <c r="G23" s="558" t="s">
        <v>3027</v>
      </c>
      <c r="H23" s="553">
        <f>SUMIF(96:96,G24,97:97)-SUMIF(96:96,C24,97:97)+100</f>
        <v>100</v>
      </c>
      <c r="I23" s="558" t="s">
        <v>3027</v>
      </c>
      <c r="J23" s="553">
        <f>SUMIF(96:96,I24,97:97)-SUMIF(96:96,C24,97:97)+100</f>
        <v>100</v>
      </c>
      <c r="K23" s="529">
        <v>2</v>
      </c>
      <c r="L23" s="2025"/>
      <c r="M23" s="2015"/>
      <c r="N23" s="2015"/>
      <c r="O23" s="2024"/>
      <c r="P23" s="3486"/>
      <c r="Q23" s="1507" t="str">
        <f>B23</f>
        <v>交通便捷度</v>
      </c>
      <c r="R23" s="1508" t="s">
        <v>8</v>
      </c>
      <c r="S23" s="1509">
        <f>F23</f>
        <v>100</v>
      </c>
      <c r="T23" s="1508" t="s">
        <v>8</v>
      </c>
      <c r="U23" s="1509">
        <f>H23</f>
        <v>100</v>
      </c>
      <c r="V23" s="1508" t="s">
        <v>8</v>
      </c>
      <c r="W23" s="1509">
        <f>J23</f>
        <v>100</v>
      </c>
      <c r="X23" s="1502"/>
      <c r="Y23" s="3486"/>
      <c r="Z23" s="1510" t="str">
        <f>Q23</f>
        <v>交通便捷度</v>
      </c>
      <c r="AA23" s="1511">
        <f t="shared" si="3"/>
        <v>1</v>
      </c>
      <c r="AB23" s="1511">
        <f t="shared" si="4"/>
        <v>1</v>
      </c>
      <c r="AC23" s="1511">
        <f t="shared" si="5"/>
        <v>1</v>
      </c>
    </row>
    <row r="24" spans="1:29" ht="20.25">
      <c r="A24" s="526"/>
      <c r="B24" s="572"/>
      <c r="C24" s="548" t="s">
        <v>3027</v>
      </c>
      <c r="D24" s="551"/>
      <c r="E24" s="552" t="s">
        <v>3027</v>
      </c>
      <c r="F24" s="549"/>
      <c r="G24" s="552" t="s">
        <v>3027</v>
      </c>
      <c r="H24" s="549"/>
      <c r="I24" s="552" t="s">
        <v>3027</v>
      </c>
      <c r="J24" s="549"/>
      <c r="K24" s="525"/>
      <c r="L24" s="2025"/>
      <c r="M24" s="2015"/>
      <c r="N24" s="2015"/>
      <c r="O24" s="2024"/>
      <c r="P24" s="3486"/>
      <c r="Q24" s="1507"/>
      <c r="R24" s="1508"/>
      <c r="S24" s="1509"/>
      <c r="T24" s="1508"/>
      <c r="U24" s="1509"/>
      <c r="V24" s="1508"/>
      <c r="W24" s="1509"/>
      <c r="X24" s="1502"/>
      <c r="Y24" s="3486"/>
      <c r="Z24" s="1510"/>
      <c r="AA24" s="1511">
        <v>1</v>
      </c>
      <c r="AB24" s="1511">
        <v>1</v>
      </c>
      <c r="AC24" s="1511">
        <v>1</v>
      </c>
    </row>
    <row r="25" spans="1:29" ht="27">
      <c r="A25" s="509"/>
      <c r="B25" s="257" t="s">
        <v>538</v>
      </c>
      <c r="C25" s="567" t="str">
        <f>估价对象房地状况!C19</f>
        <v>较好</v>
      </c>
      <c r="D25" s="557">
        <v>100</v>
      </c>
      <c r="E25" s="558" t="s">
        <v>3032</v>
      </c>
      <c r="F25" s="559">
        <f>SUMIF(98:98,E26,99:99)-SUMIF(98:98,C26,99:99)+100</f>
        <v>100</v>
      </c>
      <c r="G25" s="558" t="s">
        <v>3032</v>
      </c>
      <c r="H25" s="553">
        <f>SUMIF(98:98,G26,99:99)-SUMIF(98:98,C26,99:99)+100</f>
        <v>100</v>
      </c>
      <c r="I25" s="558" t="s">
        <v>3032</v>
      </c>
      <c r="J25" s="553">
        <f>SUMIF(98:98,I26,99:99)-SUMIF(98:98,C26,99:99)+100</f>
        <v>100</v>
      </c>
      <c r="K25" s="529">
        <v>2</v>
      </c>
      <c r="L25" s="2025"/>
      <c r="M25" s="2015"/>
      <c r="N25" s="2015"/>
      <c r="O25" s="2024"/>
      <c r="P25" s="3486"/>
      <c r="Q25" s="1507" t="str">
        <f t="shared" ref="Q25:Q39" si="8">B25</f>
        <v>区域土地利用方向</v>
      </c>
      <c r="R25" s="1508" t="s">
        <v>8</v>
      </c>
      <c r="S25" s="1509">
        <f>F25</f>
        <v>100</v>
      </c>
      <c r="T25" s="1508" t="s">
        <v>8</v>
      </c>
      <c r="U25" s="1509">
        <f>H25</f>
        <v>100</v>
      </c>
      <c r="V25" s="1508" t="s">
        <v>8</v>
      </c>
      <c r="W25" s="1509">
        <f>J25</f>
        <v>100</v>
      </c>
      <c r="X25" s="1502"/>
      <c r="Y25" s="3486"/>
      <c r="Z25" s="1510" t="str">
        <f>Q25</f>
        <v>区域土地利用方向</v>
      </c>
      <c r="AA25" s="1511">
        <f t="shared" si="3"/>
        <v>1</v>
      </c>
      <c r="AB25" s="1511">
        <f t="shared" si="4"/>
        <v>1</v>
      </c>
      <c r="AC25" s="1511">
        <f t="shared" si="5"/>
        <v>1</v>
      </c>
    </row>
    <row r="26" spans="1:29" ht="20.25">
      <c r="A26" s="509"/>
      <c r="B26" s="994"/>
      <c r="C26" s="548" t="s">
        <v>3032</v>
      </c>
      <c r="D26" s="551"/>
      <c r="E26" s="552" t="s">
        <v>3032</v>
      </c>
      <c r="F26" s="549"/>
      <c r="G26" s="552" t="s">
        <v>3032</v>
      </c>
      <c r="H26" s="549"/>
      <c r="I26" s="552" t="s">
        <v>3032</v>
      </c>
      <c r="J26" s="549"/>
      <c r="K26" s="525"/>
      <c r="L26" s="2025"/>
      <c r="M26" s="2015"/>
      <c r="N26" s="2015"/>
      <c r="O26" s="2024"/>
      <c r="P26" s="3486"/>
      <c r="Q26" s="1507"/>
      <c r="R26" s="1508"/>
      <c r="S26" s="1509"/>
      <c r="T26" s="1508"/>
      <c r="U26" s="1509"/>
      <c r="V26" s="1508"/>
      <c r="W26" s="1509"/>
      <c r="X26" s="1502"/>
      <c r="Y26" s="3486"/>
      <c r="Z26" s="1510"/>
      <c r="AA26" s="1511"/>
      <c r="AB26" s="1511"/>
      <c r="AC26" s="1511"/>
    </row>
    <row r="27" spans="1:29" ht="27">
      <c r="A27" s="509"/>
      <c r="B27" s="572" t="s">
        <v>539</v>
      </c>
      <c r="C27" s="555" t="str">
        <f>估价对象房地状况!C20</f>
        <v>较好</v>
      </c>
      <c r="D27" s="557">
        <v>100</v>
      </c>
      <c r="E27" s="558" t="s">
        <v>3032</v>
      </c>
      <c r="F27" s="553">
        <f>SUMIF(100:100,E28,101:101)-SUMIF(100:100,C28,101:101)+100</f>
        <v>100</v>
      </c>
      <c r="G27" s="558" t="s">
        <v>3032</v>
      </c>
      <c r="H27" s="553">
        <f>SUMIF(100:100,G28,101:101)-SUMIF(100:100,C28,101:101)+100</f>
        <v>100</v>
      </c>
      <c r="I27" s="558" t="s">
        <v>3032</v>
      </c>
      <c r="J27" s="553">
        <f>SUMIF(100:100,I28,101:101)-SUMIF(100:100,C28,101:101)+100</f>
        <v>100</v>
      </c>
      <c r="K27" s="529">
        <v>2</v>
      </c>
      <c r="L27" s="2025"/>
      <c r="M27" s="2015"/>
      <c r="N27" s="2015"/>
      <c r="O27" s="2024"/>
      <c r="P27" s="3486"/>
      <c r="Q27" s="1507" t="str">
        <f t="shared" si="8"/>
        <v>自然及人文环境状况</v>
      </c>
      <c r="R27" s="1508" t="s">
        <v>8</v>
      </c>
      <c r="S27" s="1509">
        <f>F27</f>
        <v>100</v>
      </c>
      <c r="T27" s="1508" t="s">
        <v>8</v>
      </c>
      <c r="U27" s="1509">
        <f>H27</f>
        <v>100</v>
      </c>
      <c r="V27" s="1508" t="s">
        <v>8</v>
      </c>
      <c r="W27" s="1509">
        <f>J27</f>
        <v>100</v>
      </c>
      <c r="X27" s="1502"/>
      <c r="Y27" s="3486"/>
      <c r="Z27" s="1510" t="str">
        <f>Q27</f>
        <v>自然及人文环境状况</v>
      </c>
      <c r="AA27" s="1511">
        <f t="shared" si="3"/>
        <v>1</v>
      </c>
      <c r="AB27" s="1511">
        <f t="shared" si="4"/>
        <v>1</v>
      </c>
      <c r="AC27" s="1511">
        <f t="shared" si="5"/>
        <v>1</v>
      </c>
    </row>
    <row r="28" spans="1:29" ht="20.25">
      <c r="A28" s="509"/>
      <c r="B28" s="560"/>
      <c r="C28" s="548" t="s">
        <v>3032</v>
      </c>
      <c r="D28" s="551"/>
      <c r="E28" s="570" t="s">
        <v>3032</v>
      </c>
      <c r="F28" s="549"/>
      <c r="G28" s="570" t="s">
        <v>3032</v>
      </c>
      <c r="H28" s="549"/>
      <c r="I28" s="570" t="s">
        <v>3032</v>
      </c>
      <c r="J28" s="549"/>
      <c r="K28" s="525"/>
      <c r="L28" s="2025"/>
      <c r="M28" s="2015"/>
      <c r="N28" s="2015"/>
      <c r="O28" s="2024"/>
      <c r="P28" s="3486"/>
      <c r="Q28" s="1507"/>
      <c r="R28" s="1508"/>
      <c r="S28" s="1509"/>
      <c r="T28" s="1508"/>
      <c r="U28" s="1509"/>
      <c r="V28" s="1508"/>
      <c r="W28" s="1509"/>
      <c r="X28" s="1502"/>
      <c r="Y28" s="3486"/>
      <c r="Z28" s="1510"/>
      <c r="AA28" s="1511">
        <v>1</v>
      </c>
      <c r="AB28" s="1511">
        <v>1</v>
      </c>
      <c r="AC28" s="1511">
        <v>1</v>
      </c>
    </row>
    <row r="29" spans="1:29" s="1203" customFormat="1" ht="20.25">
      <c r="A29" s="571"/>
      <c r="B29" s="2436" t="s">
        <v>2529</v>
      </c>
      <c r="C29" s="567" t="str">
        <f>估价对象房地状况!C21</f>
        <v>较差</v>
      </c>
      <c r="D29" s="557">
        <v>100</v>
      </c>
      <c r="E29" s="558" t="s">
        <v>3025</v>
      </c>
      <c r="F29" s="553">
        <f>SUMIF(102:102,E30,103:103)-SUMIF(102:102,C30,103:103)+100</f>
        <v>100</v>
      </c>
      <c r="G29" s="558" t="s">
        <v>3025</v>
      </c>
      <c r="H29" s="553">
        <f>SUMIF(102:102,G30,103:103)-SUMIF(102:102,C30,103:103)+100</f>
        <v>100</v>
      </c>
      <c r="I29" s="558" t="s">
        <v>3025</v>
      </c>
      <c r="J29" s="553">
        <f>SUMIF(102:102,I30,103:103)-SUMIF(102:102,C30,103:103)+100</f>
        <v>100</v>
      </c>
      <c r="K29" s="529">
        <v>2</v>
      </c>
      <c r="L29" s="2018"/>
      <c r="M29" s="2015"/>
      <c r="N29" s="2015"/>
      <c r="O29" s="2020"/>
      <c r="P29" s="3486"/>
      <c r="Q29" s="1134" t="str">
        <f t="shared" si="8"/>
        <v>公共配套设施</v>
      </c>
      <c r="R29" s="1503" t="s">
        <v>8</v>
      </c>
      <c r="S29" s="1504">
        <f>F29</f>
        <v>100</v>
      </c>
      <c r="T29" s="1503" t="s">
        <v>8</v>
      </c>
      <c r="U29" s="1504">
        <f>H29</f>
        <v>100</v>
      </c>
      <c r="V29" s="1503" t="s">
        <v>8</v>
      </c>
      <c r="W29" s="1504">
        <f>J29</f>
        <v>100</v>
      </c>
      <c r="X29" s="1505"/>
      <c r="Y29" s="3486"/>
      <c r="Z29" s="1133" t="str">
        <f>Q29</f>
        <v>公共配套设施</v>
      </c>
      <c r="AA29" s="1511">
        <f>D29/F29</f>
        <v>1</v>
      </c>
      <c r="AB29" s="1511">
        <f>D29/H29</f>
        <v>1</v>
      </c>
      <c r="AC29" s="1511">
        <f>D29/J29</f>
        <v>1</v>
      </c>
    </row>
    <row r="30" spans="1:29" s="1203" customFormat="1" ht="20.25">
      <c r="A30" s="571"/>
      <c r="B30" s="560"/>
      <c r="C30" s="573" t="s">
        <v>3025</v>
      </c>
      <c r="D30" s="551"/>
      <c r="E30" s="570" t="s">
        <v>3025</v>
      </c>
      <c r="F30" s="549"/>
      <c r="G30" s="570" t="s">
        <v>3025</v>
      </c>
      <c r="H30" s="549"/>
      <c r="I30" s="570" t="s">
        <v>3025</v>
      </c>
      <c r="J30" s="549"/>
      <c r="K30" s="525"/>
      <c r="L30" s="2018"/>
      <c r="M30" s="2015"/>
      <c r="N30" s="2015"/>
      <c r="O30" s="2020"/>
      <c r="P30" s="3486"/>
      <c r="Q30" s="1134"/>
      <c r="R30" s="1503"/>
      <c r="S30" s="1504"/>
      <c r="T30" s="1503"/>
      <c r="U30" s="1504"/>
      <c r="V30" s="1503"/>
      <c r="W30" s="1504"/>
      <c r="X30" s="1505"/>
      <c r="Y30" s="3486"/>
      <c r="Z30" s="1133"/>
      <c r="AA30" s="1511">
        <v>1</v>
      </c>
      <c r="AB30" s="1511">
        <v>1</v>
      </c>
      <c r="AC30" s="1511">
        <v>1</v>
      </c>
    </row>
    <row r="31" spans="1:29" s="1203" customFormat="1" ht="20.25">
      <c r="A31" s="571"/>
      <c r="B31" s="2436" t="s">
        <v>2530</v>
      </c>
      <c r="C31" s="567" t="str">
        <f>估价对象房地状况!C22</f>
        <v>七通</v>
      </c>
      <c r="D31" s="557">
        <v>100</v>
      </c>
      <c r="E31" s="558" t="s">
        <v>3030</v>
      </c>
      <c r="F31" s="553">
        <f>SUMIF(104:104,E32,105:105)-SUMIF(104:104,C32,105:105)+100</f>
        <v>100</v>
      </c>
      <c r="G31" s="558" t="s">
        <v>3030</v>
      </c>
      <c r="H31" s="553">
        <f>SUMIF(104:104,G32,105:105)-SUMIF(104:104,C32,105:105)+100</f>
        <v>100</v>
      </c>
      <c r="I31" s="558" t="s">
        <v>3030</v>
      </c>
      <c r="J31" s="553">
        <f>SUMIF(104:104,I32,105:105)-SUMIF(104:104,C32,105:105)+100</f>
        <v>100</v>
      </c>
      <c r="K31" s="529">
        <v>1</v>
      </c>
      <c r="L31" s="2018"/>
      <c r="M31" s="2015"/>
      <c r="N31" s="2015"/>
      <c r="O31" s="2020"/>
      <c r="P31" s="3486"/>
      <c r="Q31" s="2429" t="str">
        <f t="shared" ref="Q31" si="9">B31</f>
        <v>基础设施水平</v>
      </c>
      <c r="R31" s="1503" t="s">
        <v>8</v>
      </c>
      <c r="S31" s="1504">
        <f>F31</f>
        <v>100</v>
      </c>
      <c r="T31" s="1503" t="s">
        <v>8</v>
      </c>
      <c r="U31" s="1504">
        <f>H31</f>
        <v>100</v>
      </c>
      <c r="V31" s="1503" t="s">
        <v>8</v>
      </c>
      <c r="W31" s="1504">
        <f>J31</f>
        <v>100</v>
      </c>
      <c r="X31" s="1505"/>
      <c r="Y31" s="3486"/>
      <c r="Z31" s="2428" t="str">
        <f>Q31</f>
        <v>基础设施水平</v>
      </c>
      <c r="AA31" s="1511">
        <f>D31/F31</f>
        <v>1</v>
      </c>
      <c r="AB31" s="1511">
        <f>D31/H31</f>
        <v>1</v>
      </c>
      <c r="AC31" s="1511">
        <f>D31/J31</f>
        <v>1</v>
      </c>
    </row>
    <row r="32" spans="1:29" s="1203" customFormat="1" ht="21" thickBot="1">
      <c r="A32" s="571"/>
      <c r="B32" s="560"/>
      <c r="C32" s="573" t="s">
        <v>3030</v>
      </c>
      <c r="D32" s="551"/>
      <c r="E32" s="2437" t="s">
        <v>3030</v>
      </c>
      <c r="F32" s="549"/>
      <c r="G32" s="2437" t="s">
        <v>3030</v>
      </c>
      <c r="H32" s="549"/>
      <c r="I32" s="2437" t="s">
        <v>3030</v>
      </c>
      <c r="J32" s="549"/>
      <c r="K32" s="525"/>
      <c r="L32" s="2018"/>
      <c r="M32" s="2015"/>
      <c r="N32" s="2015"/>
      <c r="O32" s="2020"/>
      <c r="P32" s="3486"/>
      <c r="Q32" s="2429"/>
      <c r="R32" s="1503"/>
      <c r="S32" s="1504"/>
      <c r="T32" s="1503"/>
      <c r="U32" s="1504"/>
      <c r="V32" s="1503"/>
      <c r="W32" s="1504"/>
      <c r="X32" s="1505"/>
      <c r="Y32" s="3486"/>
      <c r="Z32" s="2428"/>
      <c r="AA32" s="1511">
        <v>1</v>
      </c>
      <c r="AB32" s="1511">
        <v>1</v>
      </c>
      <c r="AC32" s="1511">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86"/>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86"/>
      <c r="Z33" s="1510" t="str">
        <f t="shared" ref="Z33:Z47" si="13">Q33</f>
        <v>临街状况</v>
      </c>
      <c r="AA33" s="1511">
        <f t="shared" si="3"/>
        <v>1</v>
      </c>
      <c r="AB33" s="1511">
        <f t="shared" si="4"/>
        <v>1</v>
      </c>
      <c r="AC33" s="1511">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86"/>
      <c r="Q34" s="1507" t="str">
        <f t="shared" si="8"/>
        <v>毗邻道路的类型与等级</v>
      </c>
      <c r="R34" s="1508" t="s">
        <v>8</v>
      </c>
      <c r="S34" s="1509">
        <f t="shared" si="10"/>
        <v>100</v>
      </c>
      <c r="T34" s="1508" t="s">
        <v>8</v>
      </c>
      <c r="U34" s="1509">
        <f t="shared" si="11"/>
        <v>100</v>
      </c>
      <c r="V34" s="1508" t="s">
        <v>8</v>
      </c>
      <c r="W34" s="1509">
        <f t="shared" si="12"/>
        <v>100</v>
      </c>
      <c r="X34" s="1502"/>
      <c r="Y34" s="3486"/>
      <c r="Z34" s="1510" t="str">
        <f t="shared" si="13"/>
        <v>毗邻道路的类型与等级</v>
      </c>
      <c r="AA34" s="1511">
        <f t="shared" si="3"/>
        <v>1</v>
      </c>
      <c r="AB34" s="1511">
        <f t="shared" si="4"/>
        <v>1</v>
      </c>
      <c r="AC34" s="1511">
        <f t="shared" si="5"/>
        <v>1</v>
      </c>
    </row>
    <row r="35" spans="1:29" ht="20.25" hidden="1">
      <c r="A35" s="526"/>
      <c r="B35" s="560"/>
      <c r="C35" s="548"/>
      <c r="D35" s="551"/>
      <c r="E35" s="570"/>
      <c r="F35" s="549"/>
      <c r="G35" s="548"/>
      <c r="H35" s="549"/>
      <c r="I35" s="570"/>
      <c r="J35" s="549"/>
      <c r="K35" s="575"/>
      <c r="L35" s="2025"/>
      <c r="M35" s="2015"/>
      <c r="N35" s="2015"/>
      <c r="O35" s="2024"/>
      <c r="P35" s="3486"/>
      <c r="Q35" s="1507"/>
      <c r="R35" s="1508"/>
      <c r="S35" s="1509"/>
      <c r="T35" s="1508"/>
      <c r="U35" s="1509"/>
      <c r="V35" s="1508"/>
      <c r="W35" s="1509"/>
      <c r="X35" s="1502"/>
      <c r="Y35" s="3486"/>
      <c r="Z35" s="1510"/>
      <c r="AA35" s="1511">
        <v>1</v>
      </c>
      <c r="AB35" s="1511">
        <v>1</v>
      </c>
      <c r="AC35" s="1511">
        <v>1</v>
      </c>
    </row>
    <row r="36" spans="1:29" ht="21" hidden="1" thickBot="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86"/>
      <c r="Q36" s="1507" t="str">
        <f t="shared" si="8"/>
        <v>土地级别</v>
      </c>
      <c r="R36" s="1508" t="s">
        <v>8</v>
      </c>
      <c r="S36" s="1509">
        <f t="shared" si="10"/>
        <v>100</v>
      </c>
      <c r="T36" s="1508" t="s">
        <v>8</v>
      </c>
      <c r="U36" s="1509">
        <f t="shared" si="11"/>
        <v>100</v>
      </c>
      <c r="V36" s="1508" t="s">
        <v>8</v>
      </c>
      <c r="W36" s="1509">
        <f t="shared" si="12"/>
        <v>100</v>
      </c>
      <c r="X36" s="1502"/>
      <c r="Y36" s="3486"/>
      <c r="Z36" s="1510" t="str">
        <f t="shared" si="13"/>
        <v>土地级别</v>
      </c>
      <c r="AA36" s="1511">
        <f t="shared" si="3"/>
        <v>1</v>
      </c>
      <c r="AB36" s="1511">
        <f t="shared" si="4"/>
        <v>1</v>
      </c>
      <c r="AC36" s="1511">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86"/>
      <c r="Q37" s="1507">
        <f t="shared" si="8"/>
        <v>111</v>
      </c>
      <c r="R37" s="1508" t="s">
        <v>8</v>
      </c>
      <c r="S37" s="1509">
        <f t="shared" si="10"/>
        <v>100</v>
      </c>
      <c r="T37" s="1508" t="s">
        <v>8</v>
      </c>
      <c r="U37" s="1509">
        <f t="shared" si="11"/>
        <v>100</v>
      </c>
      <c r="V37" s="1508" t="s">
        <v>8</v>
      </c>
      <c r="W37" s="1509">
        <f t="shared" si="12"/>
        <v>100</v>
      </c>
      <c r="X37" s="1502"/>
      <c r="Y37" s="3486"/>
      <c r="Z37" s="1510">
        <f t="shared" si="13"/>
        <v>111</v>
      </c>
      <c r="AA37" s="1511">
        <f t="shared" si="3"/>
        <v>1</v>
      </c>
      <c r="AB37" s="1511">
        <f t="shared" si="4"/>
        <v>1</v>
      </c>
      <c r="AC37" s="1511">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87" t="s">
        <v>544</v>
      </c>
      <c r="Q38" s="1507">
        <f t="shared" si="8"/>
        <v>111</v>
      </c>
      <c r="R38" s="1508" t="s">
        <v>8</v>
      </c>
      <c r="S38" s="1509">
        <f t="shared" si="10"/>
        <v>100</v>
      </c>
      <c r="T38" s="1508" t="s">
        <v>8</v>
      </c>
      <c r="U38" s="1509">
        <f t="shared" si="11"/>
        <v>100</v>
      </c>
      <c r="V38" s="1508" t="s">
        <v>8</v>
      </c>
      <c r="W38" s="1509">
        <f t="shared" si="12"/>
        <v>100</v>
      </c>
      <c r="X38" s="1502"/>
      <c r="Y38" s="3488" t="s">
        <v>544</v>
      </c>
      <c r="Z38" s="1510">
        <f t="shared" si="13"/>
        <v>111</v>
      </c>
      <c r="AA38" s="1511">
        <f t="shared" si="3"/>
        <v>1</v>
      </c>
      <c r="AB38" s="1511">
        <f t="shared" si="4"/>
        <v>1</v>
      </c>
      <c r="AC38" s="1511">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88"/>
      <c r="Q39" s="1507">
        <f t="shared" si="8"/>
        <v>111</v>
      </c>
      <c r="R39" s="1512" t="s">
        <v>8</v>
      </c>
      <c r="S39" s="1513">
        <f t="shared" si="10"/>
        <v>100</v>
      </c>
      <c r="T39" s="1512" t="s">
        <v>8</v>
      </c>
      <c r="U39" s="1513">
        <f t="shared" si="11"/>
        <v>100</v>
      </c>
      <c r="V39" s="1512" t="s">
        <v>8</v>
      </c>
      <c r="W39" s="1513">
        <f t="shared" si="12"/>
        <v>100</v>
      </c>
      <c r="X39" s="1514"/>
      <c r="Y39" s="3488"/>
      <c r="Z39" s="1515">
        <f t="shared" si="13"/>
        <v>111</v>
      </c>
      <c r="AA39" s="1511">
        <f t="shared" si="3"/>
        <v>1</v>
      </c>
      <c r="AB39" s="1511">
        <f t="shared" si="4"/>
        <v>1</v>
      </c>
      <c r="AC39" s="1511">
        <f t="shared" si="5"/>
        <v>1</v>
      </c>
    </row>
    <row r="40" spans="1:29" ht="20.25">
      <c r="A40" s="2625" t="s">
        <v>2735</v>
      </c>
      <c r="B40" s="589" t="s">
        <v>546</v>
      </c>
      <c r="C40" s="590">
        <f>'数据-汇总表'!D3</f>
        <v>248287.39</v>
      </c>
      <c r="D40" s="591">
        <v>100</v>
      </c>
      <c r="E40" s="590">
        <f>土地案例!F2</f>
        <v>2263</v>
      </c>
      <c r="F40" s="591">
        <f>LOOKUP(E40,119:119,120:120)-LOOKUP(C40,119:119,120:120)+100</f>
        <v>100</v>
      </c>
      <c r="G40" s="590">
        <f>土地案例!F3</f>
        <v>52188</v>
      </c>
      <c r="H40" s="591">
        <f>LOOKUP(G40,119:119,120:120)-LOOKUP(C40,119:119,120:120)+100</f>
        <v>102</v>
      </c>
      <c r="I40" s="592">
        <f>土地案例!F4</f>
        <v>39441</v>
      </c>
      <c r="J40" s="591">
        <f>LOOKUP(I40,119:119,120:120)-LOOKUP(C40,119:119,120:120)+100</f>
        <v>101</v>
      </c>
      <c r="K40" s="575"/>
      <c r="L40" s="2025"/>
      <c r="M40" s="2015"/>
      <c r="N40" s="2015"/>
      <c r="O40" s="2024"/>
      <c r="P40" s="3488"/>
      <c r="Q40" s="1507" t="str">
        <f>B40</f>
        <v>宗地面积</v>
      </c>
      <c r="R40" s="1508" t="s">
        <v>8</v>
      </c>
      <c r="S40" s="1509">
        <f t="shared" si="10"/>
        <v>100</v>
      </c>
      <c r="T40" s="1508" t="s">
        <v>8</v>
      </c>
      <c r="U40" s="1509">
        <f t="shared" si="11"/>
        <v>102</v>
      </c>
      <c r="V40" s="1508" t="s">
        <v>8</v>
      </c>
      <c r="W40" s="1509">
        <f t="shared" si="12"/>
        <v>101</v>
      </c>
      <c r="X40" s="1502"/>
      <c r="Y40" s="3488"/>
      <c r="Z40" s="1510" t="str">
        <f t="shared" si="13"/>
        <v>宗地面积</v>
      </c>
      <c r="AA40" s="1511">
        <f t="shared" si="3"/>
        <v>1</v>
      </c>
      <c r="AB40" s="1511">
        <f t="shared" si="4"/>
        <v>0.98039215686274506</v>
      </c>
      <c r="AC40" s="1511">
        <f t="shared" si="5"/>
        <v>0.99009900990099009</v>
      </c>
    </row>
    <row r="41" spans="1:29" ht="20.25">
      <c r="A41" s="588"/>
      <c r="B41" s="521" t="s">
        <v>547</v>
      </c>
      <c r="C41" s="593" t="s">
        <v>3148</v>
      </c>
      <c r="D41" s="534">
        <v>100</v>
      </c>
      <c r="E41" s="593" t="s">
        <v>3148</v>
      </c>
      <c r="F41" s="534">
        <f>SUMIF(121:121,E41,122:122)-SUMIF(121:121,C41,122:122)+100</f>
        <v>100</v>
      </c>
      <c r="G41" s="593" t="s">
        <v>3148</v>
      </c>
      <c r="H41" s="534">
        <f>SUMIF(121:121,G41,122:122)-SUMIF(121:121,C41,122:122)+100</f>
        <v>100</v>
      </c>
      <c r="I41" s="593" t="s">
        <v>3148</v>
      </c>
      <c r="J41" s="534">
        <f>SUMIF(121:121,I41,122:122)-SUMIF(121:121,C41,122:122)+100</f>
        <v>100</v>
      </c>
      <c r="K41" s="578">
        <v>2</v>
      </c>
      <c r="L41" s="2025"/>
      <c r="M41" s="2015"/>
      <c r="N41" s="2015"/>
      <c r="O41" s="2024"/>
      <c r="P41" s="3488"/>
      <c r="Q41" s="1507" t="str">
        <f t="shared" ref="Q41:Q47" si="14">B41</f>
        <v>宗地形状</v>
      </c>
      <c r="R41" s="1508" t="s">
        <v>8</v>
      </c>
      <c r="S41" s="1509">
        <f t="shared" si="10"/>
        <v>100</v>
      </c>
      <c r="T41" s="1508" t="s">
        <v>8</v>
      </c>
      <c r="U41" s="1509">
        <f t="shared" si="11"/>
        <v>100</v>
      </c>
      <c r="V41" s="1508" t="s">
        <v>8</v>
      </c>
      <c r="W41" s="1509">
        <f t="shared" si="12"/>
        <v>100</v>
      </c>
      <c r="X41" s="1502"/>
      <c r="Y41" s="3488"/>
      <c r="Z41" s="1510" t="str">
        <f t="shared" si="13"/>
        <v>宗地形状</v>
      </c>
      <c r="AA41" s="1511">
        <f t="shared" si="3"/>
        <v>1</v>
      </c>
      <c r="AB41" s="1511">
        <f t="shared" si="4"/>
        <v>1</v>
      </c>
      <c r="AC41" s="1511">
        <f t="shared" si="5"/>
        <v>1</v>
      </c>
    </row>
    <row r="42" spans="1:29" ht="20.25">
      <c r="A42" s="588"/>
      <c r="B42" s="521" t="s">
        <v>548</v>
      </c>
      <c r="C42" s="593" t="s">
        <v>3154</v>
      </c>
      <c r="D42" s="534">
        <v>100</v>
      </c>
      <c r="E42" s="593" t="s">
        <v>3154</v>
      </c>
      <c r="F42" s="534">
        <f>SUMIF(123:123,E42,124:124)-SUMIF(123:123,C42,124:124)+100</f>
        <v>100</v>
      </c>
      <c r="G42" s="593" t="s">
        <v>3154</v>
      </c>
      <c r="H42" s="534">
        <f>SUMIF(123:123,G42,124:124)-SUMIF(123:123,C42,124:124)+100</f>
        <v>100</v>
      </c>
      <c r="I42" s="593" t="s">
        <v>3154</v>
      </c>
      <c r="J42" s="534">
        <f>SUMIF(123:123,I42,124:124)-SUMIF(123:123,C42,124:124)+100</f>
        <v>100</v>
      </c>
      <c r="K42" s="578">
        <v>2</v>
      </c>
      <c r="L42" s="2025"/>
      <c r="M42" s="2015"/>
      <c r="N42" s="2015"/>
      <c r="O42" s="2024"/>
      <c r="P42" s="3488"/>
      <c r="Q42" s="1507" t="str">
        <f t="shared" si="14"/>
        <v>临街宽度及深度</v>
      </c>
      <c r="R42" s="1508" t="s">
        <v>8</v>
      </c>
      <c r="S42" s="1509">
        <f t="shared" si="10"/>
        <v>100</v>
      </c>
      <c r="T42" s="1508" t="s">
        <v>8</v>
      </c>
      <c r="U42" s="1509">
        <f t="shared" si="11"/>
        <v>100</v>
      </c>
      <c r="V42" s="1508" t="s">
        <v>8</v>
      </c>
      <c r="W42" s="1509">
        <f t="shared" si="12"/>
        <v>100</v>
      </c>
      <c r="X42" s="1502"/>
      <c r="Y42" s="3488"/>
      <c r="Z42" s="1510" t="str">
        <f t="shared" si="13"/>
        <v>临街宽度及深度</v>
      </c>
      <c r="AA42" s="1511">
        <f t="shared" si="3"/>
        <v>1</v>
      </c>
      <c r="AB42" s="1511">
        <f t="shared" si="4"/>
        <v>1</v>
      </c>
      <c r="AC42" s="1511">
        <f t="shared" si="5"/>
        <v>1</v>
      </c>
    </row>
    <row r="43" spans="1:29" s="1203" customFormat="1" ht="20.25">
      <c r="A43" s="594"/>
      <c r="B43" s="1810" t="s">
        <v>2409</v>
      </c>
      <c r="C43" s="595" t="s">
        <v>3159</v>
      </c>
      <c r="D43" s="253">
        <v>100</v>
      </c>
      <c r="E43" s="595" t="s">
        <v>3159</v>
      </c>
      <c r="F43" s="534">
        <f>SUMIF(125:125,E43,126:126)-SUMIF(125:125,C43,126:126)+100</f>
        <v>100</v>
      </c>
      <c r="G43" s="595" t="s">
        <v>3159</v>
      </c>
      <c r="H43" s="534">
        <f>SUMIF(125:125,G43,126:126)-SUMIF(125:125,C43,126:126)+100</f>
        <v>100</v>
      </c>
      <c r="I43" s="595" t="s">
        <v>3159</v>
      </c>
      <c r="J43" s="534">
        <f>SUMIF(125:125,I43,126:126)-SUMIF(125:125,C43,126:126)+100</f>
        <v>100</v>
      </c>
      <c r="K43" s="578">
        <v>1</v>
      </c>
      <c r="L43" s="2018"/>
      <c r="M43" s="2015"/>
      <c r="N43" s="2015"/>
      <c r="O43" s="2020"/>
      <c r="P43" s="3488"/>
      <c r="Q43" s="1507" t="str">
        <f t="shared" si="14"/>
        <v>宗地开发程度</v>
      </c>
      <c r="R43" s="1503" t="s">
        <v>8</v>
      </c>
      <c r="S43" s="1504">
        <f t="shared" si="10"/>
        <v>100</v>
      </c>
      <c r="T43" s="1503" t="s">
        <v>8</v>
      </c>
      <c r="U43" s="1504">
        <f t="shared" si="11"/>
        <v>100</v>
      </c>
      <c r="V43" s="1503" t="s">
        <v>8</v>
      </c>
      <c r="W43" s="1504">
        <f t="shared" si="12"/>
        <v>100</v>
      </c>
      <c r="X43" s="1505"/>
      <c r="Y43" s="3488"/>
      <c r="Z43" s="1133" t="str">
        <f t="shared" si="13"/>
        <v>宗地开发程度</v>
      </c>
      <c r="AA43" s="1506">
        <f t="shared" si="3"/>
        <v>1</v>
      </c>
      <c r="AB43" s="1506">
        <f t="shared" si="4"/>
        <v>1</v>
      </c>
      <c r="AC43" s="1506">
        <f t="shared" si="5"/>
        <v>1</v>
      </c>
    </row>
    <row r="44" spans="1:29" ht="21" thickBot="1">
      <c r="A44" s="588"/>
      <c r="B44" s="521" t="s">
        <v>549</v>
      </c>
      <c r="C44" s="593" t="s">
        <v>3032</v>
      </c>
      <c r="D44" s="534">
        <v>100</v>
      </c>
      <c r="E44" s="593" t="s">
        <v>3032</v>
      </c>
      <c r="F44" s="534">
        <f>SUMIF(127:127,E44,128:128)-SUMIF(127:127,C44,128:128)+100</f>
        <v>100</v>
      </c>
      <c r="G44" s="593" t="s">
        <v>3032</v>
      </c>
      <c r="H44" s="534">
        <f>SUMIF(127:127,G44,128:128)-SUMIF(127:127,C44,128:128)+100</f>
        <v>100</v>
      </c>
      <c r="I44" s="593" t="s">
        <v>3032</v>
      </c>
      <c r="J44" s="534">
        <f>SUMIF(127:127,I44,128:128)-SUMIF(127:127,C44,128:128)+100</f>
        <v>100</v>
      </c>
      <c r="K44" s="578">
        <v>2</v>
      </c>
      <c r="L44" s="2025"/>
      <c r="M44" s="2015"/>
      <c r="N44" s="2015"/>
      <c r="O44" s="2024"/>
      <c r="P44" s="3488" t="s">
        <v>544</v>
      </c>
      <c r="Q44" s="1507" t="str">
        <f t="shared" si="14"/>
        <v>工程地质条件</v>
      </c>
      <c r="R44" s="1508" t="s">
        <v>8</v>
      </c>
      <c r="S44" s="1509">
        <f t="shared" si="10"/>
        <v>100</v>
      </c>
      <c r="T44" s="1508" t="s">
        <v>8</v>
      </c>
      <c r="U44" s="1509">
        <f t="shared" si="11"/>
        <v>100</v>
      </c>
      <c r="V44" s="1508" t="s">
        <v>8</v>
      </c>
      <c r="W44" s="1509">
        <f t="shared" si="12"/>
        <v>100</v>
      </c>
      <c r="X44" s="1502"/>
      <c r="Y44" s="3488" t="s">
        <v>544</v>
      </c>
      <c r="Z44" s="1510" t="str">
        <f t="shared" si="13"/>
        <v>工程地质条件</v>
      </c>
      <c r="AA44" s="1511">
        <f t="shared" si="3"/>
        <v>1</v>
      </c>
      <c r="AB44" s="1511">
        <f t="shared" si="4"/>
        <v>1</v>
      </c>
      <c r="AC44" s="1511">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88"/>
      <c r="Q45" s="1507">
        <f t="shared" si="14"/>
        <v>111</v>
      </c>
      <c r="R45" s="1508" t="s">
        <v>8</v>
      </c>
      <c r="S45" s="1509">
        <f t="shared" si="10"/>
        <v>100</v>
      </c>
      <c r="T45" s="1508" t="s">
        <v>8</v>
      </c>
      <c r="U45" s="1509">
        <f t="shared" si="11"/>
        <v>100</v>
      </c>
      <c r="V45" s="1508" t="s">
        <v>8</v>
      </c>
      <c r="W45" s="1509">
        <f t="shared" si="12"/>
        <v>100</v>
      </c>
      <c r="X45" s="1502"/>
      <c r="Y45" s="3488"/>
      <c r="Z45" s="1510">
        <f t="shared" si="13"/>
        <v>111</v>
      </c>
      <c r="AA45" s="1511">
        <f t="shared" si="3"/>
        <v>1</v>
      </c>
      <c r="AB45" s="1511">
        <f t="shared" si="4"/>
        <v>1</v>
      </c>
      <c r="AC45" s="1511">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88"/>
      <c r="Q46" s="1507">
        <f t="shared" si="14"/>
        <v>111</v>
      </c>
      <c r="R46" s="1508" t="s">
        <v>8</v>
      </c>
      <c r="S46" s="1509">
        <f t="shared" si="10"/>
        <v>100</v>
      </c>
      <c r="T46" s="1508" t="s">
        <v>8</v>
      </c>
      <c r="U46" s="1509">
        <f t="shared" si="11"/>
        <v>100</v>
      </c>
      <c r="V46" s="1508" t="s">
        <v>8</v>
      </c>
      <c r="W46" s="1509">
        <f t="shared" si="12"/>
        <v>100</v>
      </c>
      <c r="X46" s="1502"/>
      <c r="Y46" s="3488"/>
      <c r="Z46" s="1510">
        <f t="shared" si="13"/>
        <v>111</v>
      </c>
      <c r="AA46" s="1511">
        <f t="shared" si="3"/>
        <v>1</v>
      </c>
      <c r="AB46" s="1511">
        <f t="shared" si="4"/>
        <v>1</v>
      </c>
      <c r="AC46" s="1511">
        <f t="shared" si="5"/>
        <v>1</v>
      </c>
    </row>
    <row r="47" spans="1:29" s="129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88"/>
      <c r="Q47" s="1507">
        <f t="shared" si="14"/>
        <v>111</v>
      </c>
      <c r="R47" s="1512" t="s">
        <v>8</v>
      </c>
      <c r="S47" s="1513">
        <f t="shared" si="10"/>
        <v>100</v>
      </c>
      <c r="T47" s="1512" t="s">
        <v>8</v>
      </c>
      <c r="U47" s="1513">
        <f t="shared" si="11"/>
        <v>100</v>
      </c>
      <c r="V47" s="1512" t="s">
        <v>8</v>
      </c>
      <c r="W47" s="1513">
        <f t="shared" si="12"/>
        <v>100</v>
      </c>
      <c r="X47" s="1514"/>
      <c r="Y47" s="3488"/>
      <c r="Z47" s="1515">
        <f t="shared" si="13"/>
        <v>111</v>
      </c>
      <c r="AA47" s="1511">
        <f t="shared" si="3"/>
        <v>1</v>
      </c>
      <c r="AB47" s="1511">
        <f t="shared" si="4"/>
        <v>1</v>
      </c>
      <c r="AC47" s="1511">
        <f t="shared" si="5"/>
        <v>1</v>
      </c>
    </row>
    <row r="48" spans="1:29" ht="20.25">
      <c r="A48" s="601" t="s">
        <v>550</v>
      </c>
      <c r="B48" s="602" t="s">
        <v>3160</v>
      </c>
      <c r="C48" s="603" t="s">
        <v>1</v>
      </c>
      <c r="D48" s="604"/>
      <c r="E48" s="605">
        <f>ROUND(土地案例!M2,0)</f>
        <v>829</v>
      </c>
      <c r="F48" s="606"/>
      <c r="G48" s="607">
        <f>ROUND(土地案例!M3,0)</f>
        <v>825</v>
      </c>
      <c r="H48" s="608"/>
      <c r="I48" s="605">
        <f>ROUND(土地案例!M4,0)</f>
        <v>825</v>
      </c>
      <c r="J48" s="608"/>
      <c r="K48" s="1294"/>
      <c r="L48" s="2027"/>
      <c r="M48" s="2015"/>
      <c r="N48" s="2015"/>
      <c r="O48" s="2028"/>
      <c r="P48" s="3483" t="str">
        <f>A48</f>
        <v>成交单价</v>
      </c>
      <c r="Q48" s="3483"/>
      <c r="R48" s="3497">
        <f>E48</f>
        <v>829</v>
      </c>
      <c r="S48" s="3497"/>
      <c r="T48" s="3497">
        <f>G48</f>
        <v>825</v>
      </c>
      <c r="U48" s="3497"/>
      <c r="V48" s="3497">
        <f>I48</f>
        <v>825</v>
      </c>
      <c r="W48" s="3497"/>
      <c r="X48" s="1497"/>
      <c r="Y48" s="1516"/>
      <c r="Z48" s="1497"/>
      <c r="AA48" s="1497"/>
      <c r="AB48" s="1497"/>
      <c r="AC48" s="1497"/>
    </row>
    <row r="49" spans="1:29" ht="21" thickBot="1">
      <c r="A49" s="609" t="s">
        <v>2673</v>
      </c>
      <c r="B49" s="610"/>
      <c r="C49" s="611">
        <f>R50</f>
        <v>799</v>
      </c>
      <c r="D49" s="3015" t="s">
        <v>2966</v>
      </c>
      <c r="E49" s="611">
        <f>R49</f>
        <v>809</v>
      </c>
      <c r="F49" s="3016"/>
      <c r="G49" s="612">
        <f>T49</f>
        <v>790</v>
      </c>
      <c r="H49" s="3016"/>
      <c r="I49" s="611">
        <f>V49</f>
        <v>797</v>
      </c>
      <c r="J49" s="3016"/>
      <c r="K49" s="3017">
        <f>F49+H49+J49</f>
        <v>0</v>
      </c>
      <c r="L49" s="2027"/>
      <c r="M49" s="2015"/>
      <c r="N49" s="2015"/>
      <c r="O49" s="2028"/>
      <c r="P49" s="3483" t="str">
        <f>A49</f>
        <v>比较价格（元/平方米）</v>
      </c>
      <c r="Q49" s="3483"/>
      <c r="R49" s="3508">
        <f>ROUND(PRODUCT(R48,AA9:AA47),0)</f>
        <v>809</v>
      </c>
      <c r="S49" s="3508"/>
      <c r="T49" s="3508">
        <f>ROUND(PRODUCT(T48,AB9:AB47),0)</f>
        <v>790</v>
      </c>
      <c r="U49" s="3508"/>
      <c r="V49" s="3508">
        <f>ROUND(PRODUCT(V48,AC9:AC47),0)</f>
        <v>797</v>
      </c>
      <c r="W49" s="3508"/>
      <c r="X49" s="1497"/>
      <c r="Y49" s="1497"/>
      <c r="Z49" s="1497"/>
      <c r="AA49" s="1497"/>
      <c r="AB49" s="1497"/>
      <c r="AC49" s="1497"/>
    </row>
    <row r="50" spans="1:29" ht="21" thickBot="1">
      <c r="A50" s="613" t="s">
        <v>2898</v>
      </c>
      <c r="B50" s="614"/>
      <c r="C50" s="615">
        <f>R50</f>
        <v>799</v>
      </c>
      <c r="D50" s="615"/>
      <c r="E50" s="615"/>
      <c r="F50" s="615"/>
      <c r="G50" s="615"/>
      <c r="H50" s="615"/>
      <c r="I50" s="615"/>
      <c r="J50" s="615"/>
      <c r="K50" s="1295"/>
      <c r="L50" s="2027"/>
      <c r="M50" s="2015"/>
      <c r="N50" s="2015"/>
      <c r="O50" s="2028"/>
      <c r="P50" s="3505" t="str">
        <f>A50</f>
        <v>估价对象XX用房的比较价格（楼面单价，元/平方米）</v>
      </c>
      <c r="Q50" s="3506"/>
      <c r="R50" s="3507">
        <f>ROUND(IF(D49="简单平均",AVERAGE(R49:W49),R49*F49+T49*H49+V49*J49),0)</f>
        <v>799</v>
      </c>
      <c r="S50" s="3507"/>
      <c r="T50" s="3507"/>
      <c r="U50" s="3507"/>
      <c r="V50" s="3507"/>
      <c r="W50" s="3507"/>
      <c r="X50" s="1497"/>
      <c r="Y50" s="1497"/>
      <c r="Z50" s="1497"/>
      <c r="AA50" s="1497"/>
      <c r="AB50" s="1497"/>
      <c r="AC50" s="1497"/>
    </row>
    <row r="51" spans="1:29" ht="20.25">
      <c r="A51" s="3213"/>
      <c r="B51" s="3213"/>
      <c r="C51" s="3213"/>
      <c r="D51" s="3213"/>
      <c r="E51" s="3213"/>
      <c r="F51" s="3213"/>
      <c r="G51" s="3215"/>
      <c r="H51" s="3213"/>
      <c r="I51" s="3213"/>
      <c r="J51" s="3213"/>
      <c r="K51" s="3216"/>
      <c r="L51" s="2032"/>
      <c r="M51" s="2015"/>
      <c r="N51" s="2015"/>
      <c r="O51" s="2028"/>
      <c r="P51" s="2028"/>
      <c r="Q51" s="2028"/>
      <c r="R51" s="2028"/>
      <c r="S51" s="2028"/>
      <c r="T51" s="2028"/>
      <c r="U51" s="2028"/>
      <c r="V51" s="2028"/>
      <c r="W51" s="2028"/>
      <c r="X51" s="2028"/>
      <c r="Y51" s="2028"/>
      <c r="Z51" s="2028"/>
      <c r="AA51" s="2028"/>
      <c r="AB51" s="2028"/>
      <c r="AC51" s="2028"/>
    </row>
    <row r="52" spans="1:29" ht="20.25">
      <c r="A52" s="3213"/>
      <c r="B52" s="3213"/>
      <c r="C52" s="3213"/>
      <c r="D52" s="3213"/>
      <c r="E52" s="3213"/>
      <c r="F52" s="3213"/>
      <c r="G52" s="3213"/>
      <c r="H52" s="3213"/>
      <c r="I52" s="3213"/>
      <c r="J52" s="3213"/>
      <c r="K52" s="3216"/>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3"/>
      <c r="B53" s="3213"/>
      <c r="C53" s="616" t="s">
        <v>551</v>
      </c>
      <c r="D53" s="617"/>
      <c r="E53" s="618">
        <f>IF(E48&lt;E49,E49/E48-1,E48/E49-1)</f>
        <v>2.4721878862793645E-2</v>
      </c>
      <c r="F53" s="619" t="str">
        <f>IF(OR(E53&gt;=0.3,E53&lt;=-0.3),"超过30%","")</f>
        <v/>
      </c>
      <c r="G53" s="618">
        <f>IF(G48&lt;G49,G49/G48-1,G48/G49-1)</f>
        <v>4.4303797468354444E-2</v>
      </c>
      <c r="H53" s="619" t="str">
        <f>IF(OR(G53&gt;=0.3,G53&lt;=-0.3),"超过30%","")</f>
        <v/>
      </c>
      <c r="I53" s="618">
        <f>IF(I48&lt;I49,I49/I48-1,I48/I49-1)</f>
        <v>3.5131744040150625E-2</v>
      </c>
      <c r="J53" s="619" t="str">
        <f>IF(OR(I53&gt;=0.3,I53&lt;=-0.3),"超过30%","")</f>
        <v/>
      </c>
      <c r="K53" s="3216"/>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3"/>
      <c r="B54" s="3213"/>
      <c r="C54" s="616" t="s">
        <v>552</v>
      </c>
      <c r="D54" s="620"/>
      <c r="E54" s="618">
        <f>IF(E49&lt;G49,G49/E49-1,E49/G49-1)</f>
        <v>2.4050632911392311E-2</v>
      </c>
      <c r="F54" s="619" t="str">
        <f>IF(OR(E54&gt;=0.2,E54&lt;=-0.2),"超过20%","")</f>
        <v/>
      </c>
      <c r="G54" s="618">
        <f>IF(G49&lt;I49,I49/G49-1,G49/I49-1)</f>
        <v>8.8607594936709333E-3</v>
      </c>
      <c r="H54" s="619" t="str">
        <f>IF(OR(G54&gt;=0.2,G54&lt;=-0.2),"超过20%","")</f>
        <v/>
      </c>
      <c r="I54" s="618">
        <f>IF(I49&lt;E49,E49/I49-1,I49/E49-1)</f>
        <v>1.5056461731492998E-2</v>
      </c>
      <c r="J54" s="619" t="str">
        <f>IF(OR(I54&gt;=0.2,I54&lt;=-0.2),"超过20%","")</f>
        <v/>
      </c>
      <c r="K54" s="3216"/>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4"/>
      <c r="B55" s="3214"/>
      <c r="C55" s="616" t="s">
        <v>553</v>
      </c>
      <c r="D55" s="620"/>
      <c r="E55" s="618">
        <f>IF(E48&lt;G48,G48/E48-1,E48/G48-1)</f>
        <v>4.8484848484848797E-3</v>
      </c>
      <c r="F55" s="619" t="str">
        <f>IF(OR(E55&gt;=0.3,E55&lt;=-0.3),"超过30%","")</f>
        <v/>
      </c>
      <c r="G55" s="618">
        <f>IF(G48&lt;I48,I48/G48-1,G48/I48-1)</f>
        <v>0</v>
      </c>
      <c r="H55" s="619" t="str">
        <f>IF(OR(G55&gt;=0.3,G55&lt;=-0.3),"超过30%","")</f>
        <v/>
      </c>
      <c r="I55" s="618">
        <f>IF(I48&lt;E48,E48/I48-1,I48/E48-1)</f>
        <v>4.8484848484848797E-3</v>
      </c>
      <c r="J55" s="619" t="str">
        <f>IF(OR(I55&gt;=0.3,I55&lt;=-0.3),"超过30%","")</f>
        <v/>
      </c>
      <c r="K55" s="3217"/>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7"/>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67" t="s">
        <v>2269</v>
      </c>
      <c r="H57" s="3468"/>
      <c r="I57" s="1494" t="s">
        <v>1713</v>
      </c>
      <c r="J57" s="1494" t="str">
        <f>项目基本情况!F41</f>
        <v>山东省</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799</v>
      </c>
      <c r="C58" s="627">
        <v>1</v>
      </c>
      <c r="D58" s="2109">
        <v>1</v>
      </c>
      <c r="E58" s="627">
        <f>'数据-汇总表'!E8+'数据-汇总表'!E9</f>
        <v>494091.91</v>
      </c>
      <c r="F58" s="628">
        <f t="shared" ref="F58:F67" si="15">ROUND(B58*E58/10000,0)</f>
        <v>39478</v>
      </c>
      <c r="G58" s="3469"/>
      <c r="H58" s="3470"/>
      <c r="I58" s="1495">
        <v>1</v>
      </c>
      <c r="J58" s="1495">
        <v>1</v>
      </c>
      <c r="K58" s="3218"/>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471" t="s">
        <v>2270</v>
      </c>
      <c r="H59" s="1863">
        <f>项目基本情况!B43</f>
        <v>0</v>
      </c>
      <c r="I59" s="1495">
        <f>SUMIF(修正!$A$45:$A$56,H59,修正!B45:B56)</f>
        <v>0</v>
      </c>
      <c r="J59" s="1496"/>
      <c r="K59" s="3218"/>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471"/>
      <c r="H60" s="1863">
        <f>项目基本情况!B43</f>
        <v>0</v>
      </c>
      <c r="I60" s="1495">
        <f>SUMIF(修正!$A$45:$A$56,H60,修正!C45:C56)</f>
        <v>0</v>
      </c>
      <c r="J60" s="1496"/>
      <c r="K60" s="3218"/>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471"/>
      <c r="H61" s="1863">
        <f>项目基本情况!B43</f>
        <v>0</v>
      </c>
      <c r="I61" s="1495">
        <f>SUMIF(修正!$A$45:$A$56,H61,修正!D45:D56)</f>
        <v>0</v>
      </c>
      <c r="J61" s="1496"/>
      <c r="K61" s="3218"/>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471"/>
      <c r="H62" s="1863">
        <f>项目基本情况!B43</f>
        <v>0</v>
      </c>
      <c r="I62" s="1495">
        <f>SUMIF(修正!$A$45:$A$56,H62,修正!E45:E56)</f>
        <v>0</v>
      </c>
      <c r="J62" s="1496"/>
      <c r="K62" s="3218"/>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18"/>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8"/>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8"/>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8"/>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8"/>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494091.91</v>
      </c>
      <c r="F68" s="636">
        <f>IF(B48="楼面地价",SUM(F58:F67),ROUND(C50*E68/10000,0))</f>
        <v>39478</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2021-3-1</v>
      </c>
      <c r="D70" s="2517">
        <f>EDATE(C70,-3)</f>
        <v>44166</v>
      </c>
      <c r="E70" s="2517">
        <f t="shared" ref="E70:N70" si="18">EDATE(D70,-3)</f>
        <v>44075</v>
      </c>
      <c r="F70" s="2517">
        <f t="shared" si="18"/>
        <v>43983</v>
      </c>
      <c r="G70" s="2517">
        <f t="shared" si="18"/>
        <v>43891</v>
      </c>
      <c r="H70" s="2517">
        <f t="shared" si="18"/>
        <v>43800</v>
      </c>
      <c r="I70" s="2517">
        <f t="shared" si="18"/>
        <v>43709</v>
      </c>
      <c r="J70" s="2517">
        <f t="shared" si="18"/>
        <v>43617</v>
      </c>
      <c r="K70" s="2517">
        <f t="shared" si="18"/>
        <v>43525</v>
      </c>
      <c r="L70" s="2517">
        <f t="shared" si="18"/>
        <v>43435</v>
      </c>
      <c r="M70" s="2517">
        <f t="shared" si="18"/>
        <v>43344</v>
      </c>
      <c r="N70" s="2517">
        <f t="shared" si="18"/>
        <v>43252</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2021-1</v>
      </c>
      <c r="D72" s="2519" t="str">
        <f>YEAR(D70)&amp;"-"&amp;ROUNDUP(MONTH(D70)/3,0)</f>
        <v>2020-4</v>
      </c>
      <c r="E72" s="2519" t="str">
        <f t="shared" ref="E72:N72" si="19">YEAR(E70)&amp;"-"&amp;ROUNDUP(MONTH(E70)/3,0)</f>
        <v>2020-3</v>
      </c>
      <c r="F72" s="2519" t="str">
        <f t="shared" si="19"/>
        <v>2020-2</v>
      </c>
      <c r="G72" s="2519" t="str">
        <f t="shared" si="19"/>
        <v>2020-1</v>
      </c>
      <c r="H72" s="2519" t="str">
        <f t="shared" si="19"/>
        <v>2019-4</v>
      </c>
      <c r="I72" s="2519" t="str">
        <f t="shared" si="19"/>
        <v>2019-3</v>
      </c>
      <c r="J72" s="2519" t="str">
        <f t="shared" si="19"/>
        <v>2019-2</v>
      </c>
      <c r="K72" s="2519" t="str">
        <f t="shared" si="19"/>
        <v>2019-1</v>
      </c>
      <c r="L72" s="2519" t="str">
        <f t="shared" si="19"/>
        <v>2018-4</v>
      </c>
      <c r="M72" s="2519" t="str">
        <f t="shared" si="19"/>
        <v>2018-3</v>
      </c>
      <c r="N72" s="2519" t="str">
        <f t="shared" si="19"/>
        <v>2018-2</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北京市平均增长率1.68%</v>
      </c>
      <c r="C73" s="883">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3285" t="s">
        <v>3146</v>
      </c>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v>100</v>
      </c>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v>
      </c>
      <c r="I81" s="674" t="str">
        <f t="shared" si="21"/>
        <v>（含）-</v>
      </c>
      <c r="J81" s="674" t="str">
        <f t="shared" si="21"/>
        <v>（含）-</v>
      </c>
      <c r="K81" s="674" t="str">
        <f t="shared" si="21"/>
        <v>（含）-</v>
      </c>
      <c r="L81" s="674" t="str">
        <f t="shared" si="21"/>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98</v>
      </c>
      <c r="E91" s="671">
        <f>D91-$K17</f>
        <v>96</v>
      </c>
      <c r="F91" s="671">
        <f>E91-$K17</f>
        <v>94</v>
      </c>
      <c r="G91" s="671">
        <f>F91-$K17</f>
        <v>92</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99</v>
      </c>
      <c r="E105" s="671">
        <f>D105-$K31</f>
        <v>98</v>
      </c>
      <c r="F105" s="671">
        <f>E105-$K31</f>
        <v>97</v>
      </c>
      <c r="G105" s="671">
        <f>F105-$K31</f>
        <v>96</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6">C119&amp;"(含)"&amp;"-"&amp;D119</f>
        <v>0(含)-20000</v>
      </c>
      <c r="D118" s="696" t="str">
        <f t="shared" si="26"/>
        <v>20000(含)-50000</v>
      </c>
      <c r="E118" s="696" t="str">
        <f t="shared" si="26"/>
        <v>50000(含)-100000</v>
      </c>
      <c r="F118" s="696" t="str">
        <f t="shared" si="26"/>
        <v>100000(含)-200000</v>
      </c>
      <c r="G118" s="696" t="str">
        <f t="shared" si="26"/>
        <v>200000(含)-500000</v>
      </c>
      <c r="H118" s="696" t="str">
        <f t="shared" si="26"/>
        <v>500000(含)-</v>
      </c>
      <c r="I118" s="696" t="str">
        <f t="shared" si="26"/>
        <v>(含)-</v>
      </c>
      <c r="J118" s="2781" t="str">
        <f t="shared" si="26"/>
        <v>(含)-</v>
      </c>
      <c r="K118" s="2781" t="str">
        <f t="shared" si="26"/>
        <v>(含)-</v>
      </c>
      <c r="L118" s="2782" t="str">
        <f t="shared" si="26"/>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20000</v>
      </c>
      <c r="E119" s="722">
        <v>50000</v>
      </c>
      <c r="F119" s="722">
        <v>100000</v>
      </c>
      <c r="G119" s="722">
        <v>200000</v>
      </c>
      <c r="H119" s="722">
        <v>500000</v>
      </c>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98</v>
      </c>
      <c r="D120" s="718">
        <v>99</v>
      </c>
      <c r="E120" s="718">
        <v>100</v>
      </c>
      <c r="F120" s="718">
        <v>99</v>
      </c>
      <c r="G120" s="718">
        <v>98</v>
      </c>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3286" t="s">
        <v>3147</v>
      </c>
      <c r="D121" s="3286" t="s">
        <v>3149</v>
      </c>
      <c r="E121" s="3286" t="s">
        <v>3150</v>
      </c>
      <c r="F121" s="3286" t="s">
        <v>3151</v>
      </c>
      <c r="G121" s="3286" t="s">
        <v>3152</v>
      </c>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7">C122-$K41</f>
        <v>98</v>
      </c>
      <c r="E122" s="671">
        <f t="shared" si="27"/>
        <v>96</v>
      </c>
      <c r="F122" s="671">
        <f t="shared" si="27"/>
        <v>94</v>
      </c>
      <c r="G122" s="671">
        <f t="shared" si="27"/>
        <v>92</v>
      </c>
      <c r="H122" s="671">
        <f t="shared" si="27"/>
        <v>90</v>
      </c>
      <c r="I122" s="671">
        <f t="shared" si="27"/>
        <v>88</v>
      </c>
      <c r="J122" s="671">
        <f t="shared" si="27"/>
        <v>86</v>
      </c>
      <c r="K122" s="671">
        <f t="shared" si="27"/>
        <v>84</v>
      </c>
      <c r="L122" s="671">
        <f t="shared" si="27"/>
        <v>82</v>
      </c>
      <c r="M122" s="672">
        <f t="shared" si="27"/>
        <v>80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3287" t="s">
        <v>3153</v>
      </c>
      <c r="D123" s="3287" t="s">
        <v>3155</v>
      </c>
      <c r="E123" s="3287" t="s">
        <v>3150</v>
      </c>
      <c r="F123" s="3286" t="s">
        <v>3156</v>
      </c>
      <c r="G123" s="3286" t="s">
        <v>3157</v>
      </c>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8">C124-$K42</f>
        <v>98</v>
      </c>
      <c r="E124" s="671">
        <f t="shared" si="28"/>
        <v>96</v>
      </c>
      <c r="F124" s="671">
        <f t="shared" si="28"/>
        <v>94</v>
      </c>
      <c r="G124" s="671">
        <f t="shared" si="28"/>
        <v>92</v>
      </c>
      <c r="H124" s="671">
        <f t="shared" si="28"/>
        <v>90</v>
      </c>
      <c r="I124" s="671">
        <f t="shared" si="28"/>
        <v>88</v>
      </c>
      <c r="J124" s="671">
        <f t="shared" si="28"/>
        <v>86</v>
      </c>
      <c r="K124" s="671">
        <f t="shared" si="28"/>
        <v>84</v>
      </c>
      <c r="L124" s="671">
        <f t="shared" si="28"/>
        <v>82</v>
      </c>
      <c r="M124" s="672">
        <f t="shared" si="28"/>
        <v>80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t="str">
        <f>C104</f>
        <v>七通</v>
      </c>
      <c r="D125" s="1327" t="str">
        <f t="shared" ref="D125:G125" si="29">D104</f>
        <v>六通</v>
      </c>
      <c r="E125" s="1327" t="str">
        <f t="shared" si="29"/>
        <v>五通</v>
      </c>
      <c r="F125" s="1327" t="str">
        <f t="shared" si="29"/>
        <v>四通</v>
      </c>
      <c r="G125" s="1327" t="str">
        <f t="shared" si="29"/>
        <v>三通</v>
      </c>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99</v>
      </c>
      <c r="E126" s="671">
        <f t="shared" ref="E126:M126" si="30">D126-$K43</f>
        <v>98</v>
      </c>
      <c r="F126" s="671">
        <f t="shared" si="30"/>
        <v>97</v>
      </c>
      <c r="G126" s="671">
        <f t="shared" si="30"/>
        <v>96</v>
      </c>
      <c r="H126" s="671">
        <f t="shared" si="30"/>
        <v>95</v>
      </c>
      <c r="I126" s="671">
        <f t="shared" si="30"/>
        <v>94</v>
      </c>
      <c r="J126" s="671">
        <f t="shared" si="30"/>
        <v>93</v>
      </c>
      <c r="K126" s="671">
        <f t="shared" si="30"/>
        <v>92</v>
      </c>
      <c r="L126" s="671">
        <f t="shared" si="30"/>
        <v>91</v>
      </c>
      <c r="M126" s="672">
        <f t="shared" si="30"/>
        <v>90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t="str">
        <f>C102</f>
        <v>好</v>
      </c>
      <c r="D127" s="680" t="str">
        <f t="shared" ref="D127:G127" si="31">D102</f>
        <v>较好</v>
      </c>
      <c r="E127" s="680" t="str">
        <f t="shared" si="31"/>
        <v>一般</v>
      </c>
      <c r="F127" s="680" t="str">
        <f t="shared" si="31"/>
        <v>较差</v>
      </c>
      <c r="G127" s="680" t="str">
        <f t="shared" si="31"/>
        <v>差</v>
      </c>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L45" sqref="L45"/>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111933</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2265</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4508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301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329609</v>
      </c>
      <c r="D6" s="2547"/>
      <c r="E6" s="2547"/>
      <c r="F6" s="2547"/>
      <c r="G6" s="2547"/>
      <c r="H6" s="2547"/>
      <c r="I6" s="2547"/>
      <c r="J6" s="2547"/>
      <c r="K6" s="2549"/>
      <c r="L6" s="3196"/>
      <c r="M6" s="3196"/>
      <c r="N6" s="3196"/>
      <c r="O6" s="3196"/>
      <c r="P6" s="3196"/>
      <c r="Q6" s="3196"/>
      <c r="R6" s="3196"/>
      <c r="S6" s="3196"/>
      <c r="T6" s="3196"/>
      <c r="U6" s="3196"/>
      <c r="V6" s="3196"/>
      <c r="W6" s="3196"/>
      <c r="X6" s="3196"/>
      <c r="Y6" s="3196"/>
      <c r="Z6" s="3196"/>
    </row>
    <row r="7" spans="1:31" s="1996" customFormat="1" ht="15">
      <c r="A7" s="2550" t="s">
        <v>464</v>
      </c>
      <c r="B7" s="2551" t="s">
        <v>465</v>
      </c>
      <c r="C7" s="430" t="s">
        <v>914</v>
      </c>
      <c r="D7" s="430"/>
      <c r="E7" s="430"/>
      <c r="F7" s="430"/>
      <c r="G7" s="430"/>
      <c r="H7" s="430"/>
      <c r="I7" s="430"/>
      <c r="J7" s="430"/>
      <c r="K7" s="431"/>
      <c r="AA7" s="1995"/>
      <c r="AB7" s="1995"/>
      <c r="AC7" s="1995"/>
      <c r="AD7" s="1995"/>
      <c r="AE7" s="1995"/>
    </row>
    <row r="8" spans="1:31" s="1998" customFormat="1" ht="13.5" customHeight="1">
      <c r="A8" s="793" t="s">
        <v>1836</v>
      </c>
      <c r="B8" s="259" t="s">
        <v>466</v>
      </c>
      <c r="C8" s="2552">
        <f>'不动产比较法-住宅'!B3</f>
        <v>6671</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494091.91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'不动产比较法-住宅'!B2</f>
        <v>329609</v>
      </c>
      <c r="D10" s="2743"/>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6"/>
      <c r="M11" s="3196"/>
      <c r="N11" s="3196"/>
      <c r="O11" s="3196"/>
      <c r="P11" s="3196"/>
      <c r="Q11" s="3196"/>
      <c r="R11" s="3196"/>
      <c r="S11" s="3196"/>
      <c r="T11" s="3196"/>
      <c r="U11" s="3196"/>
      <c r="V11" s="3196"/>
      <c r="W11" s="3196"/>
      <c r="X11" s="3196"/>
      <c r="Y11" s="3196"/>
      <c r="Z11" s="3196"/>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7"/>
      <c r="M12" s="3197"/>
      <c r="N12" s="3197"/>
      <c r="O12" s="3197"/>
      <c r="P12" s="3197"/>
      <c r="Q12" s="3197"/>
      <c r="R12" s="3197"/>
      <c r="S12" s="3197"/>
      <c r="T12" s="3197"/>
      <c r="U12" s="3197"/>
      <c r="V12" s="3197"/>
      <c r="W12" s="3197"/>
      <c r="X12" s="3197"/>
      <c r="Y12" s="3197"/>
      <c r="Z12" s="3197"/>
    </row>
    <row r="13" spans="1:31" s="1999" customFormat="1" ht="13.5" customHeight="1">
      <c r="A13" s="2560" t="s">
        <v>1839</v>
      </c>
      <c r="B13" s="2561" t="s">
        <v>473</v>
      </c>
      <c r="C13" s="444">
        <f ca="1">IF(B1="",'数据-取费表'!P16,INDIRECT("'数据-取费表'!p"&amp;$K$1)+INDIRECT("'数据-取费表'!t"&amp;$K$1))</f>
        <v>98818</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1976</v>
      </c>
      <c r="D14" s="2562"/>
      <c r="E14" s="2563"/>
      <c r="F14" s="2565">
        <f>'数据-取费表'!B33</f>
        <v>0.02</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1976</v>
      </c>
      <c r="D15" s="2562"/>
      <c r="E15" s="2563"/>
      <c r="F15" s="2565">
        <f>'数据-取费表'!B34</f>
        <v>0.02</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9882</v>
      </c>
      <c r="D16" s="2562">
        <f ca="1">IF(B1="",'数据-汇总表'!E3,INDIRECT("'数据-取费表'!K"&amp;$K$1)+INDIRECT("'数据-取费表'!S"&amp;$K$1))</f>
        <v>494091.91</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1482</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114134</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7411</v>
      </c>
      <c r="D19" s="2572">
        <f ca="1">D16</f>
        <v>494091.91</v>
      </c>
      <c r="E19" s="2526">
        <f>'数据-取费表'!B32</f>
        <v>150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10722</v>
      </c>
      <c r="D20" s="2572"/>
      <c r="E20" s="2526"/>
      <c r="F20" s="2573"/>
      <c r="G20" s="2777"/>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10722</v>
      </c>
      <c r="D21" s="2562">
        <f ca="1">IF(B1="",'数据-汇总表'!E5,IF(INDIRECT("'数据-取费表'!c"&amp;$K$1)="住宅",INDIRECT("'数据-取费表'!k"&amp;$K$1),0))</f>
        <v>494091.91</v>
      </c>
      <c r="E21" s="53">
        <f>'数据-取费表'!B27</f>
        <v>217</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0</v>
      </c>
      <c r="E22" s="53">
        <f>'数据-取费表'!B28</f>
        <v>217</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2813</v>
      </c>
      <c r="C23" s="2570">
        <f ca="1">ROUND((C18+C19+C20)*F23,0)</f>
        <v>3968</v>
      </c>
      <c r="D23" s="462"/>
      <c r="E23" s="462"/>
      <c r="F23" s="2574">
        <f>'数据-取费表'!B37</f>
        <v>0.03</v>
      </c>
      <c r="G23" s="2530" t="s">
        <v>2415</v>
      </c>
      <c r="H23" s="2531"/>
      <c r="I23" s="2531"/>
      <c r="J23" s="2531"/>
      <c r="K23" s="2532"/>
      <c r="L23" s="3198"/>
      <c r="M23" s="3198"/>
      <c r="N23" s="3198"/>
      <c r="O23" s="2000"/>
      <c r="P23" s="2000"/>
      <c r="Q23" s="2000"/>
      <c r="R23" s="2000"/>
      <c r="S23" s="2000"/>
      <c r="T23" s="2000"/>
      <c r="U23" s="2000"/>
      <c r="V23" s="2000"/>
      <c r="W23" s="2000"/>
      <c r="X23" s="2000"/>
      <c r="Y23" s="2000"/>
      <c r="Z23" s="2000"/>
    </row>
    <row r="24" spans="1:26" s="1999" customFormat="1" ht="13.5" customHeight="1">
      <c r="A24" s="2568" t="s">
        <v>1850</v>
      </c>
      <c r="B24" s="2749" t="s">
        <v>2816</v>
      </c>
      <c r="C24" s="2570">
        <f>ROUND(C6*F24,0)</f>
        <v>9888</v>
      </c>
      <c r="D24" s="469"/>
      <c r="E24" s="467"/>
      <c r="F24" s="2574">
        <f>'数据-取费表'!B38</f>
        <v>0.03</v>
      </c>
      <c r="G24" s="2539" t="s">
        <v>493</v>
      </c>
      <c r="H24" s="2533"/>
      <c r="I24" s="2533"/>
      <c r="J24" s="2533"/>
      <c r="K24" s="277"/>
      <c r="L24" s="3198"/>
      <c r="M24" s="3198"/>
      <c r="N24" s="3198"/>
      <c r="O24" s="2000"/>
      <c r="P24" s="2000"/>
      <c r="Q24" s="2000"/>
      <c r="R24" s="2000"/>
      <c r="S24" s="2000"/>
      <c r="T24" s="2000"/>
      <c r="U24" s="2000"/>
      <c r="V24" s="2000"/>
      <c r="W24" s="2000"/>
      <c r="X24" s="2000"/>
      <c r="Y24" s="2000"/>
      <c r="Z24" s="2000"/>
    </row>
    <row r="25" spans="1:26" s="2002" customFormat="1" ht="13.5" customHeight="1">
      <c r="A25" s="2568" t="s">
        <v>1851</v>
      </c>
      <c r="B25" s="2749" t="s">
        <v>2814</v>
      </c>
      <c r="C25" s="461">
        <f>ROUND(F25/(1+'数据-取费表'!C42),4)</f>
        <v>2.9000000000000001E-2</v>
      </c>
      <c r="D25" s="456" t="s">
        <v>2808</v>
      </c>
      <c r="E25" s="463"/>
      <c r="F25" s="2574">
        <f>IF(项目基本情况!B8="出让",0,'数据-取费表'!B48+'数据-取费表'!B49)</f>
        <v>3.0499999999999999E-2</v>
      </c>
      <c r="G25" s="2538" t="s">
        <v>2277</v>
      </c>
      <c r="H25" s="2531"/>
      <c r="I25" s="2531"/>
      <c r="J25" s="2531"/>
      <c r="K25" s="2532"/>
      <c r="L25" s="3199"/>
      <c r="M25" s="3199"/>
      <c r="N25" s="3199"/>
      <c r="O25" s="3199"/>
      <c r="P25" s="3199"/>
      <c r="Q25" s="3199"/>
      <c r="R25" s="3199"/>
      <c r="S25" s="3199"/>
      <c r="T25" s="3199"/>
      <c r="U25" s="3199"/>
      <c r="V25" s="3199"/>
      <c r="W25" s="3199"/>
      <c r="X25" s="3199"/>
      <c r="Y25" s="3199"/>
      <c r="Z25" s="3199"/>
    </row>
    <row r="26" spans="1:26" s="2001" customFormat="1" ht="13.5" customHeight="1">
      <c r="A26" s="2568" t="s">
        <v>1852</v>
      </c>
      <c r="B26" s="2750" t="s">
        <v>2815</v>
      </c>
      <c r="C26" s="2575">
        <f ca="1">C28</f>
        <v>6356</v>
      </c>
      <c r="D26" s="461">
        <f ca="1">C27</f>
        <v>9.1499999999999998E-2</v>
      </c>
      <c r="E26" s="463" t="s">
        <v>489</v>
      </c>
      <c r="F26" s="465">
        <f ca="1">'数据-取费表'!B40</f>
        <v>4.3499999999999997E-2</v>
      </c>
      <c r="G26" s="2425" t="str">
        <f>IF('数据-取费表'!B22&lt;=1,"单利计息。","复利计息。")&amp;"后续开发成本、管理费用及销售费用产生的利息。"</f>
        <v>复利计息。后续开发成本、管理费用及销售费用产生的利息。</v>
      </c>
      <c r="H26" s="2535"/>
      <c r="I26" s="2535"/>
      <c r="J26" s="2535"/>
      <c r="K26" s="2536"/>
      <c r="L26" s="3198"/>
      <c r="M26" s="3198"/>
      <c r="N26" s="3198"/>
      <c r="O26" s="3198"/>
      <c r="P26" s="3198"/>
      <c r="Q26" s="3198"/>
      <c r="R26" s="3198"/>
      <c r="S26" s="3198"/>
      <c r="T26" s="3198"/>
      <c r="U26" s="3198"/>
      <c r="V26" s="3198"/>
      <c r="W26" s="3198"/>
      <c r="X26" s="3198"/>
      <c r="Y26" s="3198"/>
      <c r="Z26" s="3198"/>
    </row>
    <row r="27" spans="1:26" s="2003" customFormat="1" ht="13.5" customHeight="1">
      <c r="A27" s="793" t="s">
        <v>1847</v>
      </c>
      <c r="B27" s="2576" t="s">
        <v>490</v>
      </c>
      <c r="C27" s="2577">
        <f ca="1">ROUND(IF('数据-取费表'!B22&lt;=1,(1+C25)*F26*'数据-取费表'!B24,(1+C25)*(POWER((1+F26),'数据-取费表'!B24)-1)),4)</f>
        <v>9.1499999999999998E-2</v>
      </c>
      <c r="D27" s="466"/>
      <c r="E27" s="467"/>
      <c r="F27" s="468"/>
      <c r="G27" s="2425" t="str">
        <f>IF('数据-取费表'!B22&lt;=1,"（1+取得税费率/(1+5%)）×年利率×建设期","（1+取得税费率）/(1+5%)×((1+年利率)^建设期-1)")</f>
        <v>（1+取得税费率）/(1+5%)×((1+年利率)^建设期-1)</v>
      </c>
      <c r="H27" s="2533"/>
      <c r="I27" s="2533"/>
      <c r="J27" s="2533"/>
      <c r="K27" s="277"/>
      <c r="L27" s="3200"/>
      <c r="M27" s="3200"/>
      <c r="N27" s="3200"/>
      <c r="O27" s="3200"/>
      <c r="P27" s="3200"/>
      <c r="Q27" s="3200"/>
      <c r="R27" s="3200"/>
      <c r="S27" s="3200"/>
      <c r="T27" s="3200"/>
      <c r="U27" s="3200"/>
      <c r="V27" s="3200"/>
      <c r="W27" s="3200"/>
      <c r="X27" s="3200"/>
      <c r="Y27" s="3200"/>
      <c r="Z27" s="3200"/>
    </row>
    <row r="28" spans="1:26" s="2003" customFormat="1" ht="13.5" customHeight="1">
      <c r="A28" s="793" t="s">
        <v>1848</v>
      </c>
      <c r="B28" s="2576" t="s">
        <v>2817</v>
      </c>
      <c r="C28" s="2578">
        <f ca="1">ROUND(IF('数据-取费表'!B22&lt;=1,(C18+C19+C20+C23+C24)*F26*'数据-取费表'!B24/2,(C18+C19+C20+C23+C24)*(POWER((1+F26),'数据-取费表'!B24/2)-1)),0)</f>
        <v>6356</v>
      </c>
      <c r="D28" s="466"/>
      <c r="E28" s="467"/>
      <c r="F28" s="468"/>
      <c r="G28" s="2425" t="str">
        <f>IF('数据-取费表'!B22&lt;=1,"（1）-（4）项×年利率×建设期÷2","（1）-（4）项×((1+年利率)^(建设期÷2)-1)")</f>
        <v>（1）-（4）项×((1+年利率)^(建设期÷2)-1)</v>
      </c>
      <c r="H28" s="2533"/>
      <c r="I28" s="2533"/>
      <c r="J28" s="2533"/>
      <c r="K28" s="277"/>
      <c r="L28" s="3200"/>
      <c r="M28" s="3200"/>
      <c r="N28" s="3200"/>
      <c r="O28" s="3200"/>
      <c r="P28" s="3200"/>
      <c r="Q28" s="3200"/>
      <c r="R28" s="3200"/>
      <c r="S28" s="3200"/>
      <c r="T28" s="3200"/>
      <c r="U28" s="3200"/>
      <c r="V28" s="3200"/>
      <c r="W28" s="3200"/>
      <c r="X28" s="3200"/>
      <c r="Y28" s="3200"/>
      <c r="Z28" s="3200"/>
    </row>
    <row r="29" spans="1:26" s="2003" customFormat="1" ht="13.5" customHeight="1">
      <c r="A29" s="2579" t="s">
        <v>1853</v>
      </c>
      <c r="B29" s="2569" t="s">
        <v>491</v>
      </c>
      <c r="C29" s="2570">
        <f>ROUND(C6*F29/(1+'数据-取费表'!C42),0)</f>
        <v>17736</v>
      </c>
      <c r="D29" s="462"/>
      <c r="E29" s="462"/>
      <c r="F29" s="2751">
        <f>'数据-取费表'!B41</f>
        <v>5.6500000000000002E-2</v>
      </c>
      <c r="G29" s="2539" t="s">
        <v>492</v>
      </c>
      <c r="H29" s="2531"/>
      <c r="I29" s="2531"/>
      <c r="J29" s="2531"/>
      <c r="K29" s="2532"/>
      <c r="L29" s="3200"/>
      <c r="M29" s="3200"/>
      <c r="N29" s="3200"/>
      <c r="O29" s="3200"/>
      <c r="P29" s="3200"/>
      <c r="Q29" s="3200"/>
      <c r="R29" s="3200"/>
      <c r="S29" s="3200"/>
      <c r="T29" s="3200"/>
      <c r="U29" s="3200"/>
      <c r="V29" s="3200"/>
      <c r="W29" s="3200"/>
      <c r="X29" s="3200"/>
      <c r="Y29" s="3200"/>
      <c r="Z29" s="3200"/>
    </row>
    <row r="30" spans="1:26" s="2004" customFormat="1" ht="13.5" customHeight="1">
      <c r="A30" s="1564" t="s">
        <v>1854</v>
      </c>
      <c r="B30" s="2580" t="s">
        <v>494</v>
      </c>
      <c r="C30" s="2575">
        <f ca="1">C31</f>
        <v>170215</v>
      </c>
      <c r="D30" s="471">
        <f ca="1">C32</f>
        <v>0.1205</v>
      </c>
      <c r="E30" s="463" t="s">
        <v>489</v>
      </c>
      <c r="F30" s="465"/>
      <c r="G30" s="2538" t="s">
        <v>2931</v>
      </c>
      <c r="H30" s="2531"/>
      <c r="I30" s="2531"/>
      <c r="J30" s="2531"/>
      <c r="K30" s="2532"/>
      <c r="L30" s="3201"/>
      <c r="M30" s="3201"/>
      <c r="N30" s="3201"/>
      <c r="O30" s="3201"/>
      <c r="P30" s="3201"/>
      <c r="Q30" s="3201"/>
      <c r="R30" s="3201"/>
      <c r="S30" s="3201"/>
      <c r="T30" s="3201"/>
      <c r="U30" s="3201"/>
      <c r="V30" s="3201"/>
      <c r="W30" s="3201"/>
      <c r="X30" s="3201"/>
      <c r="Y30" s="3201"/>
      <c r="Z30" s="3201"/>
    </row>
    <row r="31" spans="1:26" s="2003" customFormat="1" ht="13.5" customHeight="1">
      <c r="A31" s="793" t="s">
        <v>1847</v>
      </c>
      <c r="B31" s="2576"/>
      <c r="C31" s="444">
        <f ca="1">C18+C19+C20+C23+C24+C26+C29</f>
        <v>170215</v>
      </c>
      <c r="D31" s="466"/>
      <c r="E31" s="467"/>
      <c r="F31" s="468"/>
      <c r="G31" s="259"/>
      <c r="H31" s="2533"/>
      <c r="I31" s="2533"/>
      <c r="J31" s="2533"/>
      <c r="K31" s="277"/>
      <c r="L31" s="3200"/>
      <c r="M31" s="3200"/>
      <c r="N31" s="3200"/>
      <c r="O31" s="3200"/>
      <c r="P31" s="3200"/>
      <c r="Q31" s="3200"/>
      <c r="R31" s="3200"/>
      <c r="S31" s="3200"/>
      <c r="T31" s="3200"/>
      <c r="U31" s="3200"/>
      <c r="V31" s="3200"/>
      <c r="W31" s="3200"/>
      <c r="X31" s="3200"/>
      <c r="Y31" s="3200"/>
      <c r="Z31" s="3200"/>
    </row>
    <row r="32" spans="1:26" s="2003" customFormat="1" ht="13.5" customHeight="1">
      <c r="A32" s="793" t="s">
        <v>1848</v>
      </c>
      <c r="B32" s="2576"/>
      <c r="C32" s="53">
        <f ca="1">ROUND(C25+D26,4)</f>
        <v>0.1205</v>
      </c>
      <c r="D32" s="466"/>
      <c r="E32" s="467"/>
      <c r="F32" s="468"/>
      <c r="G32" s="259"/>
      <c r="H32" s="2533"/>
      <c r="I32" s="2533"/>
      <c r="J32" s="2533"/>
      <c r="K32" s="277"/>
      <c r="L32" s="3200"/>
      <c r="M32" s="3200"/>
      <c r="N32" s="3200"/>
      <c r="O32" s="3200"/>
      <c r="P32" s="3200"/>
      <c r="Q32" s="3200"/>
      <c r="R32" s="3200"/>
      <c r="S32" s="3200"/>
      <c r="T32" s="3200"/>
      <c r="U32" s="3200"/>
      <c r="V32" s="3200"/>
      <c r="W32" s="3200"/>
      <c r="X32" s="3200"/>
      <c r="Y32" s="3200"/>
      <c r="Z32" s="3200"/>
    </row>
    <row r="33" spans="1:26" s="2005" customFormat="1" ht="13.5" customHeight="1">
      <c r="A33" s="2748" t="s">
        <v>2812</v>
      </c>
      <c r="B33" s="2746" t="s">
        <v>2810</v>
      </c>
      <c r="C33" s="472">
        <f ca="1">C35</f>
        <v>18996</v>
      </c>
      <c r="D33" s="461">
        <f ca="1">C34</f>
        <v>0.1338</v>
      </c>
      <c r="E33" s="463" t="s">
        <v>489</v>
      </c>
      <c r="F33" s="473">
        <f ca="1">IF(B1="",'数据-取费表'!Q16,INDIRECT("'数据-取费表'!q"&amp;$K$1))</f>
        <v>0.13</v>
      </c>
      <c r="G33" s="2534"/>
      <c r="H33" s="2535"/>
      <c r="I33" s="2535"/>
      <c r="J33" s="2535"/>
      <c r="K33" s="2536"/>
      <c r="L33" s="3202"/>
      <c r="M33" s="3202"/>
      <c r="N33" s="3202"/>
      <c r="O33" s="3202"/>
      <c r="P33" s="3202"/>
      <c r="Q33" s="3202"/>
      <c r="R33" s="3202"/>
      <c r="S33" s="3202"/>
      <c r="T33" s="3202"/>
      <c r="U33" s="3202"/>
      <c r="V33" s="3202"/>
      <c r="W33" s="3202"/>
      <c r="X33" s="3202"/>
      <c r="Y33" s="3202"/>
      <c r="Z33" s="3202"/>
    </row>
    <row r="34" spans="1:26" s="2006" customFormat="1" ht="13.5" customHeight="1">
      <c r="A34" s="369" t="s">
        <v>1847</v>
      </c>
      <c r="B34" s="2581" t="s">
        <v>495</v>
      </c>
      <c r="C34" s="466">
        <f ca="1">ROUND((1+C25)*F33,4)</f>
        <v>0.1338</v>
      </c>
      <c r="D34" s="466"/>
      <c r="E34" s="467"/>
      <c r="F34" s="474"/>
      <c r="G34" s="259" t="s">
        <v>2278</v>
      </c>
      <c r="H34" s="2533"/>
      <c r="I34" s="2533"/>
      <c r="J34" s="2533"/>
      <c r="K34" s="277"/>
      <c r="L34" s="3203"/>
      <c r="M34" s="3203"/>
      <c r="N34" s="3203"/>
      <c r="O34" s="3203"/>
      <c r="P34" s="3203"/>
      <c r="Q34" s="3203"/>
      <c r="R34" s="3203"/>
      <c r="S34" s="3203"/>
      <c r="T34" s="3203"/>
      <c r="U34" s="3203"/>
      <c r="V34" s="3203"/>
      <c r="W34" s="3203"/>
      <c r="X34" s="3203"/>
      <c r="Y34" s="3203"/>
      <c r="Z34" s="3203"/>
    </row>
    <row r="35" spans="1:26" s="2006" customFormat="1" ht="13.5" customHeight="1" thickBot="1">
      <c r="A35" s="1565" t="s">
        <v>1848</v>
      </c>
      <c r="B35" s="2747" t="s">
        <v>2818</v>
      </c>
      <c r="C35" s="1557">
        <f ca="1">ROUND((C18+C19+C20+C23+C24)*F33,0)</f>
        <v>18996</v>
      </c>
      <c r="D35" s="1558"/>
      <c r="E35" s="2582"/>
      <c r="F35" s="1559"/>
      <c r="G35" s="2540"/>
      <c r="H35" s="2541"/>
      <c r="I35" s="2541"/>
      <c r="J35" s="2541"/>
      <c r="K35" s="2542"/>
      <c r="L35" s="3203"/>
      <c r="M35" s="3203"/>
      <c r="N35" s="3203"/>
      <c r="O35" s="3203"/>
      <c r="P35" s="3203"/>
      <c r="Q35" s="3203"/>
      <c r="R35" s="3203"/>
      <c r="S35" s="3203"/>
      <c r="T35" s="3203"/>
      <c r="U35" s="3203"/>
      <c r="V35" s="3203"/>
      <c r="W35" s="3203"/>
      <c r="X35" s="3203"/>
      <c r="Y35" s="3203"/>
      <c r="Z35" s="3203"/>
    </row>
    <row r="36" spans="1:26" s="1968" customFormat="1" ht="13.5" customHeight="1" thickBot="1">
      <c r="A36" s="282" t="s">
        <v>1835</v>
      </c>
      <c r="B36" s="2544"/>
      <c r="C36" s="2583">
        <f ca="1">ROUND((C6-C30-C33)/(1+D30+D33),0)</f>
        <v>111933</v>
      </c>
      <c r="D36" s="2544"/>
      <c r="E36" s="2544"/>
      <c r="F36" s="2544"/>
      <c r="G36" s="2543" t="s">
        <v>2819</v>
      </c>
      <c r="H36" s="2544"/>
      <c r="I36" s="2544"/>
      <c r="J36" s="2544"/>
      <c r="K36" s="2545"/>
      <c r="L36" s="3197"/>
      <c r="M36" s="3197"/>
      <c r="N36" s="3197"/>
      <c r="O36" s="3197"/>
      <c r="P36" s="3197"/>
      <c r="Q36" s="3197"/>
      <c r="R36" s="3197"/>
      <c r="S36" s="3197"/>
      <c r="T36" s="3197"/>
      <c r="U36" s="3197"/>
      <c r="V36" s="3197"/>
      <c r="W36" s="3197"/>
      <c r="X36" s="3197"/>
      <c r="Y36" s="3197"/>
      <c r="Z36" s="3197"/>
    </row>
    <row r="37" spans="1:26" s="1998" customFormat="1">
      <c r="A37" s="3204"/>
      <c r="C37" s="3205"/>
      <c r="E37" s="3204"/>
    </row>
    <row r="38" spans="1:26" s="1998" customFormat="1" ht="12.75" customHeight="1">
      <c r="A38" s="3204"/>
      <c r="C38" s="3205"/>
      <c r="E38" s="3204"/>
    </row>
    <row r="39" spans="1:26" s="1998" customFormat="1">
      <c r="A39" s="3204"/>
      <c r="C39" s="3205"/>
      <c r="E39" s="3204"/>
    </row>
    <row r="40" spans="1:26" s="1998" customFormat="1">
      <c r="A40" s="3204"/>
      <c r="C40" s="3205"/>
      <c r="E40" s="3204"/>
    </row>
    <row r="41" spans="1:26" s="1998" customFormat="1">
      <c r="A41" s="3204"/>
      <c r="C41" s="3205"/>
      <c r="E41" s="3204"/>
    </row>
    <row r="42" spans="1:26" s="1998" customFormat="1">
      <c r="A42" s="3204"/>
      <c r="C42" s="3205"/>
      <c r="E42" s="3204"/>
    </row>
    <row r="43" spans="1:26" s="1998" customFormat="1">
      <c r="A43" s="3204"/>
      <c r="C43" s="3205"/>
      <c r="E43" s="3204"/>
    </row>
    <row r="44" spans="1:26" s="1998" customFormat="1">
      <c r="A44" s="3204"/>
      <c r="C44" s="3205"/>
      <c r="E44" s="3204"/>
    </row>
    <row r="45" spans="1:26" s="1998" customFormat="1">
      <c r="A45" s="3204"/>
      <c r="C45" s="3205"/>
      <c r="E45" s="3204"/>
    </row>
    <row r="46" spans="1:26" s="1998" customFormat="1">
      <c r="A46" s="3204"/>
      <c r="C46" s="3205"/>
      <c r="E46" s="3204"/>
    </row>
    <row r="47" spans="1:26" s="1998" customFormat="1">
      <c r="A47" s="3204"/>
      <c r="C47" s="3205"/>
      <c r="E47" s="3204"/>
    </row>
    <row r="48" spans="1:26" s="1998" customFormat="1">
      <c r="A48" s="3204"/>
      <c r="C48" s="3205"/>
      <c r="E48" s="3204"/>
    </row>
    <row r="49" spans="1:5" s="1998" customFormat="1">
      <c r="A49" s="3204"/>
      <c r="C49" s="3205"/>
      <c r="E49" s="3204"/>
    </row>
    <row r="50" spans="1:5" s="1998" customFormat="1">
      <c r="A50" s="3204"/>
      <c r="C50" s="3205"/>
      <c r="E50" s="3204"/>
    </row>
    <row r="51" spans="1:5" s="1998" customFormat="1">
      <c r="A51" s="3204"/>
      <c r="C51" s="3205"/>
      <c r="E51" s="3204"/>
    </row>
    <row r="52" spans="1:5" s="1998" customFormat="1">
      <c r="A52" s="3204"/>
      <c r="C52" s="3205"/>
      <c r="E52" s="3204"/>
    </row>
    <row r="53" spans="1:5" s="1998" customFormat="1">
      <c r="A53" s="3204"/>
      <c r="C53" s="3205"/>
      <c r="E53" s="3204"/>
    </row>
    <row r="54" spans="1:5" s="1998" customFormat="1">
      <c r="A54" s="3204"/>
      <c r="C54" s="3205"/>
      <c r="E54" s="3204"/>
    </row>
    <row r="55" spans="1:5" s="1998" customFormat="1">
      <c r="A55" s="3204"/>
      <c r="C55" s="3205"/>
      <c r="E55" s="3204"/>
    </row>
    <row r="56" spans="1:5" s="1998" customFormat="1">
      <c r="A56" s="3204"/>
      <c r="C56" s="3205"/>
      <c r="E56" s="3204"/>
    </row>
    <row r="57" spans="1:5" s="1998" customFormat="1">
      <c r="A57" s="3204"/>
      <c r="C57" s="3205"/>
      <c r="E57" s="3204"/>
    </row>
    <row r="58" spans="1:5" s="1998" customFormat="1">
      <c r="A58" s="3204"/>
      <c r="C58" s="3205"/>
      <c r="E58" s="3204"/>
    </row>
    <row r="59" spans="1:5" s="1998" customFormat="1">
      <c r="A59" s="3204"/>
      <c r="C59" s="3205"/>
      <c r="E59" s="3204"/>
    </row>
    <row r="60" spans="1:5" s="1998" customFormat="1">
      <c r="A60" s="3204"/>
      <c r="C60" s="3205"/>
      <c r="E60" s="3204"/>
    </row>
    <row r="61" spans="1:5" s="1998" customFormat="1">
      <c r="A61" s="3204"/>
      <c r="C61" s="3205"/>
      <c r="E61" s="3204"/>
    </row>
    <row r="62" spans="1:5" s="1998" customFormat="1">
      <c r="A62" s="3204"/>
      <c r="C62" s="3205"/>
      <c r="E62" s="3204"/>
    </row>
    <row r="63" spans="1:5" s="1998" customFormat="1">
      <c r="A63" s="3204"/>
      <c r="C63" s="3205"/>
      <c r="E63" s="3204"/>
    </row>
    <row r="64" spans="1:5" s="1998" customFormat="1">
      <c r="A64" s="3204"/>
      <c r="C64" s="3205"/>
      <c r="E64" s="3204"/>
    </row>
    <row r="65" spans="1:5" s="1998" customFormat="1">
      <c r="A65" s="3204"/>
      <c r="C65" s="3205"/>
      <c r="E65" s="3204"/>
    </row>
    <row r="66" spans="1:5" s="1998" customFormat="1">
      <c r="A66" s="3204"/>
      <c r="C66" s="3205"/>
      <c r="E66" s="3204"/>
    </row>
    <row r="67" spans="1:5" s="1998" customFormat="1">
      <c r="A67" s="3204"/>
      <c r="C67" s="3205"/>
      <c r="E67" s="3204"/>
    </row>
    <row r="68" spans="1:5" s="1998" customFormat="1">
      <c r="A68" s="3204"/>
      <c r="C68" s="3205"/>
      <c r="E68" s="3204"/>
    </row>
    <row r="69" spans="1:5" s="1998" customFormat="1">
      <c r="A69" s="3204"/>
      <c r="C69" s="3205"/>
      <c r="E69" s="3204"/>
    </row>
    <row r="70" spans="1:5" s="1998" customFormat="1">
      <c r="A70" s="3204"/>
      <c r="C70" s="3205"/>
      <c r="E70" s="3204"/>
    </row>
    <row r="71" spans="1:5" s="1998" customFormat="1">
      <c r="A71" s="3204"/>
      <c r="C71" s="3205"/>
      <c r="E71" s="3204"/>
    </row>
    <row r="72" spans="1:5" s="1998" customFormat="1">
      <c r="A72" s="3204"/>
      <c r="C72" s="3205"/>
      <c r="E72" s="3204"/>
    </row>
    <row r="73" spans="1:5" s="1998" customFormat="1">
      <c r="A73" s="3204"/>
      <c r="C73" s="3205"/>
      <c r="E73" s="3204"/>
    </row>
    <row r="74" spans="1:5" s="1998" customFormat="1">
      <c r="A74" s="3204"/>
      <c r="C74" s="3205"/>
      <c r="E74" s="3204"/>
    </row>
    <row r="75" spans="1:5" s="1998" customFormat="1">
      <c r="A75" s="3204"/>
      <c r="C75" s="3205"/>
      <c r="E75" s="3204"/>
    </row>
    <row r="76" spans="1:5" s="1998" customFormat="1">
      <c r="A76" s="3204"/>
      <c r="C76" s="3205"/>
      <c r="E76" s="3204"/>
    </row>
    <row r="77" spans="1:5" s="1998" customFormat="1">
      <c r="A77" s="3204"/>
      <c r="C77" s="3205"/>
      <c r="E77" s="3204"/>
    </row>
    <row r="78" spans="1:5" s="1998" customFormat="1">
      <c r="A78" s="3204"/>
      <c r="C78" s="3205"/>
      <c r="E78" s="3204"/>
    </row>
    <row r="79" spans="1:5" s="1998" customFormat="1">
      <c r="A79" s="3204"/>
      <c r="C79" s="3205"/>
      <c r="E79" s="3204"/>
    </row>
    <row r="80" spans="1:5" s="1998" customFormat="1">
      <c r="A80" s="3204"/>
      <c r="C80" s="3205"/>
      <c r="E80" s="3204"/>
    </row>
    <row r="81" spans="1:5" s="1998" customFormat="1">
      <c r="A81" s="3204"/>
      <c r="C81" s="3205"/>
      <c r="E81" s="3204"/>
    </row>
    <row r="82" spans="1:5" s="1998" customFormat="1">
      <c r="A82" s="3204"/>
      <c r="C82" s="3205"/>
      <c r="E82" s="3204"/>
    </row>
    <row r="83" spans="1:5" s="1998" customFormat="1">
      <c r="A83" s="3204"/>
      <c r="C83" s="3205"/>
      <c r="E83" s="3204"/>
    </row>
    <row r="84" spans="1:5" s="1998" customFormat="1">
      <c r="A84" s="3204"/>
      <c r="C84" s="3205"/>
      <c r="E84" s="3204"/>
    </row>
    <row r="85" spans="1:5" s="1998" customFormat="1">
      <c r="A85" s="3204"/>
      <c r="C85" s="3205"/>
      <c r="E85" s="3204"/>
    </row>
    <row r="86" spans="1:5" s="1998" customFormat="1">
      <c r="A86" s="3204"/>
      <c r="C86" s="3205"/>
      <c r="E86" s="3204"/>
    </row>
    <row r="87" spans="1:5" s="1998" customFormat="1">
      <c r="A87" s="3204"/>
      <c r="C87" s="3205"/>
      <c r="E87" s="3204"/>
    </row>
    <row r="88" spans="1:5" s="1998" customFormat="1">
      <c r="A88" s="3204"/>
      <c r="C88" s="3205"/>
      <c r="E88" s="3204"/>
    </row>
    <row r="89" spans="1:5" s="1998" customFormat="1">
      <c r="A89" s="3204"/>
      <c r="C89" s="3205"/>
      <c r="E89" s="3204"/>
    </row>
    <row r="90" spans="1:5" s="1998" customFormat="1">
      <c r="A90" s="3204"/>
      <c r="C90" s="3205"/>
      <c r="E90" s="3204"/>
    </row>
    <row r="91" spans="1:5" s="1998" customFormat="1">
      <c r="A91" s="3204"/>
      <c r="C91" s="3205"/>
      <c r="E91" s="3204"/>
    </row>
    <row r="92" spans="1:5" s="1998" customFormat="1">
      <c r="A92" s="3204"/>
      <c r="C92" s="3205"/>
      <c r="E92" s="3204"/>
    </row>
    <row r="93" spans="1:5" s="1998" customFormat="1">
      <c r="A93" s="3204"/>
      <c r="C93" s="3205"/>
      <c r="E93" s="3204"/>
    </row>
    <row r="94" spans="1:5" s="1998" customFormat="1">
      <c r="A94" s="3204"/>
      <c r="C94" s="3205"/>
      <c r="E94" s="3204"/>
    </row>
    <row r="95" spans="1:5" s="1998" customFormat="1">
      <c r="A95" s="3204"/>
      <c r="C95" s="3205"/>
      <c r="E95" s="3204"/>
    </row>
    <row r="96" spans="1:5" s="1998" customFormat="1">
      <c r="A96" s="3204"/>
      <c r="C96" s="3205"/>
      <c r="E96" s="3204"/>
    </row>
    <row r="97" spans="1:5" s="1998" customFormat="1">
      <c r="A97" s="3204"/>
      <c r="C97" s="3205"/>
      <c r="E97" s="3204"/>
    </row>
    <row r="98" spans="1:5" s="1998" customFormat="1">
      <c r="A98" s="3204"/>
      <c r="C98" s="3205"/>
      <c r="E98" s="3204"/>
    </row>
    <row r="99" spans="1:5" s="1998" customFormat="1">
      <c r="A99" s="3204"/>
      <c r="C99" s="3205"/>
      <c r="E99" s="3204"/>
    </row>
    <row r="100" spans="1:5" s="1998" customFormat="1">
      <c r="A100" s="3204"/>
      <c r="C100" s="3205"/>
      <c r="E100" s="3204"/>
    </row>
    <row r="101" spans="1:5" s="1998" customFormat="1">
      <c r="A101" s="3204"/>
      <c r="C101" s="3205"/>
      <c r="E101" s="3204"/>
    </row>
    <row r="102" spans="1:5" s="1998" customFormat="1">
      <c r="A102" s="3204"/>
      <c r="C102" s="3205"/>
      <c r="E102" s="3204"/>
    </row>
    <row r="103" spans="1:5" s="1998" customFormat="1">
      <c r="A103" s="3204"/>
      <c r="C103" s="3205"/>
      <c r="E103" s="3204"/>
    </row>
    <row r="104" spans="1:5" s="1998" customFormat="1">
      <c r="A104" s="3204"/>
      <c r="C104" s="3205"/>
      <c r="E104" s="3204"/>
    </row>
    <row r="105" spans="1:5" s="1998" customFormat="1">
      <c r="A105" s="3204"/>
      <c r="C105" s="3205"/>
      <c r="E105" s="3204"/>
    </row>
    <row r="106" spans="1:5" s="1998" customFormat="1">
      <c r="A106" s="3204"/>
      <c r="C106" s="3205"/>
      <c r="E106" s="3204"/>
    </row>
    <row r="107" spans="1:5" s="1998" customFormat="1">
      <c r="A107" s="3204"/>
      <c r="C107" s="3205"/>
      <c r="E107" s="3204"/>
    </row>
    <row r="108" spans="1:5" s="1998" customFormat="1">
      <c r="A108" s="3204"/>
      <c r="C108" s="3205"/>
      <c r="E108" s="3204"/>
    </row>
    <row r="109" spans="1:5" s="1998" customFormat="1">
      <c r="A109" s="3204"/>
      <c r="C109" s="3205"/>
      <c r="E109" s="3204"/>
    </row>
    <row r="110" spans="1:5" s="1998" customFormat="1">
      <c r="A110" s="3204"/>
      <c r="C110" s="3205"/>
      <c r="E110" s="3204"/>
    </row>
    <row r="111" spans="1:5" s="1998" customFormat="1">
      <c r="A111" s="3204"/>
      <c r="C111" s="3205"/>
      <c r="E111" s="3204"/>
    </row>
    <row r="112" spans="1:5" s="1998" customFormat="1">
      <c r="A112" s="3204"/>
      <c r="C112" s="3205"/>
      <c r="E112" s="3204"/>
    </row>
    <row r="113" spans="1:5" s="1998" customFormat="1">
      <c r="A113" s="3204"/>
      <c r="C113" s="3205"/>
      <c r="E113" s="3204"/>
    </row>
    <row r="114" spans="1:5" s="1998" customFormat="1">
      <c r="A114" s="3204"/>
      <c r="C114" s="3205"/>
      <c r="E114" s="3204"/>
    </row>
    <row r="115" spans="1:5" s="1998" customFormat="1">
      <c r="A115" s="3204"/>
      <c r="C115" s="3205"/>
      <c r="E115" s="3204"/>
    </row>
    <row r="116" spans="1:5" s="1998" customFormat="1">
      <c r="A116" s="3204"/>
      <c r="C116" s="3205"/>
      <c r="E116" s="3204"/>
    </row>
    <row r="117" spans="1:5" s="1998" customFormat="1">
      <c r="A117" s="3204"/>
      <c r="C117" s="3205"/>
      <c r="E117" s="3204"/>
    </row>
    <row r="118" spans="1:5" s="1998" customFormat="1">
      <c r="A118" s="3204"/>
      <c r="C118" s="3205"/>
      <c r="E118" s="3204"/>
    </row>
    <row r="119" spans="1:5" s="1998" customFormat="1">
      <c r="A119" s="3204"/>
      <c r="C119" s="3205"/>
      <c r="E119" s="3204"/>
    </row>
    <row r="120" spans="1:5" s="1998" customFormat="1">
      <c r="A120" s="3204"/>
      <c r="C120" s="3205"/>
      <c r="E120" s="3204"/>
    </row>
    <row r="121" spans="1:5" s="1998" customFormat="1">
      <c r="A121" s="3204"/>
      <c r="C121" s="3205"/>
      <c r="E121" s="3204"/>
    </row>
    <row r="122" spans="1:5" s="1998" customFormat="1">
      <c r="A122" s="3204"/>
      <c r="C122" s="3205"/>
      <c r="E122" s="3204"/>
    </row>
    <row r="123" spans="1:5" s="1998" customFormat="1">
      <c r="A123" s="3204"/>
      <c r="C123" s="3205"/>
      <c r="E123" s="3204"/>
    </row>
    <row r="124" spans="1:5" s="1998" customFormat="1">
      <c r="A124" s="3204"/>
      <c r="C124" s="3205"/>
      <c r="E124" s="3204"/>
    </row>
    <row r="125" spans="1:5" s="1998" customFormat="1">
      <c r="A125" s="3204"/>
      <c r="C125" s="3205"/>
      <c r="E125" s="3204"/>
    </row>
    <row r="126" spans="1:5" s="1998" customFormat="1">
      <c r="A126" s="3204"/>
      <c r="C126" s="3205"/>
      <c r="E126" s="3204"/>
    </row>
    <row r="127" spans="1:5" s="1998" customFormat="1">
      <c r="A127" s="3204"/>
      <c r="C127" s="3205"/>
      <c r="E127" s="3204"/>
    </row>
    <row r="128" spans="1:5" s="1998" customFormat="1">
      <c r="A128" s="3204"/>
      <c r="C128" s="3205"/>
      <c r="E128" s="3204"/>
    </row>
    <row r="129" spans="1:5" s="1998" customFormat="1">
      <c r="A129" s="3204"/>
      <c r="C129" s="3205"/>
      <c r="E129" s="3204"/>
    </row>
    <row r="130" spans="1:5" s="1998" customFormat="1">
      <c r="A130" s="3204"/>
      <c r="C130" s="3205"/>
      <c r="E130" s="3204"/>
    </row>
    <row r="131" spans="1:5" s="1998" customFormat="1">
      <c r="A131" s="3204"/>
      <c r="C131" s="3205"/>
      <c r="E131" s="3204"/>
    </row>
    <row r="132" spans="1:5" s="1998" customFormat="1">
      <c r="A132" s="3204"/>
      <c r="C132" s="3205"/>
      <c r="E132" s="3204"/>
    </row>
    <row r="133" spans="1:5" s="1998" customFormat="1">
      <c r="A133" s="3204"/>
      <c r="C133" s="3205"/>
      <c r="E133" s="3204"/>
    </row>
    <row r="134" spans="1:5" s="1998" customFormat="1">
      <c r="A134" s="3204"/>
      <c r="C134" s="3205"/>
      <c r="E134" s="3204"/>
    </row>
    <row r="135" spans="1:5" s="1998" customFormat="1">
      <c r="A135" s="3204"/>
      <c r="C135" s="3205"/>
      <c r="E135" s="3204"/>
    </row>
    <row r="136" spans="1:5" s="1998" customFormat="1">
      <c r="A136" s="3204"/>
      <c r="C136" s="3205"/>
      <c r="E136" s="3204"/>
    </row>
    <row r="137" spans="1:5" s="1998" customFormat="1">
      <c r="A137" s="3204"/>
      <c r="C137" s="3205"/>
      <c r="E137" s="3204"/>
    </row>
    <row r="138" spans="1:5" s="1998" customFormat="1">
      <c r="A138" s="3204"/>
      <c r="C138" s="3205"/>
      <c r="E138" s="3204"/>
    </row>
    <row r="139" spans="1:5" s="1998" customFormat="1">
      <c r="A139" s="3204"/>
      <c r="C139" s="3205"/>
      <c r="E139" s="3204"/>
    </row>
    <row r="140" spans="1:5" s="1998" customFormat="1">
      <c r="A140" s="3204"/>
      <c r="C140" s="3205"/>
      <c r="E140" s="3204"/>
    </row>
    <row r="141" spans="1:5" s="1998" customFormat="1">
      <c r="A141" s="3204"/>
      <c r="C141" s="3205"/>
      <c r="E141" s="3204"/>
    </row>
    <row r="142" spans="1:5" s="1998" customFormat="1">
      <c r="A142" s="3204"/>
      <c r="C142" s="3205"/>
      <c r="E142" s="3204"/>
    </row>
    <row r="143" spans="1:5" s="1998" customFormat="1">
      <c r="A143" s="3204"/>
      <c r="C143" s="3205"/>
      <c r="E143" s="3204"/>
    </row>
    <row r="144" spans="1:5" s="1998" customFormat="1">
      <c r="A144" s="3204"/>
      <c r="C144" s="3205"/>
      <c r="E144" s="3204"/>
    </row>
    <row r="145" spans="1:5" s="1998" customFormat="1">
      <c r="A145" s="3204"/>
      <c r="C145" s="3205"/>
      <c r="E145" s="3204"/>
    </row>
    <row r="146" spans="1:5" s="1998" customFormat="1">
      <c r="A146" s="3204"/>
      <c r="C146" s="3205"/>
      <c r="E146" s="3204"/>
    </row>
    <row r="147" spans="1:5" s="1998" customFormat="1">
      <c r="A147" s="3204"/>
      <c r="C147" s="3205"/>
      <c r="E147" s="3204"/>
    </row>
    <row r="148" spans="1:5" s="1998" customFormat="1">
      <c r="A148" s="3204"/>
      <c r="C148" s="3205"/>
      <c r="E148" s="3204"/>
    </row>
    <row r="149" spans="1:5" s="1998" customFormat="1">
      <c r="A149" s="3204"/>
      <c r="C149" s="3205"/>
      <c r="E149" s="3204"/>
    </row>
    <row r="150" spans="1:5" s="1998" customFormat="1">
      <c r="A150" s="3204"/>
      <c r="C150" s="3205"/>
      <c r="E150" s="3204"/>
    </row>
    <row r="151" spans="1:5" s="1998" customFormat="1">
      <c r="A151" s="3204"/>
      <c r="C151" s="3205"/>
      <c r="E151" s="3204"/>
    </row>
    <row r="152" spans="1:5" s="1998" customFormat="1">
      <c r="A152" s="3204"/>
      <c r="C152" s="3205"/>
      <c r="E152" s="3204"/>
    </row>
    <row r="153" spans="1:5" s="1998" customFormat="1">
      <c r="A153" s="3204"/>
      <c r="C153" s="3205"/>
      <c r="E153" s="3204"/>
    </row>
    <row r="154" spans="1:5" s="1998" customFormat="1">
      <c r="A154" s="3204"/>
      <c r="C154" s="3205"/>
      <c r="E154" s="3204"/>
    </row>
    <row r="155" spans="1:5" s="1998" customFormat="1">
      <c r="A155" s="3204"/>
      <c r="C155" s="3205"/>
      <c r="E155" s="3204"/>
    </row>
    <row r="156" spans="1:5" s="1998" customFormat="1">
      <c r="A156" s="3204"/>
      <c r="C156" s="3205"/>
      <c r="E156" s="3204"/>
    </row>
    <row r="157" spans="1:5" s="1998" customFormat="1">
      <c r="A157" s="3204"/>
      <c r="C157" s="3205"/>
      <c r="E157" s="3204"/>
    </row>
    <row r="158" spans="1:5" s="1998" customFormat="1">
      <c r="A158" s="3204"/>
      <c r="C158" s="3205"/>
      <c r="E158" s="3204"/>
    </row>
    <row r="159" spans="1:5" s="1998" customFormat="1">
      <c r="A159" s="3204"/>
      <c r="C159" s="3205"/>
      <c r="E159" s="3204"/>
    </row>
    <row r="160" spans="1:5" s="1998" customFormat="1">
      <c r="A160" s="3204"/>
      <c r="C160" s="3205"/>
      <c r="E160" s="3204"/>
    </row>
    <row r="161" spans="1:5" s="1998" customFormat="1">
      <c r="A161" s="3204"/>
      <c r="C161" s="3205"/>
      <c r="E161" s="3204"/>
    </row>
    <row r="162" spans="1:5" s="1998" customFormat="1">
      <c r="A162" s="3204"/>
      <c r="C162" s="3205"/>
      <c r="E162" s="3204"/>
    </row>
    <row r="163" spans="1:5" s="1998" customFormat="1">
      <c r="A163" s="3204"/>
      <c r="C163" s="3205"/>
      <c r="E163" s="3204"/>
    </row>
    <row r="164" spans="1:5" s="1998" customFormat="1">
      <c r="A164" s="3204"/>
      <c r="C164" s="3205"/>
      <c r="E164" s="3204"/>
    </row>
    <row r="165" spans="1:5" s="1998" customFormat="1">
      <c r="A165" s="3204"/>
      <c r="C165" s="3205"/>
      <c r="E165" s="3204"/>
    </row>
    <row r="166" spans="1:5" s="1998" customFormat="1">
      <c r="A166" s="3204"/>
      <c r="C166" s="3205"/>
      <c r="E166" s="3204"/>
    </row>
    <row r="167" spans="1:5" s="1998" customFormat="1">
      <c r="A167" s="3204"/>
      <c r="C167" s="3205"/>
      <c r="E167" s="3204"/>
    </row>
    <row r="168" spans="1:5" s="1998" customFormat="1">
      <c r="A168" s="3204"/>
      <c r="C168" s="3205"/>
      <c r="E168" s="3204"/>
    </row>
    <row r="169" spans="1:5" s="1998" customFormat="1">
      <c r="A169" s="3204"/>
      <c r="C169" s="3205"/>
      <c r="E169" s="3204"/>
    </row>
    <row r="170" spans="1:5" s="1998" customFormat="1">
      <c r="A170" s="3204"/>
      <c r="C170" s="3205"/>
      <c r="E170" s="3204"/>
    </row>
    <row r="171" spans="1:5" s="1998" customFormat="1">
      <c r="A171" s="3204"/>
      <c r="C171" s="3205"/>
      <c r="E171" s="3204"/>
    </row>
    <row r="172" spans="1:5" s="1998" customFormat="1">
      <c r="A172" s="3204"/>
      <c r="C172" s="3205"/>
      <c r="E172" s="3204"/>
    </row>
    <row r="173" spans="1:5" s="1998" customFormat="1">
      <c r="A173" s="3204"/>
      <c r="C173" s="3205"/>
      <c r="E173" s="3204"/>
    </row>
    <row r="174" spans="1:5" s="1998" customFormat="1">
      <c r="A174" s="3204"/>
      <c r="C174" s="3205"/>
      <c r="E174" s="3204"/>
    </row>
    <row r="175" spans="1:5" s="1998" customFormat="1">
      <c r="A175" s="3204"/>
      <c r="C175" s="3205"/>
      <c r="E175" s="3204"/>
    </row>
    <row r="176" spans="1:5" s="1998" customFormat="1">
      <c r="A176" s="3204"/>
      <c r="C176" s="3205"/>
      <c r="E176" s="3204"/>
    </row>
    <row r="177" spans="1:5" s="1998" customFormat="1">
      <c r="A177" s="3204"/>
      <c r="C177" s="3205"/>
      <c r="E177" s="3204"/>
    </row>
    <row r="178" spans="1:5" s="1998" customFormat="1">
      <c r="A178" s="3204"/>
      <c r="C178" s="3205"/>
      <c r="E178" s="3204"/>
    </row>
    <row r="179" spans="1:5" s="1998" customFormat="1">
      <c r="A179" s="3204"/>
      <c r="C179" s="3205"/>
      <c r="E179" s="3204"/>
    </row>
    <row r="180" spans="1:5" s="1998" customFormat="1">
      <c r="A180" s="3204"/>
      <c r="C180" s="3205"/>
      <c r="E180" s="3204"/>
    </row>
    <row r="181" spans="1:5" s="1998" customFormat="1">
      <c r="A181" s="3204"/>
      <c r="C181" s="3205"/>
      <c r="E181" s="3204"/>
    </row>
    <row r="182" spans="1:5" s="1998" customFormat="1">
      <c r="A182" s="3204"/>
      <c r="C182" s="3205"/>
      <c r="E182" s="3204"/>
    </row>
    <row r="183" spans="1:5" s="1998" customFormat="1">
      <c r="A183" s="3204"/>
      <c r="C183" s="3205"/>
      <c r="E183" s="3204"/>
    </row>
    <row r="184" spans="1:5" s="1998" customFormat="1">
      <c r="A184" s="3204"/>
      <c r="C184" s="3205"/>
      <c r="E184" s="3204"/>
    </row>
    <row r="185" spans="1:5" s="1998" customFormat="1">
      <c r="A185" s="3204"/>
      <c r="C185" s="3205"/>
      <c r="E185" s="3204"/>
    </row>
    <row r="186" spans="1:5" s="1998" customFormat="1">
      <c r="A186" s="3204"/>
      <c r="C186" s="3205"/>
      <c r="E186" s="3204"/>
    </row>
    <row r="187" spans="1:5" s="1998" customFormat="1">
      <c r="A187" s="3204"/>
      <c r="C187" s="3205"/>
      <c r="E187" s="3204"/>
    </row>
    <row r="188" spans="1:5" s="1998" customFormat="1">
      <c r="A188" s="3204"/>
      <c r="C188" s="3205"/>
      <c r="E188" s="3204"/>
    </row>
    <row r="189" spans="1:5" s="1998" customFormat="1">
      <c r="A189" s="3204"/>
      <c r="C189" s="3205"/>
      <c r="E189" s="3204"/>
    </row>
    <row r="190" spans="1:5" s="1998" customFormat="1">
      <c r="A190" s="3204"/>
      <c r="C190" s="3205"/>
      <c r="E190" s="3204"/>
    </row>
    <row r="191" spans="1:5" s="1998" customFormat="1">
      <c r="A191" s="3204"/>
      <c r="C191" s="3205"/>
      <c r="E191" s="3204"/>
    </row>
    <row r="192" spans="1:5" s="1998" customFormat="1">
      <c r="A192" s="3204"/>
      <c r="C192" s="3205"/>
      <c r="E192" s="3204"/>
    </row>
    <row r="193" spans="1:5" s="1998" customFormat="1">
      <c r="A193" s="3204"/>
      <c r="C193" s="3205"/>
      <c r="E193" s="3204"/>
    </row>
    <row r="194" spans="1:5" s="1998" customFormat="1">
      <c r="A194" s="3204"/>
      <c r="C194" s="3205"/>
      <c r="E194" s="3204"/>
    </row>
    <row r="195" spans="1:5" s="1998" customFormat="1">
      <c r="A195" s="3204"/>
      <c r="C195" s="3205"/>
      <c r="E195" s="3204"/>
    </row>
    <row r="196" spans="1:5" s="1998" customFormat="1">
      <c r="A196" s="3204"/>
      <c r="C196" s="3205"/>
      <c r="E196" s="3204"/>
    </row>
    <row r="197" spans="1:5" s="1998" customFormat="1">
      <c r="A197" s="3204"/>
      <c r="C197" s="3205"/>
      <c r="E197" s="3204"/>
    </row>
    <row r="198" spans="1:5" s="1998" customFormat="1">
      <c r="A198" s="3204"/>
      <c r="C198" s="3205"/>
      <c r="E198" s="3204"/>
    </row>
    <row r="199" spans="1:5" s="1998" customFormat="1">
      <c r="A199" s="3204"/>
      <c r="C199" s="3205"/>
      <c r="E199" s="3204"/>
    </row>
    <row r="200" spans="1:5" s="1998" customFormat="1">
      <c r="A200" s="3204"/>
      <c r="C200" s="3205"/>
      <c r="E200" s="3204"/>
    </row>
    <row r="201" spans="1:5" s="1998" customFormat="1">
      <c r="A201" s="3204"/>
      <c r="C201" s="3205"/>
      <c r="E201" s="3204"/>
    </row>
    <row r="202" spans="1:5" s="1998" customFormat="1">
      <c r="A202" s="3204"/>
      <c r="C202" s="3205"/>
      <c r="E202" s="3204"/>
    </row>
    <row r="203" spans="1:5" s="1998" customFormat="1">
      <c r="A203" s="3204"/>
      <c r="C203" s="3205"/>
      <c r="E203" s="3204"/>
    </row>
    <row r="204" spans="1:5" s="1998" customFormat="1">
      <c r="A204" s="3204"/>
      <c r="C204" s="3205"/>
      <c r="E204" s="3204"/>
    </row>
    <row r="205" spans="1:5" s="1998" customFormat="1">
      <c r="A205" s="3204"/>
      <c r="C205" s="3205"/>
      <c r="E205" s="3204"/>
    </row>
    <row r="206" spans="1:5" s="1998" customFormat="1">
      <c r="A206" s="3204"/>
      <c r="C206" s="3205"/>
      <c r="E206" s="3204"/>
    </row>
    <row r="207" spans="1:5" s="1998" customFormat="1">
      <c r="A207" s="3204"/>
      <c r="C207" s="3205"/>
      <c r="E207" s="3204"/>
    </row>
    <row r="208" spans="1:5" s="1998" customFormat="1">
      <c r="A208" s="3204"/>
      <c r="C208" s="3205"/>
      <c r="E208" s="3204"/>
    </row>
    <row r="209" spans="1:5" s="1998" customFormat="1">
      <c r="A209" s="3204"/>
      <c r="C209" s="3205"/>
      <c r="E209" s="3204"/>
    </row>
    <row r="210" spans="1:5" s="1998" customFormat="1">
      <c r="A210" s="3204"/>
      <c r="C210" s="3205"/>
      <c r="E210" s="3204"/>
    </row>
    <row r="211" spans="1:5" s="1998" customFormat="1">
      <c r="A211" s="3204"/>
      <c r="C211" s="3205"/>
      <c r="E211" s="3204"/>
    </row>
    <row r="212" spans="1:5" s="1998" customFormat="1">
      <c r="A212" s="3204"/>
      <c r="C212" s="3205"/>
      <c r="E212" s="3204"/>
    </row>
    <row r="213" spans="1:5" s="1998" customFormat="1">
      <c r="A213" s="3204"/>
      <c r="C213" s="3205"/>
      <c r="E213" s="3204"/>
    </row>
    <row r="214" spans="1:5" s="1998" customFormat="1">
      <c r="A214" s="3204"/>
      <c r="C214" s="3205"/>
      <c r="E214" s="3204"/>
    </row>
    <row r="215" spans="1:5" s="1998" customFormat="1">
      <c r="A215" s="3204"/>
      <c r="C215" s="3205"/>
      <c r="E215" s="3204"/>
    </row>
    <row r="216" spans="1:5" s="1998" customFormat="1">
      <c r="A216" s="3204"/>
      <c r="C216" s="3205"/>
      <c r="E216" s="3204"/>
    </row>
    <row r="217" spans="1:5" s="1998" customFormat="1">
      <c r="A217" s="3204"/>
      <c r="C217" s="3205"/>
      <c r="E217" s="3204"/>
    </row>
    <row r="218" spans="1:5" s="1998" customFormat="1">
      <c r="A218" s="3204"/>
      <c r="C218" s="3205"/>
      <c r="E218" s="3204"/>
    </row>
    <row r="219" spans="1:5" s="1998" customFormat="1">
      <c r="A219" s="3204"/>
      <c r="C219" s="3205"/>
      <c r="E219" s="3204"/>
    </row>
    <row r="220" spans="1:5" s="1998" customFormat="1">
      <c r="A220" s="3204"/>
      <c r="C220" s="3205"/>
      <c r="E220" s="3204"/>
    </row>
    <row r="221" spans="1:5" s="1998" customFormat="1">
      <c r="A221" s="3204"/>
      <c r="C221" s="3205"/>
      <c r="E221" s="3204"/>
    </row>
    <row r="222" spans="1:5" s="1998" customFormat="1">
      <c r="A222" s="3204"/>
      <c r="C222" s="3205"/>
      <c r="E222" s="3204"/>
    </row>
    <row r="223" spans="1:5" s="1998" customFormat="1">
      <c r="A223" s="3204"/>
      <c r="C223" s="3205"/>
      <c r="E223" s="3204"/>
    </row>
    <row r="224" spans="1:5" s="1998" customFormat="1">
      <c r="A224" s="3204"/>
      <c r="C224" s="3205"/>
      <c r="E224" s="3204"/>
    </row>
    <row r="225" spans="1:5" s="1998" customFormat="1">
      <c r="A225" s="3204"/>
      <c r="C225" s="3205"/>
      <c r="E225" s="3204"/>
    </row>
    <row r="226" spans="1:5" s="1998" customFormat="1">
      <c r="A226" s="3204"/>
      <c r="C226" s="3205"/>
      <c r="E226" s="3204"/>
    </row>
    <row r="227" spans="1:5" s="1998" customFormat="1">
      <c r="A227" s="3204"/>
      <c r="C227" s="3205"/>
      <c r="E227" s="3204"/>
    </row>
    <row r="228" spans="1:5" s="1998" customFormat="1">
      <c r="A228" s="3204"/>
      <c r="C228" s="3205"/>
      <c r="E228" s="3204"/>
    </row>
    <row r="229" spans="1:5" s="1998" customFormat="1">
      <c r="A229" s="3204"/>
      <c r="C229" s="3205"/>
      <c r="E229" s="3204"/>
    </row>
    <row r="230" spans="1:5" s="1998" customFormat="1">
      <c r="A230" s="3204"/>
      <c r="C230" s="3205"/>
      <c r="E230" s="3204"/>
    </row>
    <row r="231" spans="1:5" s="1998" customFormat="1">
      <c r="A231" s="3204"/>
      <c r="C231" s="3205"/>
      <c r="E231" s="3204"/>
    </row>
    <row r="232" spans="1:5" s="1998" customFormat="1">
      <c r="A232" s="3204"/>
      <c r="C232" s="3205"/>
      <c r="E232" s="3204"/>
    </row>
    <row r="233" spans="1:5" s="1998" customFormat="1">
      <c r="A233" s="3204"/>
      <c r="C233" s="3205"/>
      <c r="E233" s="3204"/>
    </row>
    <row r="234" spans="1:5" s="1998" customFormat="1">
      <c r="A234" s="3204"/>
      <c r="C234" s="3205"/>
      <c r="E234" s="3204"/>
    </row>
    <row r="235" spans="1:5" s="1998" customFormat="1">
      <c r="A235" s="3204"/>
      <c r="C235" s="3205"/>
      <c r="E235" s="3204"/>
    </row>
    <row r="236" spans="1:5" s="1998" customFormat="1">
      <c r="A236" s="3204"/>
      <c r="C236" s="3205"/>
      <c r="E236" s="3204"/>
    </row>
    <row r="237" spans="1:5" s="1998" customFormat="1">
      <c r="A237" s="3204"/>
      <c r="C237" s="3205"/>
      <c r="E237" s="3204"/>
    </row>
    <row r="238" spans="1:5" s="1998" customFormat="1">
      <c r="A238" s="3204"/>
      <c r="C238" s="3205"/>
      <c r="E238" s="3204"/>
    </row>
    <row r="239" spans="1:5" s="1998" customFormat="1">
      <c r="A239" s="3204"/>
      <c r="C239" s="3205"/>
      <c r="E239" s="3204"/>
    </row>
    <row r="240" spans="1:5" s="1998" customFormat="1">
      <c r="A240" s="3204"/>
      <c r="C240" s="3205"/>
      <c r="E240" s="3204"/>
    </row>
    <row r="241" spans="1:5" s="1998" customFormat="1">
      <c r="A241" s="3204"/>
      <c r="C241" s="3205"/>
      <c r="E241" s="3204"/>
    </row>
    <row r="242" spans="1:5" s="1998" customFormat="1">
      <c r="A242" s="3204"/>
      <c r="C242" s="3205"/>
      <c r="E242" s="3204"/>
    </row>
    <row r="243" spans="1:5" s="1998" customFormat="1">
      <c r="A243" s="3204"/>
      <c r="C243" s="3205"/>
      <c r="E243" s="3204"/>
    </row>
    <row r="244" spans="1:5" s="1998" customFormat="1">
      <c r="A244" s="3204"/>
      <c r="C244" s="3205"/>
      <c r="E244" s="3204"/>
    </row>
    <row r="245" spans="1:5" s="1998" customFormat="1">
      <c r="A245" s="3204"/>
      <c r="C245" s="3205"/>
      <c r="E245" s="3204"/>
    </row>
    <row r="246" spans="1:5" s="1998" customFormat="1">
      <c r="A246" s="3204"/>
      <c r="C246" s="3205"/>
      <c r="E246" s="3204"/>
    </row>
    <row r="247" spans="1:5" s="1998" customFormat="1">
      <c r="A247" s="3204"/>
      <c r="C247" s="3205"/>
      <c r="E247" s="3204"/>
    </row>
    <row r="248" spans="1:5" s="1998" customFormat="1">
      <c r="A248" s="3204"/>
      <c r="C248" s="3205"/>
      <c r="E248" s="3204"/>
    </row>
    <row r="249" spans="1:5" s="1998" customFormat="1">
      <c r="A249" s="3204"/>
      <c r="C249" s="3205"/>
      <c r="E249" s="3204"/>
    </row>
    <row r="250" spans="1:5" s="1998" customFormat="1">
      <c r="A250" s="3204"/>
      <c r="C250" s="3205"/>
      <c r="E250" s="3204"/>
    </row>
    <row r="251" spans="1:5" s="1998" customFormat="1">
      <c r="A251" s="3204"/>
      <c r="C251" s="3205"/>
      <c r="E251" s="3204"/>
    </row>
    <row r="252" spans="1:5" s="1998" customFormat="1">
      <c r="A252" s="3204"/>
      <c r="C252" s="3205"/>
      <c r="E252" s="3204"/>
    </row>
    <row r="253" spans="1:5" s="1998" customFormat="1">
      <c r="A253" s="3204"/>
      <c r="C253" s="3205"/>
      <c r="E253" s="3204"/>
    </row>
    <row r="254" spans="1:5" s="1998" customFormat="1">
      <c r="A254" s="3204"/>
      <c r="C254" s="3205"/>
      <c r="E254" s="3204"/>
    </row>
    <row r="255" spans="1:5" s="1998" customFormat="1">
      <c r="A255" s="3204"/>
      <c r="C255" s="3205"/>
      <c r="E255" s="3204"/>
    </row>
    <row r="256" spans="1:5" s="1998" customFormat="1">
      <c r="A256" s="3204"/>
      <c r="C256" s="3205"/>
      <c r="E256" s="3204"/>
    </row>
    <row r="257" spans="1:5" s="1998" customFormat="1">
      <c r="A257" s="3204"/>
      <c r="C257" s="3205"/>
      <c r="E257" s="3204"/>
    </row>
    <row r="258" spans="1:5" s="1998" customFormat="1">
      <c r="A258" s="3204"/>
      <c r="C258" s="3205"/>
      <c r="E258" s="3204"/>
    </row>
    <row r="259" spans="1:5" s="1998" customFormat="1">
      <c r="A259" s="3204"/>
      <c r="C259" s="3205"/>
      <c r="E259" s="3204"/>
    </row>
    <row r="260" spans="1:5" s="1998" customFormat="1">
      <c r="A260" s="3204"/>
      <c r="C260" s="3205"/>
      <c r="E260" s="3204"/>
    </row>
    <row r="261" spans="1:5" s="1998" customFormat="1">
      <c r="A261" s="3204"/>
      <c r="C261" s="3205"/>
      <c r="E261" s="3204"/>
    </row>
    <row r="262" spans="1:5" s="1998" customFormat="1">
      <c r="A262" s="3204"/>
      <c r="C262" s="3205"/>
      <c r="E262" s="3204"/>
    </row>
    <row r="263" spans="1:5" s="1998" customFormat="1">
      <c r="A263" s="3204"/>
      <c r="C263" s="3205"/>
      <c r="E263" s="3204"/>
    </row>
    <row r="264" spans="1:5" s="1998" customFormat="1">
      <c r="A264" s="3204"/>
      <c r="C264" s="3205"/>
      <c r="E264" s="3204"/>
    </row>
    <row r="265" spans="1:5" s="1998" customFormat="1">
      <c r="A265" s="3204"/>
      <c r="C265" s="3205"/>
      <c r="E265" s="3204"/>
    </row>
    <row r="266" spans="1:5" s="1998" customFormat="1">
      <c r="A266" s="3204"/>
      <c r="C266" s="3205"/>
      <c r="E266" s="3204"/>
    </row>
    <row r="267" spans="1:5" s="1998" customFormat="1">
      <c r="A267" s="3204"/>
      <c r="C267" s="3205"/>
      <c r="E267" s="3204"/>
    </row>
    <row r="268" spans="1:5" s="1998" customFormat="1">
      <c r="A268" s="3204"/>
      <c r="C268" s="3205"/>
      <c r="E268" s="3204"/>
    </row>
    <row r="269" spans="1:5" s="1998" customFormat="1">
      <c r="A269" s="3204"/>
      <c r="C269" s="3205"/>
      <c r="E269" s="3204"/>
    </row>
    <row r="270" spans="1:5" s="1998" customFormat="1">
      <c r="A270" s="3204"/>
      <c r="C270" s="3205"/>
      <c r="E270" s="3204"/>
    </row>
    <row r="271" spans="1:5" s="1998" customFormat="1">
      <c r="A271" s="3204"/>
      <c r="C271" s="3205"/>
      <c r="E271" s="3204"/>
    </row>
    <row r="272" spans="1:5" s="1998" customFormat="1">
      <c r="A272" s="3204"/>
      <c r="C272" s="3205"/>
      <c r="E272" s="3204"/>
    </row>
    <row r="273" spans="1:5" s="1998" customFormat="1">
      <c r="A273" s="3204"/>
      <c r="C273" s="3205"/>
      <c r="E273" s="3204"/>
    </row>
    <row r="274" spans="1:5" s="1998" customFormat="1">
      <c r="A274" s="3204"/>
      <c r="C274" s="3205"/>
      <c r="E274" s="3204"/>
    </row>
    <row r="275" spans="1:5" s="1998" customFormat="1">
      <c r="A275" s="3204"/>
      <c r="C275" s="3205"/>
      <c r="E275" s="3204"/>
    </row>
    <row r="276" spans="1:5" s="1998" customFormat="1">
      <c r="A276" s="3204"/>
      <c r="C276" s="3205"/>
      <c r="E276" s="3204"/>
    </row>
    <row r="277" spans="1:5" s="1998" customFormat="1">
      <c r="A277" s="3204"/>
      <c r="C277" s="3205"/>
      <c r="E277" s="3204"/>
    </row>
    <row r="278" spans="1:5" s="1998" customFormat="1">
      <c r="A278" s="3204"/>
      <c r="C278" s="3205"/>
      <c r="E278" s="3204"/>
    </row>
    <row r="279" spans="1:5" s="1998" customFormat="1">
      <c r="A279" s="3204"/>
      <c r="C279" s="3205"/>
      <c r="E279" s="3204"/>
    </row>
    <row r="280" spans="1:5" s="1998" customFormat="1">
      <c r="A280" s="3204"/>
      <c r="C280" s="3205"/>
      <c r="E280" s="3204"/>
    </row>
    <row r="281" spans="1:5" s="1998" customFormat="1">
      <c r="A281" s="3204"/>
      <c r="C281" s="3205"/>
      <c r="E281" s="3204"/>
    </row>
    <row r="282" spans="1:5" s="1998" customFormat="1">
      <c r="A282" s="3204"/>
      <c r="C282" s="3205"/>
      <c r="E282" s="3204"/>
    </row>
    <row r="283" spans="1:5" s="1998" customFormat="1">
      <c r="A283" s="3204"/>
      <c r="C283" s="3205"/>
      <c r="E283" s="3204"/>
    </row>
    <row r="284" spans="1:5" s="1998" customFormat="1">
      <c r="A284" s="3204"/>
      <c r="C284" s="3205"/>
      <c r="E284" s="3204"/>
    </row>
    <row r="285" spans="1:5" s="1998" customFormat="1">
      <c r="A285" s="3204"/>
      <c r="C285" s="3205"/>
      <c r="E285" s="3204"/>
    </row>
    <row r="286" spans="1:5" s="1998" customFormat="1">
      <c r="A286" s="3204"/>
      <c r="C286" s="3205"/>
      <c r="E286" s="3204"/>
    </row>
    <row r="287" spans="1:5" s="1998" customFormat="1">
      <c r="A287" s="3204"/>
      <c r="C287" s="3205"/>
      <c r="E287" s="3204"/>
    </row>
    <row r="288" spans="1:5" s="1998" customFormat="1">
      <c r="A288" s="3204"/>
      <c r="C288" s="3205"/>
      <c r="E288" s="3204"/>
    </row>
    <row r="289" spans="1:5" s="1998" customFormat="1">
      <c r="A289" s="3204"/>
      <c r="C289" s="3205"/>
      <c r="E289" s="3204"/>
    </row>
    <row r="290" spans="1:5" s="1998" customFormat="1">
      <c r="A290" s="3204"/>
      <c r="C290" s="3205"/>
      <c r="E290" s="3204"/>
    </row>
    <row r="291" spans="1:5" s="1998" customFormat="1">
      <c r="A291" s="3204"/>
      <c r="C291" s="3205"/>
      <c r="E291" s="3204"/>
    </row>
    <row r="292" spans="1:5" s="1998" customFormat="1">
      <c r="A292" s="3204"/>
      <c r="C292" s="3205"/>
      <c r="E292" s="3204"/>
    </row>
    <row r="293" spans="1:5" s="1998" customFormat="1">
      <c r="A293" s="3204"/>
      <c r="C293" s="3205"/>
      <c r="E293" s="3204"/>
    </row>
    <row r="294" spans="1:5" s="1998" customFormat="1">
      <c r="A294" s="3204"/>
      <c r="C294" s="3205"/>
      <c r="E294" s="3204"/>
    </row>
    <row r="295" spans="1:5" s="1998" customFormat="1">
      <c r="A295" s="3204"/>
      <c r="C295" s="3205"/>
      <c r="E295" s="3204"/>
    </row>
    <row r="296" spans="1:5" s="1998" customFormat="1">
      <c r="A296" s="3204"/>
      <c r="C296" s="3205"/>
      <c r="E296" s="3204"/>
    </row>
    <row r="297" spans="1:5" s="1998" customFormat="1">
      <c r="A297" s="3204"/>
      <c r="C297" s="3205"/>
      <c r="E297" s="3204"/>
    </row>
    <row r="298" spans="1:5" s="1998" customFormat="1">
      <c r="A298" s="3204"/>
      <c r="C298" s="3205"/>
      <c r="E298" s="3204"/>
    </row>
    <row r="299" spans="1:5" s="1998" customFormat="1">
      <c r="A299" s="3204"/>
      <c r="C299" s="3205"/>
      <c r="E299" s="3204"/>
    </row>
    <row r="300" spans="1:5" s="1998" customFormat="1">
      <c r="A300" s="3204"/>
      <c r="C300" s="3205"/>
      <c r="E300" s="3204"/>
    </row>
    <row r="301" spans="1:5" s="1998" customFormat="1">
      <c r="A301" s="3204"/>
      <c r="C301" s="3205"/>
      <c r="E301" s="3204"/>
    </row>
    <row r="302" spans="1:5" s="1998" customFormat="1">
      <c r="A302" s="3204"/>
      <c r="C302" s="3205"/>
      <c r="E302" s="3204"/>
    </row>
    <row r="303" spans="1:5" s="1998" customFormat="1">
      <c r="A303" s="3204"/>
      <c r="C303" s="3205"/>
      <c r="E303" s="3204"/>
    </row>
    <row r="304" spans="1:5" s="1998" customFormat="1">
      <c r="A304" s="3204"/>
      <c r="C304" s="3205"/>
      <c r="E304" s="3204"/>
    </row>
    <row r="305" spans="1:5" s="1998" customFormat="1">
      <c r="A305" s="3204"/>
      <c r="C305" s="3205"/>
      <c r="E305" s="3204"/>
    </row>
    <row r="306" spans="1:5" s="1998" customFormat="1">
      <c r="A306" s="3204"/>
      <c r="C306" s="3205"/>
      <c r="E306" s="3204"/>
    </row>
    <row r="307" spans="1:5" s="1998" customFormat="1">
      <c r="A307" s="3204"/>
      <c r="C307" s="3205"/>
      <c r="E307" s="3204"/>
    </row>
    <row r="308" spans="1:5" s="1998" customFormat="1">
      <c r="A308" s="3204"/>
      <c r="C308" s="3205"/>
      <c r="E308" s="3204"/>
    </row>
    <row r="309" spans="1:5" s="1998" customFormat="1">
      <c r="A309" s="3204"/>
      <c r="C309" s="3205"/>
      <c r="E309" s="3204"/>
    </row>
    <row r="310" spans="1:5" s="1998" customFormat="1">
      <c r="A310" s="3204"/>
      <c r="C310" s="3205"/>
      <c r="E310" s="3204"/>
    </row>
    <row r="311" spans="1:5" s="1998" customFormat="1">
      <c r="A311" s="3204"/>
      <c r="C311" s="3205"/>
      <c r="E311" s="3204"/>
    </row>
    <row r="312" spans="1:5" s="1998" customFormat="1">
      <c r="A312" s="3204"/>
      <c r="C312" s="3205"/>
      <c r="E312" s="3204"/>
    </row>
    <row r="313" spans="1:5" s="1998" customFormat="1">
      <c r="A313" s="3204"/>
      <c r="C313" s="3205"/>
      <c r="E313" s="3204"/>
    </row>
    <row r="314" spans="1:5" s="1998" customFormat="1">
      <c r="A314" s="3204"/>
      <c r="C314" s="3205"/>
      <c r="E314" s="3204"/>
    </row>
    <row r="315" spans="1:5" s="1998" customFormat="1">
      <c r="A315" s="3204"/>
      <c r="C315" s="3205"/>
      <c r="E315" s="3204"/>
    </row>
    <row r="316" spans="1:5" s="1998" customFormat="1">
      <c r="A316" s="3204"/>
      <c r="C316" s="3205"/>
      <c r="E316" s="3204"/>
    </row>
    <row r="317" spans="1:5" s="1998" customFormat="1">
      <c r="A317" s="3204"/>
      <c r="C317" s="3205"/>
      <c r="E317" s="3204"/>
    </row>
    <row r="318" spans="1:5" s="1998" customFormat="1">
      <c r="A318" s="3204"/>
      <c r="C318" s="3205"/>
      <c r="E318" s="3204"/>
    </row>
    <row r="319" spans="1:5" s="1998" customFormat="1">
      <c r="A319" s="3204"/>
      <c r="C319" s="3205"/>
      <c r="E319" s="3204"/>
    </row>
    <row r="320" spans="1:5" s="1998" customFormat="1">
      <c r="A320" s="3204"/>
      <c r="C320" s="3205"/>
      <c r="E320" s="3204"/>
    </row>
    <row r="321" spans="1:5" s="1998" customFormat="1">
      <c r="A321" s="3204"/>
      <c r="C321" s="3205"/>
      <c r="E321" s="3204"/>
    </row>
    <row r="322" spans="1:5" s="1998" customFormat="1">
      <c r="A322" s="3204"/>
      <c r="C322" s="3205"/>
      <c r="E322" s="3204"/>
    </row>
    <row r="323" spans="1:5" s="1998" customFormat="1">
      <c r="A323" s="3204"/>
      <c r="C323" s="3205"/>
      <c r="E323" s="3204"/>
    </row>
    <row r="324" spans="1:5" s="1998" customFormat="1">
      <c r="A324" s="3204"/>
      <c r="C324" s="3205"/>
      <c r="E324" s="3204"/>
    </row>
    <row r="325" spans="1:5" s="1998" customFormat="1">
      <c r="A325" s="3204"/>
      <c r="C325" s="3205"/>
      <c r="E325" s="3204"/>
    </row>
    <row r="326" spans="1:5" s="1998" customFormat="1">
      <c r="A326" s="3204"/>
      <c r="C326" s="3205"/>
      <c r="E326" s="3204"/>
    </row>
    <row r="327" spans="1:5" s="1998" customFormat="1">
      <c r="A327" s="3204"/>
      <c r="C327" s="3205"/>
      <c r="E327" s="3204"/>
    </row>
    <row r="328" spans="1:5" s="1998" customFormat="1">
      <c r="A328" s="3204"/>
      <c r="C328" s="3205"/>
      <c r="E328" s="3204"/>
    </row>
    <row r="329" spans="1:5" s="1998" customFormat="1">
      <c r="A329" s="3204"/>
      <c r="C329" s="3205"/>
      <c r="E329" s="3204"/>
    </row>
    <row r="330" spans="1:5" s="1998" customFormat="1">
      <c r="A330" s="3204"/>
      <c r="C330" s="3205"/>
      <c r="E330" s="3204"/>
    </row>
    <row r="331" spans="1:5" s="1998" customFormat="1">
      <c r="A331" s="3204"/>
      <c r="C331" s="3205"/>
      <c r="E331" s="3204"/>
    </row>
    <row r="332" spans="1:5" s="1998" customFormat="1">
      <c r="A332" s="3204"/>
      <c r="C332" s="3205"/>
      <c r="E332" s="3204"/>
    </row>
    <row r="333" spans="1:5" s="1998" customFormat="1">
      <c r="A333" s="3204"/>
      <c r="C333" s="3205"/>
      <c r="E333" s="3204"/>
    </row>
    <row r="334" spans="1:5" s="1998" customFormat="1">
      <c r="A334" s="3204"/>
      <c r="C334" s="3205"/>
      <c r="E334" s="3204"/>
    </row>
    <row r="335" spans="1:5" s="1998" customFormat="1">
      <c r="A335" s="3204"/>
      <c r="C335" s="3205"/>
      <c r="E335" s="3204"/>
    </row>
    <row r="336" spans="1:5" s="1998" customFormat="1">
      <c r="A336" s="3204"/>
      <c r="C336" s="3205"/>
      <c r="E336" s="3204"/>
    </row>
    <row r="337" spans="1:5" s="1998" customFormat="1">
      <c r="A337" s="3204"/>
      <c r="C337" s="3205"/>
      <c r="E337" s="3204"/>
    </row>
    <row r="338" spans="1:5" s="1998" customFormat="1">
      <c r="A338" s="3204"/>
      <c r="C338" s="3205"/>
      <c r="E338" s="3204"/>
    </row>
    <row r="339" spans="1:5" s="1998" customFormat="1">
      <c r="A339" s="3204"/>
      <c r="C339" s="3205"/>
      <c r="E339" s="3204"/>
    </row>
    <row r="340" spans="1:5" s="1998" customFormat="1">
      <c r="A340" s="3204"/>
      <c r="C340" s="3205"/>
      <c r="E340" s="3204"/>
    </row>
    <row r="341" spans="1:5" s="1998" customFormat="1">
      <c r="A341" s="3204"/>
      <c r="C341" s="3205"/>
      <c r="E341" s="3204"/>
    </row>
    <row r="342" spans="1:5" s="1998" customFormat="1">
      <c r="A342" s="3204"/>
      <c r="C342" s="3205"/>
      <c r="E342" s="3204"/>
    </row>
    <row r="343" spans="1:5" s="1998" customFormat="1">
      <c r="A343" s="3204"/>
      <c r="C343" s="3205"/>
      <c r="E343" s="3204"/>
    </row>
    <row r="344" spans="1:5" s="1998" customFormat="1">
      <c r="A344" s="3204"/>
      <c r="C344" s="3205"/>
      <c r="E344" s="3204"/>
    </row>
    <row r="345" spans="1:5" s="1998" customFormat="1">
      <c r="A345" s="3204"/>
      <c r="C345" s="3205"/>
      <c r="E345" s="3204"/>
    </row>
    <row r="346" spans="1:5" s="1998" customFormat="1">
      <c r="A346" s="3204"/>
      <c r="C346" s="3205"/>
      <c r="E346" s="3204"/>
    </row>
    <row r="347" spans="1:5" s="1998" customFormat="1">
      <c r="A347" s="3204"/>
      <c r="C347" s="3205"/>
      <c r="E347" s="3204"/>
    </row>
    <row r="348" spans="1:5" s="1998" customFormat="1">
      <c r="A348" s="3204"/>
      <c r="C348" s="3205"/>
      <c r="E348" s="3204"/>
    </row>
    <row r="349" spans="1:5" s="1998" customFormat="1">
      <c r="A349" s="3204"/>
      <c r="C349" s="3205"/>
      <c r="E349" s="3204"/>
    </row>
    <row r="350" spans="1:5" s="1998" customFormat="1">
      <c r="A350" s="3204"/>
      <c r="C350" s="3205"/>
      <c r="E350" s="3204"/>
    </row>
    <row r="351" spans="1:5" s="1998" customFormat="1">
      <c r="A351" s="3204"/>
      <c r="C351" s="3205"/>
      <c r="E351" s="3204"/>
    </row>
    <row r="352" spans="1:5" s="1998" customFormat="1">
      <c r="A352" s="3204"/>
      <c r="C352" s="3205"/>
      <c r="E352" s="3204"/>
    </row>
    <row r="353" spans="1:5" s="1998" customFormat="1">
      <c r="A353" s="3204"/>
      <c r="C353" s="3205"/>
      <c r="E353" s="3204"/>
    </row>
    <row r="354" spans="1:5" s="1998" customFormat="1">
      <c r="A354" s="3204"/>
      <c r="C354" s="3205"/>
      <c r="E354" s="3204"/>
    </row>
    <row r="355" spans="1:5" s="1998" customFormat="1">
      <c r="A355" s="3204"/>
      <c r="C355" s="3205"/>
      <c r="E355" s="3204"/>
    </row>
    <row r="356" spans="1:5" s="1998" customFormat="1">
      <c r="A356" s="3204"/>
      <c r="C356" s="3205"/>
      <c r="E356" s="3204"/>
    </row>
    <row r="357" spans="1:5" s="1998" customFormat="1">
      <c r="A357" s="3204"/>
      <c r="C357" s="3205"/>
      <c r="E357" s="3204"/>
    </row>
    <row r="358" spans="1:5" s="1998" customFormat="1">
      <c r="A358" s="3204"/>
      <c r="C358" s="3205"/>
      <c r="E358" s="3204"/>
    </row>
    <row r="359" spans="1:5" s="1998" customFormat="1">
      <c r="A359" s="3204"/>
      <c r="C359" s="3205"/>
      <c r="E359" s="3204"/>
    </row>
    <row r="360" spans="1:5" s="1998" customFormat="1">
      <c r="A360" s="3204"/>
      <c r="C360" s="3205"/>
      <c r="E360" s="3204"/>
    </row>
    <row r="361" spans="1:5" s="1998" customFormat="1">
      <c r="A361" s="3204"/>
      <c r="C361" s="3205"/>
      <c r="E361" s="3204"/>
    </row>
    <row r="362" spans="1:5" s="1998" customFormat="1">
      <c r="A362" s="3204"/>
      <c r="C362" s="3205"/>
      <c r="E362" s="3204"/>
    </row>
    <row r="363" spans="1:5" s="1998" customFormat="1">
      <c r="A363" s="3204"/>
      <c r="C363" s="3205"/>
      <c r="E363" s="3204"/>
    </row>
    <row r="364" spans="1:5" s="1998" customFormat="1">
      <c r="A364" s="3204"/>
      <c r="C364" s="3205"/>
      <c r="E364" s="3204"/>
    </row>
    <row r="365" spans="1:5" s="1998" customFormat="1">
      <c r="A365" s="3204"/>
      <c r="C365" s="3205"/>
      <c r="E365" s="3204"/>
    </row>
    <row r="366" spans="1:5" s="1998" customFormat="1">
      <c r="A366" s="3204"/>
      <c r="C366" s="3205"/>
      <c r="E366" s="3204"/>
    </row>
    <row r="367" spans="1:5" s="1998" customFormat="1">
      <c r="A367" s="3204"/>
      <c r="C367" s="3205"/>
      <c r="E367" s="3204"/>
    </row>
    <row r="368" spans="1:5" s="1998" customFormat="1">
      <c r="A368" s="3204"/>
      <c r="C368" s="3205"/>
      <c r="E368" s="3204"/>
    </row>
    <row r="369" spans="1:5" s="1998" customFormat="1">
      <c r="A369" s="3204"/>
      <c r="C369" s="3205"/>
      <c r="E369" s="3204"/>
    </row>
    <row r="370" spans="1:5" s="1998" customFormat="1">
      <c r="A370" s="3204"/>
      <c r="C370" s="3205"/>
      <c r="E370" s="3204"/>
    </row>
    <row r="371" spans="1:5" s="1998" customFormat="1">
      <c r="A371" s="3204"/>
      <c r="C371" s="3205"/>
      <c r="E371" s="3204"/>
    </row>
    <row r="372" spans="1:5" s="1998" customFormat="1">
      <c r="A372" s="3204"/>
      <c r="C372" s="3205"/>
      <c r="E372" s="3204"/>
    </row>
    <row r="373" spans="1:5" s="1998" customFormat="1">
      <c r="A373" s="3204"/>
      <c r="C373" s="3205"/>
      <c r="E373" s="3204"/>
    </row>
    <row r="374" spans="1:5" s="1998" customFormat="1">
      <c r="A374" s="3204"/>
      <c r="C374" s="3205"/>
      <c r="E374" s="3204"/>
    </row>
    <row r="375" spans="1:5" s="1998" customFormat="1">
      <c r="A375" s="3204"/>
      <c r="C375" s="3205"/>
      <c r="E375" s="3204"/>
    </row>
    <row r="376" spans="1:5" s="1998" customFormat="1">
      <c r="A376" s="3204"/>
      <c r="C376" s="3205"/>
      <c r="E376" s="3204"/>
    </row>
    <row r="377" spans="1:5" s="1998" customFormat="1">
      <c r="A377" s="3204"/>
      <c r="C377" s="3205"/>
      <c r="E377" s="3204"/>
    </row>
    <row r="378" spans="1:5" s="1998" customFormat="1">
      <c r="A378" s="3204"/>
      <c r="C378" s="3205"/>
      <c r="E378" s="3204"/>
    </row>
    <row r="379" spans="1:5" s="1998" customFormat="1">
      <c r="A379" s="3204"/>
      <c r="C379" s="3205"/>
      <c r="E379" s="3204"/>
    </row>
    <row r="380" spans="1:5" s="1998" customFormat="1">
      <c r="A380" s="3204"/>
      <c r="C380" s="3205"/>
      <c r="E380" s="3204"/>
    </row>
    <row r="381" spans="1:5" s="1998" customFormat="1">
      <c r="A381" s="3204"/>
      <c r="C381" s="3205"/>
      <c r="E381" s="3204"/>
    </row>
    <row r="382" spans="1:5" s="1998" customFormat="1">
      <c r="A382" s="3204"/>
      <c r="C382" s="3205"/>
      <c r="E382" s="3204"/>
    </row>
    <row r="383" spans="1:5" s="1998" customFormat="1">
      <c r="A383" s="3204"/>
      <c r="C383" s="3205"/>
      <c r="E383" s="3204"/>
    </row>
    <row r="384" spans="1:5" s="1998" customFormat="1">
      <c r="A384" s="3204"/>
      <c r="C384" s="3205"/>
      <c r="E384" s="3204"/>
    </row>
    <row r="385" spans="1:5" s="1998" customFormat="1">
      <c r="A385" s="3204"/>
      <c r="C385" s="3205"/>
      <c r="E385" s="3204"/>
    </row>
    <row r="386" spans="1:5" s="1998" customFormat="1">
      <c r="A386" s="3204"/>
      <c r="C386" s="3205"/>
      <c r="E386" s="3204"/>
    </row>
    <row r="387" spans="1:5" s="1998" customFormat="1">
      <c r="A387" s="3204"/>
      <c r="C387" s="3205"/>
      <c r="E387" s="3204"/>
    </row>
    <row r="388" spans="1:5" s="1998" customFormat="1">
      <c r="A388" s="3204"/>
      <c r="C388" s="3205"/>
      <c r="E388" s="3204"/>
    </row>
    <row r="389" spans="1:5" s="1998" customFormat="1">
      <c r="A389" s="3204"/>
      <c r="C389" s="3205"/>
      <c r="E389" s="3204"/>
    </row>
    <row r="390" spans="1:5" s="1998" customFormat="1">
      <c r="A390" s="3204"/>
      <c r="C390" s="3205"/>
      <c r="E390" s="3204"/>
    </row>
    <row r="391" spans="1:5" s="1998" customFormat="1">
      <c r="A391" s="3204"/>
      <c r="C391" s="3205"/>
      <c r="E391" s="3204"/>
    </row>
    <row r="392" spans="1:5" s="1998" customFormat="1">
      <c r="A392" s="3204"/>
      <c r="C392" s="3205"/>
      <c r="E392" s="3204"/>
    </row>
    <row r="393" spans="1:5" s="1998" customFormat="1">
      <c r="A393" s="3204"/>
      <c r="C393" s="3205"/>
      <c r="E393" s="3204"/>
    </row>
    <row r="394" spans="1:5" s="1998" customFormat="1">
      <c r="A394" s="3204"/>
      <c r="C394" s="3205"/>
      <c r="E394" s="3204"/>
    </row>
    <row r="395" spans="1:5" s="1998" customFormat="1">
      <c r="A395" s="3204"/>
      <c r="C395" s="3205"/>
      <c r="E395" s="3204"/>
    </row>
    <row r="396" spans="1:5" s="1998" customFormat="1">
      <c r="A396" s="3204"/>
      <c r="C396" s="3205"/>
      <c r="E396" s="3204"/>
    </row>
    <row r="397" spans="1:5" s="1998" customFormat="1">
      <c r="A397" s="3204"/>
      <c r="C397" s="3205"/>
      <c r="E397" s="3204"/>
    </row>
    <row r="398" spans="1:5" s="1998" customFormat="1">
      <c r="A398" s="3204"/>
      <c r="C398" s="3205"/>
      <c r="E398" s="3204"/>
    </row>
    <row r="399" spans="1:5" s="1998" customFormat="1">
      <c r="A399" s="3204"/>
      <c r="C399" s="3205"/>
      <c r="E399" s="3204"/>
    </row>
    <row r="400" spans="1:5" s="1998" customFormat="1">
      <c r="A400" s="3204"/>
      <c r="C400" s="3205"/>
      <c r="E400" s="3204"/>
    </row>
    <row r="401" spans="1:5" s="1998" customFormat="1">
      <c r="A401" s="3204"/>
      <c r="C401" s="3205"/>
      <c r="E401" s="3204"/>
    </row>
    <row r="402" spans="1:5" s="1998" customFormat="1">
      <c r="A402" s="3204"/>
      <c r="C402" s="3205"/>
      <c r="E402" s="3204"/>
    </row>
    <row r="403" spans="1:5" s="1998" customFormat="1">
      <c r="A403" s="3204"/>
      <c r="C403" s="3205"/>
      <c r="E403" s="3204"/>
    </row>
    <row r="404" spans="1:5" s="1998" customFormat="1">
      <c r="A404" s="3204"/>
      <c r="C404" s="3205"/>
      <c r="E404" s="3204"/>
    </row>
    <row r="405" spans="1:5" s="1998" customFormat="1">
      <c r="A405" s="3204"/>
      <c r="C405" s="3205"/>
      <c r="E405" s="3204"/>
    </row>
    <row r="406" spans="1:5" s="1998" customFormat="1">
      <c r="A406" s="3204"/>
      <c r="C406" s="3205"/>
      <c r="E406" s="3204"/>
    </row>
    <row r="407" spans="1:5" s="1998" customFormat="1">
      <c r="A407" s="3204"/>
      <c r="C407" s="3205"/>
      <c r="E407" s="3204"/>
    </row>
    <row r="408" spans="1:5" s="1998" customFormat="1">
      <c r="A408" s="3204"/>
      <c r="C408" s="3205"/>
      <c r="E408" s="3204"/>
    </row>
    <row r="409" spans="1:5" s="1998" customFormat="1">
      <c r="A409" s="3204"/>
      <c r="C409" s="3205"/>
      <c r="E409" s="3204"/>
    </row>
    <row r="410" spans="1:5" s="1998" customFormat="1">
      <c r="A410" s="3204"/>
      <c r="C410" s="3205"/>
      <c r="E410" s="3204"/>
    </row>
    <row r="411" spans="1:5" s="1998" customFormat="1">
      <c r="A411" s="3204"/>
      <c r="C411" s="3205"/>
      <c r="E411" s="3204"/>
    </row>
    <row r="412" spans="1:5" s="1998" customFormat="1">
      <c r="A412" s="3204"/>
      <c r="C412" s="3205"/>
      <c r="E412" s="3204"/>
    </row>
    <row r="413" spans="1:5" s="1998" customFormat="1">
      <c r="A413" s="3204"/>
      <c r="C413" s="3205"/>
      <c r="E413" s="3204"/>
    </row>
    <row r="414" spans="1:5" s="1998" customFormat="1">
      <c r="A414" s="3204"/>
      <c r="C414" s="3205"/>
      <c r="E414" s="3204"/>
    </row>
    <row r="415" spans="1:5" s="1998" customFormat="1">
      <c r="A415" s="3204"/>
      <c r="C415" s="3205"/>
      <c r="E415" s="3204"/>
    </row>
    <row r="416" spans="1:5" s="1998" customFormat="1">
      <c r="A416" s="3204"/>
      <c r="C416" s="3205"/>
      <c r="E416" s="3204"/>
    </row>
    <row r="417" spans="1:5" s="1998" customFormat="1">
      <c r="A417" s="3204"/>
      <c r="C417" s="3205"/>
      <c r="E417" s="3204"/>
    </row>
    <row r="418" spans="1:5" s="1998" customFormat="1">
      <c r="A418" s="3204"/>
      <c r="C418" s="3205"/>
      <c r="E418" s="3204"/>
    </row>
    <row r="419" spans="1:5" s="1998" customFormat="1">
      <c r="A419" s="3204"/>
      <c r="C419" s="3205"/>
      <c r="E419" s="3204"/>
    </row>
    <row r="420" spans="1:5" s="1998" customFormat="1">
      <c r="A420" s="3204"/>
      <c r="C420" s="3205"/>
      <c r="E420" s="3204"/>
    </row>
    <row r="421" spans="1:5" s="1998" customFormat="1">
      <c r="A421" s="3204"/>
      <c r="C421" s="3205"/>
      <c r="E421" s="3204"/>
    </row>
    <row r="422" spans="1:5" s="1998" customFormat="1">
      <c r="A422" s="3204"/>
      <c r="C422" s="3205"/>
      <c r="E422" s="3204"/>
    </row>
    <row r="423" spans="1:5" s="1998" customFormat="1">
      <c r="A423" s="3204"/>
      <c r="C423" s="3205"/>
      <c r="E423" s="3204"/>
    </row>
    <row r="424" spans="1:5" s="1998" customFormat="1">
      <c r="A424" s="3204"/>
      <c r="C424" s="3205"/>
      <c r="E424" s="3204"/>
    </row>
    <row r="425" spans="1:5" s="1998" customFormat="1">
      <c r="A425" s="3204"/>
      <c r="C425" s="3205"/>
      <c r="E425" s="3204"/>
    </row>
    <row r="426" spans="1:5" s="1998" customFormat="1">
      <c r="A426" s="3204"/>
      <c r="C426" s="3205"/>
      <c r="E426" s="3204"/>
    </row>
    <row r="427" spans="1:5" s="1998" customFormat="1">
      <c r="A427" s="3204"/>
      <c r="C427" s="3205"/>
      <c r="E427" s="3204"/>
    </row>
    <row r="428" spans="1:5" s="1998" customFormat="1">
      <c r="A428" s="3204"/>
      <c r="C428" s="3205"/>
      <c r="E428" s="3204"/>
    </row>
    <row r="429" spans="1:5" s="1998" customFormat="1">
      <c r="A429" s="3204"/>
      <c r="C429" s="3205"/>
      <c r="E429" s="3204"/>
    </row>
    <row r="430" spans="1:5" s="1998" customFormat="1">
      <c r="A430" s="3204"/>
      <c r="C430" s="3205"/>
      <c r="E430" s="3204"/>
    </row>
    <row r="431" spans="1:5" s="1998" customFormat="1">
      <c r="A431" s="3204"/>
      <c r="C431" s="3205"/>
      <c r="E431" s="3204"/>
    </row>
    <row r="432" spans="1:5" s="1998" customFormat="1">
      <c r="A432" s="3204"/>
      <c r="C432" s="3205"/>
      <c r="E432" s="3204"/>
    </row>
    <row r="433" spans="1:5" s="1998" customFormat="1">
      <c r="A433" s="3204"/>
      <c r="C433" s="3205"/>
      <c r="E433" s="3204"/>
    </row>
    <row r="434" spans="1:5" s="1998" customFormat="1">
      <c r="A434" s="3204"/>
      <c r="C434" s="3205"/>
      <c r="E434" s="3204"/>
    </row>
    <row r="435" spans="1:5" s="1998" customFormat="1">
      <c r="A435" s="3204"/>
      <c r="C435" s="3205"/>
      <c r="E435" s="3204"/>
    </row>
    <row r="436" spans="1:5" s="1998" customFormat="1">
      <c r="A436" s="3204"/>
      <c r="C436" s="3205"/>
      <c r="E436" s="3204"/>
    </row>
    <row r="437" spans="1:5" s="1998" customFormat="1">
      <c r="A437" s="3204"/>
      <c r="C437" s="3205"/>
      <c r="E437" s="3204"/>
    </row>
    <row r="438" spans="1:5" s="1998" customFormat="1">
      <c r="A438" s="3204"/>
      <c r="C438" s="3205"/>
      <c r="E438" s="3204"/>
    </row>
    <row r="439" spans="1:5" s="1998" customFormat="1">
      <c r="A439" s="3204"/>
      <c r="C439" s="3205"/>
      <c r="E439" s="3204"/>
    </row>
    <row r="440" spans="1:5" s="1998" customFormat="1">
      <c r="A440" s="3204"/>
      <c r="C440" s="3205"/>
      <c r="E440" s="3204"/>
    </row>
    <row r="441" spans="1:5" s="1998" customFormat="1">
      <c r="A441" s="3204"/>
      <c r="C441" s="3205"/>
      <c r="E441" s="3204"/>
    </row>
    <row r="442" spans="1:5" s="1998" customFormat="1">
      <c r="A442" s="3204"/>
      <c r="C442" s="3205"/>
      <c r="E442" s="3204"/>
    </row>
    <row r="443" spans="1:5" s="1998" customFormat="1">
      <c r="A443" s="3204"/>
      <c r="C443" s="3205"/>
      <c r="E443" s="3204"/>
    </row>
    <row r="444" spans="1:5" s="1998" customFormat="1">
      <c r="A444" s="3204"/>
      <c r="C444" s="3205"/>
      <c r="E444" s="3204"/>
    </row>
    <row r="445" spans="1:5" s="1998" customFormat="1">
      <c r="A445" s="3204"/>
      <c r="C445" s="3205"/>
      <c r="E445" s="3204"/>
    </row>
    <row r="446" spans="1:5" s="1998" customFormat="1">
      <c r="A446" s="3204"/>
      <c r="C446" s="3205"/>
      <c r="E446" s="3204"/>
    </row>
    <row r="447" spans="1:5" s="1998" customFormat="1">
      <c r="A447" s="3204"/>
      <c r="C447" s="3205"/>
      <c r="E447" s="3204"/>
    </row>
    <row r="448" spans="1:5" s="1998" customFormat="1">
      <c r="A448" s="3204"/>
      <c r="C448" s="3205"/>
      <c r="E448" s="3204"/>
    </row>
    <row r="449" spans="1:5" s="1998" customFormat="1">
      <c r="A449" s="3204"/>
      <c r="C449" s="3205"/>
      <c r="E449" s="3204"/>
    </row>
    <row r="450" spans="1:5" s="1998" customFormat="1">
      <c r="A450" s="3204"/>
      <c r="C450" s="3205"/>
      <c r="E450" s="3204"/>
    </row>
    <row r="451" spans="1:5" s="1998" customFormat="1">
      <c r="A451" s="3204"/>
      <c r="C451" s="3205"/>
      <c r="E451" s="3204"/>
    </row>
    <row r="452" spans="1:5" s="1998" customFormat="1">
      <c r="A452" s="3204"/>
      <c r="C452" s="3205"/>
      <c r="E452" s="3204"/>
    </row>
    <row r="453" spans="1:5" s="1998" customFormat="1">
      <c r="A453" s="3204"/>
      <c r="C453" s="3205"/>
      <c r="E453" s="3204"/>
    </row>
    <row r="454" spans="1:5" s="1998" customFormat="1">
      <c r="A454" s="3204"/>
      <c r="C454" s="3205"/>
      <c r="E454" s="3204"/>
    </row>
    <row r="455" spans="1:5" s="1998" customFormat="1">
      <c r="A455" s="3204"/>
      <c r="C455" s="3205"/>
      <c r="E455" s="3204"/>
    </row>
    <row r="456" spans="1:5" s="1998" customFormat="1">
      <c r="A456" s="3204"/>
      <c r="C456" s="3205"/>
      <c r="E456" s="3204"/>
    </row>
    <row r="457" spans="1:5" s="1998" customFormat="1">
      <c r="A457" s="3204"/>
      <c r="C457" s="3205"/>
      <c r="E457" s="3204"/>
    </row>
    <row r="458" spans="1:5" s="1998" customFormat="1">
      <c r="A458" s="3204"/>
      <c r="C458" s="3205"/>
      <c r="E458" s="3204"/>
    </row>
    <row r="459" spans="1:5" s="1998" customFormat="1">
      <c r="A459" s="3204"/>
      <c r="C459" s="3205"/>
      <c r="E459" s="3204"/>
    </row>
    <row r="460" spans="1:5" s="1998" customFormat="1">
      <c r="A460" s="3204"/>
      <c r="C460" s="3205"/>
      <c r="E460" s="3204"/>
    </row>
    <row r="461" spans="1:5" s="1998" customFormat="1">
      <c r="A461" s="3204"/>
      <c r="C461" s="3205"/>
      <c r="E461" s="3204"/>
    </row>
    <row r="462" spans="1:5" s="1998" customFormat="1">
      <c r="A462" s="3204"/>
      <c r="C462" s="3205"/>
      <c r="E462" s="3204"/>
    </row>
    <row r="463" spans="1:5" s="1998" customFormat="1">
      <c r="A463" s="3204"/>
      <c r="C463" s="3205"/>
      <c r="E463" s="3204"/>
    </row>
    <row r="464" spans="1:5" s="1998" customFormat="1">
      <c r="A464" s="3204"/>
      <c r="C464" s="3205"/>
      <c r="E464" s="3204"/>
    </row>
    <row r="465" spans="1:5" s="1998" customFormat="1">
      <c r="A465" s="3204"/>
      <c r="C465" s="3205"/>
      <c r="E465" s="3204"/>
    </row>
    <row r="466" spans="1:5" s="1998" customFormat="1">
      <c r="A466" s="3204"/>
      <c r="C466" s="3205"/>
      <c r="E466" s="3204"/>
    </row>
    <row r="467" spans="1:5" s="1998" customFormat="1">
      <c r="A467" s="3204"/>
      <c r="C467" s="3205"/>
      <c r="E467" s="3204"/>
    </row>
    <row r="468" spans="1:5" s="1998" customFormat="1">
      <c r="A468" s="3204"/>
      <c r="C468" s="3205"/>
      <c r="E468" s="3204"/>
    </row>
    <row r="469" spans="1:5" s="1998" customFormat="1">
      <c r="A469" s="3204"/>
      <c r="C469" s="3205"/>
      <c r="E469" s="3204"/>
    </row>
    <row r="470" spans="1:5" s="1998" customFormat="1">
      <c r="A470" s="3204"/>
      <c r="C470" s="3205"/>
      <c r="E470" s="3204"/>
    </row>
    <row r="471" spans="1:5" s="1998" customFormat="1">
      <c r="A471" s="3204"/>
      <c r="C471" s="3205"/>
      <c r="E471" s="3204"/>
    </row>
    <row r="472" spans="1:5" s="1998" customFormat="1">
      <c r="A472" s="3204"/>
      <c r="C472" s="3205"/>
      <c r="E472" s="3204"/>
    </row>
    <row r="473" spans="1:5" s="1998" customFormat="1">
      <c r="A473" s="3204"/>
      <c r="C473" s="3205"/>
      <c r="E473" s="3204"/>
    </row>
    <row r="474" spans="1:5" s="1998" customFormat="1">
      <c r="A474" s="3204"/>
      <c r="C474" s="3205"/>
      <c r="E474" s="3204"/>
    </row>
    <row r="475" spans="1:5" s="1998" customFormat="1">
      <c r="A475" s="3204"/>
      <c r="C475" s="3205"/>
      <c r="E475" s="3204"/>
    </row>
    <row r="476" spans="1:5" s="1998" customFormat="1">
      <c r="A476" s="3204"/>
      <c r="C476" s="3205"/>
      <c r="E476" s="3204"/>
    </row>
    <row r="477" spans="1:5" s="1998" customFormat="1">
      <c r="A477" s="3204"/>
      <c r="C477" s="3205"/>
      <c r="E477" s="3204"/>
    </row>
    <row r="478" spans="1:5" s="1998" customFormat="1">
      <c r="A478" s="3204"/>
      <c r="C478" s="3205"/>
      <c r="E478" s="3204"/>
    </row>
    <row r="479" spans="1:5" s="1998" customFormat="1">
      <c r="A479" s="3204"/>
      <c r="C479" s="3205"/>
      <c r="E479" s="3204"/>
    </row>
    <row r="480" spans="1:5" s="1998" customFormat="1">
      <c r="A480" s="3204"/>
      <c r="C480" s="3205"/>
      <c r="E480" s="3204"/>
    </row>
    <row r="481" spans="1:5" s="1998" customFormat="1">
      <c r="A481" s="3204"/>
      <c r="C481" s="3205"/>
      <c r="E481" s="3204"/>
    </row>
    <row r="482" spans="1:5" s="1998" customFormat="1">
      <c r="A482" s="3204"/>
      <c r="C482" s="3205"/>
      <c r="E482" s="3204"/>
    </row>
    <row r="483" spans="1:5" s="1998" customFormat="1">
      <c r="A483" s="3204"/>
      <c r="C483" s="3205"/>
      <c r="E483" s="3204"/>
    </row>
    <row r="484" spans="1:5" s="1998" customFormat="1">
      <c r="A484" s="3204"/>
      <c r="C484" s="3205"/>
      <c r="E484" s="3204"/>
    </row>
    <row r="485" spans="1:5" s="1998" customFormat="1">
      <c r="A485" s="3204"/>
      <c r="C485" s="3205"/>
      <c r="E485" s="3204"/>
    </row>
    <row r="486" spans="1:5" s="1998" customFormat="1">
      <c r="A486" s="3204"/>
      <c r="C486" s="3205"/>
      <c r="E486" s="3204"/>
    </row>
    <row r="487" spans="1:5" s="1998" customFormat="1">
      <c r="A487" s="3204"/>
      <c r="C487" s="3205"/>
      <c r="E487" s="3204"/>
    </row>
    <row r="488" spans="1:5" s="1998" customFormat="1">
      <c r="A488" s="3204"/>
      <c r="C488" s="3205"/>
      <c r="E488" s="3204"/>
    </row>
    <row r="489" spans="1:5" s="1998" customFormat="1">
      <c r="A489" s="3204"/>
      <c r="C489" s="3205"/>
      <c r="E489" s="3204"/>
    </row>
    <row r="490" spans="1:5" s="1998"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94" t="str">
        <f>项目基本情况!B1</f>
        <v>山东省潍坊市青州市弥河流域二宗住宅用地出让国有建设用地使用权抵押价格预评估</v>
      </c>
      <c r="C37" s="3294"/>
      <c r="D37" s="3294"/>
      <c r="E37" s="3294"/>
      <c r="F37" s="3294"/>
      <c r="G37" s="3294"/>
      <c r="H37" s="3294"/>
      <c r="I37" s="3294"/>
    </row>
    <row r="38" spans="1:9">
      <c r="A38" s="1585"/>
      <c r="B38" s="1585"/>
    </row>
    <row r="39" spans="1:9">
      <c r="A39" s="1583" t="s">
        <v>1892</v>
      </c>
      <c r="B39" s="1583" t="s">
        <v>2035</v>
      </c>
    </row>
    <row r="40" spans="1:9">
      <c r="A40" s="1583"/>
      <c r="B40" s="1583" t="str">
        <f>项目基本情况!B5</f>
        <v>昆仑信托有限责任公司</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郑燚、崔锴</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6"/>
      <c r="M6" s="3196"/>
      <c r="N6" s="3196"/>
      <c r="O6" s="3196"/>
      <c r="P6" s="3196"/>
      <c r="Q6" s="3196"/>
      <c r="R6" s="3196"/>
      <c r="S6" s="3196"/>
      <c r="T6" s="3196"/>
      <c r="U6" s="3196"/>
      <c r="V6" s="3196"/>
      <c r="W6" s="3196"/>
      <c r="X6" s="3196"/>
      <c r="Y6" s="3196"/>
      <c r="Z6" s="3196"/>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6"/>
      <c r="M11" s="3196"/>
      <c r="N11" s="3196"/>
      <c r="O11" s="3196"/>
      <c r="P11" s="3196"/>
      <c r="Q11" s="3196"/>
      <c r="R11" s="3196"/>
      <c r="S11" s="3196"/>
      <c r="T11" s="3196"/>
      <c r="U11" s="3196"/>
      <c r="V11" s="3196"/>
      <c r="W11" s="3196"/>
      <c r="X11" s="3196"/>
      <c r="Y11" s="3196"/>
      <c r="Z11" s="3196"/>
    </row>
    <row r="12" spans="1:41" s="1968"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9" customFormat="1" ht="13.5" customHeight="1">
      <c r="A13" s="1562" t="s">
        <v>1839</v>
      </c>
      <c r="B13" s="443" t="s">
        <v>473</v>
      </c>
      <c r="C13" s="444">
        <f ca="1">IF(B1="",'数据-取费表'!M16,INDIRECT("'数据-取费表'!M"&amp;$K$1)+INDIRECT("'数据-取费表'!t"&amp;$K$1))</f>
        <v>98818</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1976</v>
      </c>
      <c r="D14" s="445"/>
      <c r="E14" s="363"/>
      <c r="F14" s="447">
        <f>'数据-取费表'!B33</f>
        <v>0.02</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1976</v>
      </c>
      <c r="D15" s="445"/>
      <c r="E15" s="363"/>
      <c r="F15" s="447">
        <f>'数据-取费表'!B34</f>
        <v>0.02</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9882</v>
      </c>
      <c r="D16" s="445">
        <f ca="1">IF(B1="",'数据-汇总表'!E3,INDIRECT("'数据-取费表'!K"&amp;$K$1)+INDIRECT("'数据-取费表'!S"&amp;$K$1))</f>
        <v>494091.91</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1482</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114134</v>
      </c>
      <c r="D18" s="455"/>
      <c r="E18" s="456"/>
      <c r="F18" s="456"/>
      <c r="G18" s="1281"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2" customFormat="1" ht="13.5" customHeight="1">
      <c r="A19" s="1563" t="s">
        <v>1845</v>
      </c>
      <c r="B19" s="453" t="s">
        <v>487</v>
      </c>
      <c r="C19" s="454">
        <f ca="1">ROUND(C18*F19,0)</f>
        <v>3424</v>
      </c>
      <c r="D19" s="456"/>
      <c r="E19" s="456"/>
      <c r="F19" s="460">
        <f>'数据-取费表'!B37</f>
        <v>0.03</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2" customFormat="1" ht="13.5" customHeight="1">
      <c r="A20" s="1563" t="s">
        <v>1846</v>
      </c>
      <c r="B20" s="453" t="s">
        <v>498</v>
      </c>
      <c r="C20" s="2744">
        <f>F20</f>
        <v>0.03</v>
      </c>
      <c r="D20" s="463" t="s">
        <v>499</v>
      </c>
      <c r="E20" s="463"/>
      <c r="F20" s="480">
        <f>'数据-取费表'!B38</f>
        <v>0.03</v>
      </c>
      <c r="G20" s="1281"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4" customFormat="1" ht="13.5" customHeight="1">
      <c r="A21" s="1563" t="s">
        <v>1849</v>
      </c>
      <c r="B21" s="455" t="s">
        <v>488</v>
      </c>
      <c r="C21" s="464">
        <f ca="1">C22</f>
        <v>5114</v>
      </c>
      <c r="D21" s="461">
        <f ca="1">C23</f>
        <v>1.2999999999999999E-3</v>
      </c>
      <c r="E21" s="463" t="s">
        <v>501</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3" customFormat="1" ht="13.5" customHeight="1">
      <c r="A22" s="1562" t="s">
        <v>1839</v>
      </c>
      <c r="B22" s="1282" t="s">
        <v>2419</v>
      </c>
      <c r="C22" s="481">
        <f ca="1">ROUND(IF('数据-取费表'!B22&lt;=1,(C18+C19)*F21*'数据-取费表'!B20/2,(C18+C19)*(POWER((1+F21),'数据-取费表'!B20/2)-1)),0)</f>
        <v>5114</v>
      </c>
      <c r="D22" s="466"/>
      <c r="E22" s="467"/>
      <c r="F22" s="468"/>
      <c r="G22" s="2421"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3" customFormat="1" ht="13.5" customHeight="1">
      <c r="A23" s="1562" t="s">
        <v>1840</v>
      </c>
      <c r="B23" s="1282" t="s">
        <v>502</v>
      </c>
      <c r="C23" s="482">
        <f ca="1">ROUND(IF('数据-取费表'!B22&lt;=1,F20*F21*'数据-取费表'!B20/2,F20*(POWER((1+F21),'数据-取费表'!B20/2)-1)),4)</f>
        <v>1.2999999999999999E-3</v>
      </c>
      <c r="D23" s="466"/>
      <c r="E23" s="467"/>
      <c r="F23" s="468"/>
      <c r="G23" s="2421"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3" customFormat="1" ht="13.5" customHeight="1">
      <c r="A24" s="1563" t="s">
        <v>1850</v>
      </c>
      <c r="B24" s="2746" t="s">
        <v>2811</v>
      </c>
      <c r="C24" s="472">
        <f ca="1">C25</f>
        <v>15283</v>
      </c>
      <c r="D24" s="483">
        <f ca="1">C26</f>
        <v>3.8999999999999998E-3</v>
      </c>
      <c r="E24" s="463" t="s">
        <v>501</v>
      </c>
      <c r="F24" s="473">
        <f ca="1">IF(B1="",'数据-取费表'!Q16,INDIRECT("'数据-取费表'!q"&amp;$K$1))</f>
        <v>0.13</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3" customFormat="1" ht="13.5" customHeight="1">
      <c r="A25" s="1562" t="s">
        <v>1839</v>
      </c>
      <c r="B25" s="1282" t="s">
        <v>2420</v>
      </c>
      <c r="C25" s="484">
        <f ca="1">ROUND((C18+C19)*F24,0)</f>
        <v>15283</v>
      </c>
      <c r="D25" s="466"/>
      <c r="E25" s="467"/>
      <c r="F25" s="474"/>
      <c r="G25" s="1280"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3" customFormat="1" ht="13.5" customHeight="1">
      <c r="A26" s="1562" t="s">
        <v>1840</v>
      </c>
      <c r="B26" s="1282" t="s">
        <v>503</v>
      </c>
      <c r="C26" s="485">
        <f ca="1">ROUND(F20*F24,4)</f>
        <v>3.8999999999999998E-3</v>
      </c>
      <c r="D26" s="466"/>
      <c r="E26" s="475"/>
      <c r="F26" s="474"/>
      <c r="G26" s="1280"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3" customFormat="1" ht="13.5" customHeight="1">
      <c r="A27" s="1566" t="s">
        <v>1858</v>
      </c>
      <c r="B27" s="453" t="s">
        <v>505</v>
      </c>
      <c r="C27" s="2745">
        <f>ROUND(F27/(1+'数据-取费表'!C42),4)</f>
        <v>5.3800000000000001E-2</v>
      </c>
      <c r="D27" s="456" t="s">
        <v>2809</v>
      </c>
      <c r="E27" s="456"/>
      <c r="F27" s="460">
        <f>'数据-取费表'!B41</f>
        <v>5.6500000000000002E-2</v>
      </c>
      <c r="G27" s="1875"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4" customFormat="1" ht="13.5" customHeight="1">
      <c r="A28" s="1566" t="s">
        <v>1859</v>
      </c>
      <c r="B28" s="470" t="s">
        <v>506</v>
      </c>
      <c r="C28" s="464">
        <f ca="1">ROUND((C18+C19+C21+C24)/(1-C20-D21-D24-C27),0)</f>
        <v>151432</v>
      </c>
      <c r="D28" s="471"/>
      <c r="E28" s="463"/>
      <c r="F28" s="465"/>
      <c r="G28" s="1281"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4" customFormat="1" ht="13.5" customHeight="1">
      <c r="A30" s="437">
        <v>2</v>
      </c>
      <c r="B30" s="470" t="s">
        <v>508</v>
      </c>
      <c r="C30" s="491">
        <f ca="1">ROUND(C28*C29,0)</f>
        <v>0</v>
      </c>
      <c r="D30" s="487"/>
      <c r="E30" s="492"/>
      <c r="F30" s="493"/>
      <c r="G30" s="1283"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9" customFormat="1" ht="13.5" customHeight="1">
      <c r="A31" s="2336" t="s">
        <v>1856</v>
      </c>
      <c r="B31" s="1284"/>
      <c r="C31" s="494">
        <f>ROUND(C6*F31/(1+'数据-取费表'!C42),0)</f>
        <v>0</v>
      </c>
      <c r="D31" s="1285"/>
      <c r="E31" s="1285"/>
      <c r="F31" s="495">
        <f>'数据-取费表'!B41</f>
        <v>5.6500000000000002E-2</v>
      </c>
      <c r="G31" s="1286"/>
      <c r="H31" s="1286"/>
      <c r="I31" s="1286"/>
      <c r="J31" s="1287"/>
      <c r="K31" s="1288"/>
      <c r="L31" s="3206"/>
      <c r="M31" s="3206"/>
      <c r="N31" s="3206"/>
      <c r="O31" s="3206"/>
      <c r="P31" s="3206"/>
      <c r="Q31" s="3206"/>
      <c r="R31" s="3206"/>
      <c r="S31" s="3206"/>
      <c r="T31" s="3206"/>
      <c r="U31" s="3206"/>
      <c r="V31" s="3206"/>
      <c r="W31" s="3206"/>
      <c r="X31" s="3206"/>
      <c r="Y31" s="3206"/>
      <c r="Z31" s="3206"/>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2932</v>
      </c>
      <c r="H32" s="477"/>
      <c r="I32" s="477"/>
      <c r="J32" s="477"/>
      <c r="K32" s="479"/>
      <c r="L32" s="3197"/>
      <c r="M32" s="3197"/>
      <c r="N32" s="3197"/>
      <c r="O32" s="3197"/>
      <c r="P32" s="3197"/>
      <c r="Q32" s="3197"/>
      <c r="R32" s="3197"/>
      <c r="S32" s="3197"/>
      <c r="T32" s="3197"/>
      <c r="U32" s="3197"/>
      <c r="V32" s="3197"/>
      <c r="W32" s="3197"/>
      <c r="X32" s="3197"/>
      <c r="Y32" s="3197"/>
      <c r="Z32" s="3197"/>
    </row>
    <row r="33" spans="1:5" s="1998" customFormat="1">
      <c r="A33" s="3204"/>
      <c r="C33" s="3205"/>
      <c r="E33" s="3204"/>
    </row>
    <row r="34" spans="1:5" s="1998" customFormat="1" ht="12.75" customHeight="1">
      <c r="A34" s="3204"/>
      <c r="C34" s="3205"/>
      <c r="E34" s="3204"/>
    </row>
    <row r="35" spans="1:5" s="1998" customFormat="1">
      <c r="A35" s="3204"/>
      <c r="C35" s="3205"/>
      <c r="E35" s="3204"/>
    </row>
    <row r="36" spans="1:5" s="1998" customFormat="1">
      <c r="A36" s="3204"/>
      <c r="C36" s="3205"/>
      <c r="E36" s="3204"/>
    </row>
    <row r="37" spans="1:5" s="1998" customFormat="1">
      <c r="A37" s="3204"/>
      <c r="C37" s="3205"/>
      <c r="E37" s="3204"/>
    </row>
    <row r="38" spans="1:5" s="1998" customFormat="1">
      <c r="A38" s="3204"/>
      <c r="C38" s="3205"/>
      <c r="E38" s="3204"/>
    </row>
    <row r="39" spans="1:5" s="1998" customFormat="1">
      <c r="A39" s="3204"/>
      <c r="C39" s="3205"/>
      <c r="E39" s="3204"/>
    </row>
    <row r="40" spans="1:5" s="1998" customFormat="1">
      <c r="A40" s="3204"/>
      <c r="C40" s="3205"/>
      <c r="E40" s="3204"/>
    </row>
    <row r="41" spans="1:5" s="1998" customFormat="1">
      <c r="A41" s="3204"/>
      <c r="C41" s="3205"/>
      <c r="E41" s="3204"/>
    </row>
    <row r="42" spans="1:5" s="1998" customFormat="1">
      <c r="A42" s="3204"/>
      <c r="C42" s="3205"/>
      <c r="E42" s="3204"/>
    </row>
    <row r="43" spans="1:5" s="1998" customFormat="1">
      <c r="A43" s="3204"/>
      <c r="C43" s="3205"/>
      <c r="E43" s="3204"/>
    </row>
    <row r="44" spans="1:5" s="1998" customFormat="1">
      <c r="A44" s="3204"/>
      <c r="C44" s="3205"/>
      <c r="E44" s="3204"/>
    </row>
    <row r="45" spans="1:5" s="1998" customFormat="1">
      <c r="A45" s="3204"/>
      <c r="C45" s="3205"/>
      <c r="E45" s="3204"/>
    </row>
    <row r="46" spans="1:5" s="1998" customFormat="1">
      <c r="A46" s="3204"/>
      <c r="C46" s="3205"/>
      <c r="E46" s="3204"/>
    </row>
    <row r="47" spans="1:5" s="1998" customFormat="1">
      <c r="A47" s="3204"/>
      <c r="C47" s="3205"/>
      <c r="E47" s="3204"/>
    </row>
    <row r="48" spans="1:5" s="1998" customFormat="1">
      <c r="A48" s="3204"/>
      <c r="C48" s="3205"/>
      <c r="E48" s="3204"/>
    </row>
    <row r="49" spans="1:5" s="1998" customFormat="1">
      <c r="A49" s="3204"/>
      <c r="C49" s="3205"/>
      <c r="E49" s="3204"/>
    </row>
    <row r="50" spans="1:5" s="1998" customFormat="1">
      <c r="A50" s="3204"/>
      <c r="C50" s="3205"/>
      <c r="E50" s="3204"/>
    </row>
    <row r="51" spans="1:5" s="1998" customFormat="1">
      <c r="A51" s="3204"/>
      <c r="C51" s="3205"/>
      <c r="E51" s="3204"/>
    </row>
    <row r="52" spans="1:5" s="1998" customFormat="1">
      <c r="A52" s="3204"/>
      <c r="C52" s="3205"/>
      <c r="E52" s="3204"/>
    </row>
    <row r="53" spans="1:5" s="1998" customFormat="1">
      <c r="A53" s="3204"/>
      <c r="C53" s="3205"/>
      <c r="E53" s="3204"/>
    </row>
    <row r="54" spans="1:5" s="1998" customFormat="1">
      <c r="A54" s="3204"/>
      <c r="C54" s="3205"/>
      <c r="E54" s="3204"/>
    </row>
    <row r="55" spans="1:5" s="1998" customFormat="1">
      <c r="A55" s="3204"/>
      <c r="C55" s="3205"/>
      <c r="E55" s="3204"/>
    </row>
    <row r="56" spans="1:5" s="1998" customFormat="1">
      <c r="A56" s="3204"/>
      <c r="C56" s="3205"/>
      <c r="E56" s="3204"/>
    </row>
    <row r="57" spans="1:5" s="1998" customFormat="1">
      <c r="A57" s="3204"/>
      <c r="C57" s="3205"/>
      <c r="E57" s="3204"/>
    </row>
    <row r="58" spans="1:5" s="1998" customFormat="1">
      <c r="A58" s="3204"/>
      <c r="C58" s="3205"/>
      <c r="E58" s="3204"/>
    </row>
    <row r="59" spans="1:5" s="1998" customFormat="1">
      <c r="A59" s="3204"/>
      <c r="C59" s="3205"/>
      <c r="E59" s="3204"/>
    </row>
    <row r="60" spans="1:5" s="1998" customFormat="1">
      <c r="A60" s="3204"/>
      <c r="C60" s="3205"/>
      <c r="E60" s="3204"/>
    </row>
    <row r="61" spans="1:5" s="1998" customFormat="1">
      <c r="A61" s="3204"/>
      <c r="C61" s="3205"/>
      <c r="E61" s="3204"/>
    </row>
    <row r="62" spans="1:5" s="1998" customFormat="1">
      <c r="A62" s="3204"/>
      <c r="C62" s="3205"/>
      <c r="E62" s="3204"/>
    </row>
    <row r="63" spans="1:5" s="1998" customFormat="1">
      <c r="A63" s="3204"/>
      <c r="C63" s="3205"/>
      <c r="E63" s="3204"/>
    </row>
    <row r="64" spans="1:5" s="1998" customFormat="1">
      <c r="A64" s="3204"/>
      <c r="C64" s="3205"/>
      <c r="E64" s="3204"/>
    </row>
    <row r="65" spans="1:5" s="1998" customFormat="1">
      <c r="A65" s="3204"/>
      <c r="C65" s="3205"/>
      <c r="E65" s="3204"/>
    </row>
    <row r="66" spans="1:5" s="1998" customFormat="1">
      <c r="A66" s="3204"/>
      <c r="C66" s="3205"/>
      <c r="E66" s="3204"/>
    </row>
    <row r="67" spans="1:5" s="1998" customFormat="1">
      <c r="A67" s="3204"/>
      <c r="C67" s="3205"/>
      <c r="E67" s="3204"/>
    </row>
    <row r="68" spans="1:5" s="1998" customFormat="1">
      <c r="A68" s="3204"/>
      <c r="C68" s="3205"/>
      <c r="E68" s="3204"/>
    </row>
    <row r="69" spans="1:5" s="1998" customFormat="1">
      <c r="A69" s="3204"/>
      <c r="C69" s="3205"/>
      <c r="E69" s="3204"/>
    </row>
    <row r="70" spans="1:5" s="1998" customFormat="1">
      <c r="A70" s="3204"/>
      <c r="C70" s="3205"/>
      <c r="E70" s="3204"/>
    </row>
    <row r="71" spans="1:5" s="1998" customFormat="1">
      <c r="A71" s="3204"/>
      <c r="C71" s="3205"/>
      <c r="E71" s="3204"/>
    </row>
    <row r="72" spans="1:5" s="1998" customFormat="1">
      <c r="A72" s="3204"/>
      <c r="C72" s="3205"/>
      <c r="E72" s="3204"/>
    </row>
    <row r="73" spans="1:5" s="1998" customFormat="1">
      <c r="A73" s="3204"/>
      <c r="C73" s="3205"/>
      <c r="E73" s="3204"/>
    </row>
    <row r="74" spans="1:5" s="1998" customFormat="1">
      <c r="A74" s="3204"/>
      <c r="C74" s="3205"/>
      <c r="E74" s="3204"/>
    </row>
    <row r="75" spans="1:5" s="1998" customFormat="1">
      <c r="A75" s="3204"/>
      <c r="C75" s="3205"/>
      <c r="E75" s="3204"/>
    </row>
    <row r="76" spans="1:5" s="1998" customFormat="1">
      <c r="A76" s="3204"/>
      <c r="C76" s="3205"/>
      <c r="E76" s="3204"/>
    </row>
    <row r="77" spans="1:5" s="1998" customFormat="1">
      <c r="A77" s="3204"/>
      <c r="C77" s="3205"/>
      <c r="E77" s="3204"/>
    </row>
    <row r="78" spans="1:5" s="1998" customFormat="1">
      <c r="A78" s="3204"/>
      <c r="C78" s="3205"/>
      <c r="E78" s="3204"/>
    </row>
    <row r="79" spans="1:5" s="1998" customFormat="1">
      <c r="A79" s="3204"/>
      <c r="C79" s="3205"/>
      <c r="E79" s="3204"/>
    </row>
    <row r="80" spans="1:5" s="1998" customFormat="1">
      <c r="A80" s="3204"/>
      <c r="C80" s="3205"/>
      <c r="E80" s="3204"/>
    </row>
    <row r="81" spans="1:5" s="1998" customFormat="1">
      <c r="A81" s="3204"/>
      <c r="C81" s="3205"/>
      <c r="E81" s="3204"/>
    </row>
    <row r="82" spans="1:5" s="1998" customFormat="1">
      <c r="A82" s="3204"/>
      <c r="C82" s="3205"/>
      <c r="E82" s="3204"/>
    </row>
    <row r="83" spans="1:5" s="1998" customFormat="1">
      <c r="A83" s="3204"/>
      <c r="C83" s="3205"/>
      <c r="E83" s="3204"/>
    </row>
    <row r="84" spans="1:5" s="1998" customFormat="1">
      <c r="A84" s="3204"/>
      <c r="C84" s="3205"/>
      <c r="E84" s="3204"/>
    </row>
    <row r="85" spans="1:5" s="1998" customFormat="1">
      <c r="A85" s="3204"/>
      <c r="C85" s="3205"/>
      <c r="E85" s="3204"/>
    </row>
    <row r="86" spans="1:5" s="1998" customFormat="1">
      <c r="A86" s="3204"/>
      <c r="C86" s="3205"/>
      <c r="E86" s="3204"/>
    </row>
    <row r="87" spans="1:5" s="1998" customFormat="1">
      <c r="A87" s="3204"/>
      <c r="C87" s="3205"/>
      <c r="E87" s="3204"/>
    </row>
    <row r="88" spans="1:5" s="1998" customFormat="1">
      <c r="A88" s="3204"/>
      <c r="C88" s="3205"/>
      <c r="E88" s="3204"/>
    </row>
    <row r="89" spans="1:5" s="1998" customFormat="1">
      <c r="A89" s="3204"/>
      <c r="C89" s="3205"/>
      <c r="E89" s="3204"/>
    </row>
    <row r="90" spans="1:5" s="1998" customFormat="1">
      <c r="A90" s="3204"/>
      <c r="C90" s="3205"/>
      <c r="E90" s="3204"/>
    </row>
    <row r="91" spans="1:5" s="1998" customFormat="1">
      <c r="A91" s="3204"/>
      <c r="C91" s="3205"/>
      <c r="E91" s="3204"/>
    </row>
    <row r="92" spans="1:5" s="1998" customFormat="1">
      <c r="A92" s="3204"/>
      <c r="C92" s="3205"/>
      <c r="E92" s="3204"/>
    </row>
    <row r="93" spans="1:5" s="1998" customFormat="1">
      <c r="A93" s="3204"/>
      <c r="C93" s="3205"/>
      <c r="E93" s="3204"/>
    </row>
    <row r="94" spans="1:5" s="1998" customFormat="1">
      <c r="A94" s="3204"/>
      <c r="C94" s="3205"/>
      <c r="E94" s="3204"/>
    </row>
    <row r="95" spans="1:5" s="1998" customFormat="1">
      <c r="A95" s="3204"/>
      <c r="C95" s="3205"/>
      <c r="E95" s="3204"/>
    </row>
    <row r="96" spans="1:5" s="1998" customFormat="1">
      <c r="A96" s="3204"/>
      <c r="C96" s="3205"/>
      <c r="E96" s="3204"/>
    </row>
    <row r="97" spans="1:5" s="1998" customFormat="1">
      <c r="A97" s="3204"/>
      <c r="C97" s="3205"/>
      <c r="E97" s="3204"/>
    </row>
    <row r="98" spans="1:5" s="1998" customFormat="1">
      <c r="A98" s="3204"/>
      <c r="C98" s="3205"/>
      <c r="E98" s="3204"/>
    </row>
    <row r="99" spans="1:5" s="1998" customFormat="1">
      <c r="A99" s="3204"/>
      <c r="C99" s="3205"/>
      <c r="E99" s="3204"/>
    </row>
    <row r="100" spans="1:5" s="1998" customFormat="1">
      <c r="A100" s="3204"/>
      <c r="C100" s="3205"/>
      <c r="E100" s="3204"/>
    </row>
    <row r="101" spans="1:5" s="1998" customFormat="1">
      <c r="A101" s="3204"/>
      <c r="C101" s="3205"/>
      <c r="E101" s="3204"/>
    </row>
    <row r="102" spans="1:5" s="1998" customFormat="1">
      <c r="A102" s="3204"/>
      <c r="C102" s="3205"/>
      <c r="E102" s="3204"/>
    </row>
    <row r="103" spans="1:5" s="1998" customFormat="1">
      <c r="A103" s="3204"/>
      <c r="C103" s="3205"/>
      <c r="E103" s="3204"/>
    </row>
    <row r="104" spans="1:5" s="1998" customFormat="1">
      <c r="A104" s="3204"/>
      <c r="C104" s="3205"/>
      <c r="E104" s="3204"/>
    </row>
    <row r="105" spans="1:5" s="1998" customFormat="1">
      <c r="A105" s="3204"/>
      <c r="C105" s="3205"/>
      <c r="E105" s="3204"/>
    </row>
    <row r="106" spans="1:5" s="1998" customFormat="1">
      <c r="A106" s="3204"/>
      <c r="C106" s="3205"/>
      <c r="E106" s="3204"/>
    </row>
    <row r="107" spans="1:5" s="1998" customFormat="1">
      <c r="A107" s="3204"/>
      <c r="C107" s="3205"/>
      <c r="E107" s="3204"/>
    </row>
    <row r="108" spans="1:5" s="1998" customFormat="1">
      <c r="A108" s="3204"/>
      <c r="C108" s="3205"/>
      <c r="E108" s="3204"/>
    </row>
    <row r="109" spans="1:5" s="1998" customFormat="1">
      <c r="A109" s="3204"/>
      <c r="C109" s="3205"/>
      <c r="E109" s="3204"/>
    </row>
    <row r="110" spans="1:5" s="1998" customFormat="1">
      <c r="A110" s="3204"/>
      <c r="C110" s="3205"/>
      <c r="E110" s="3204"/>
    </row>
    <row r="111" spans="1:5" s="1998" customFormat="1">
      <c r="A111" s="3204"/>
      <c r="C111" s="3205"/>
      <c r="E111" s="3204"/>
    </row>
    <row r="112" spans="1:5" s="1998" customFormat="1">
      <c r="A112" s="3204"/>
      <c r="C112" s="3205"/>
      <c r="E112" s="3204"/>
    </row>
    <row r="113" spans="1:5" s="1998" customFormat="1">
      <c r="A113" s="3204"/>
      <c r="C113" s="3205"/>
      <c r="E113" s="3204"/>
    </row>
    <row r="114" spans="1:5" s="1998" customFormat="1">
      <c r="A114" s="3204"/>
      <c r="C114" s="3205"/>
      <c r="E114" s="3204"/>
    </row>
    <row r="115" spans="1:5" s="1998" customFormat="1">
      <c r="A115" s="3204"/>
      <c r="C115" s="3205"/>
      <c r="E115" s="3204"/>
    </row>
    <row r="116" spans="1:5" s="1998" customFormat="1">
      <c r="A116" s="3204"/>
      <c r="C116" s="3205"/>
      <c r="E116" s="3204"/>
    </row>
    <row r="117" spans="1:5" s="1998" customFormat="1">
      <c r="A117" s="3204"/>
      <c r="C117" s="3205"/>
      <c r="E117" s="3204"/>
    </row>
    <row r="118" spans="1:5" s="1998" customFormat="1">
      <c r="A118" s="3204"/>
      <c r="C118" s="3205"/>
      <c r="E118" s="3204"/>
    </row>
    <row r="119" spans="1:5" s="1998" customFormat="1">
      <c r="A119" s="3204"/>
      <c r="C119" s="3205"/>
      <c r="E119" s="3204"/>
    </row>
    <row r="120" spans="1:5" s="1998" customFormat="1">
      <c r="A120" s="3204"/>
      <c r="C120" s="3205"/>
      <c r="E120" s="3204"/>
    </row>
    <row r="121" spans="1:5" s="1998" customFormat="1">
      <c r="A121" s="3204"/>
      <c r="C121" s="3205"/>
      <c r="E121" s="3204"/>
    </row>
    <row r="122" spans="1:5" s="1998" customFormat="1">
      <c r="A122" s="3204"/>
      <c r="C122" s="3205"/>
      <c r="E122" s="3204"/>
    </row>
    <row r="123" spans="1:5" s="1998" customFormat="1">
      <c r="A123" s="3204"/>
      <c r="C123" s="3205"/>
      <c r="E123" s="3204"/>
    </row>
    <row r="124" spans="1:5" s="1998" customFormat="1">
      <c r="A124" s="3204"/>
      <c r="C124" s="3205"/>
      <c r="E124" s="3204"/>
    </row>
    <row r="125" spans="1:5" s="1998" customFormat="1">
      <c r="A125" s="3204"/>
      <c r="C125" s="3205"/>
      <c r="E125" s="3204"/>
    </row>
    <row r="126" spans="1:5" s="1998" customFormat="1">
      <c r="A126" s="3204"/>
      <c r="C126" s="3205"/>
      <c r="E126" s="3204"/>
    </row>
    <row r="127" spans="1:5" s="1998" customFormat="1">
      <c r="A127" s="3204"/>
      <c r="C127" s="3205"/>
      <c r="E127" s="3204"/>
    </row>
    <row r="128" spans="1:5" s="1998" customFormat="1">
      <c r="A128" s="3204"/>
      <c r="C128" s="3205"/>
      <c r="E128" s="3204"/>
    </row>
    <row r="129" spans="1:5" s="1998" customFormat="1">
      <c r="A129" s="3204"/>
      <c r="C129" s="3205"/>
      <c r="E129" s="3204"/>
    </row>
    <row r="130" spans="1:5" s="1998" customFormat="1">
      <c r="A130" s="3204"/>
      <c r="C130" s="3205"/>
      <c r="E130" s="3204"/>
    </row>
    <row r="131" spans="1:5" s="1998" customFormat="1">
      <c r="A131" s="3204"/>
      <c r="C131" s="3205"/>
      <c r="E131" s="3204"/>
    </row>
    <row r="132" spans="1:5" s="1998" customFormat="1">
      <c r="A132" s="3204"/>
      <c r="C132" s="3205"/>
      <c r="E132" s="3204"/>
    </row>
    <row r="133" spans="1:5" s="1998" customFormat="1">
      <c r="A133" s="3204"/>
      <c r="C133" s="3205"/>
      <c r="E133" s="3204"/>
    </row>
    <row r="134" spans="1:5" s="1998" customFormat="1">
      <c r="A134" s="3204"/>
      <c r="C134" s="3205"/>
      <c r="E134" s="3204"/>
    </row>
    <row r="135" spans="1:5" s="1998" customFormat="1">
      <c r="A135" s="3204"/>
      <c r="C135" s="3205"/>
      <c r="E135" s="3204"/>
    </row>
    <row r="136" spans="1:5" s="1998" customFormat="1">
      <c r="A136" s="3204"/>
      <c r="C136" s="3205"/>
      <c r="E136" s="3204"/>
    </row>
    <row r="137" spans="1:5" s="1998" customFormat="1">
      <c r="A137" s="3204"/>
      <c r="C137" s="3205"/>
      <c r="E137" s="3204"/>
    </row>
    <row r="138" spans="1:5" s="1998" customFormat="1">
      <c r="A138" s="3204"/>
      <c r="C138" s="3205"/>
      <c r="E138" s="3204"/>
    </row>
    <row r="139" spans="1:5" s="1998" customFormat="1">
      <c r="A139" s="3204"/>
      <c r="C139" s="3205"/>
      <c r="E139" s="3204"/>
    </row>
    <row r="140" spans="1:5" s="1998" customFormat="1">
      <c r="A140" s="3204"/>
      <c r="C140" s="3205"/>
      <c r="E140" s="3204"/>
    </row>
    <row r="141" spans="1:5" s="1998" customFormat="1">
      <c r="A141" s="3204"/>
      <c r="C141" s="3205"/>
      <c r="E141" s="3204"/>
    </row>
    <row r="142" spans="1:5" s="1998" customFormat="1">
      <c r="A142" s="3204"/>
      <c r="C142" s="3205"/>
      <c r="E142" s="3204"/>
    </row>
    <row r="143" spans="1:5" s="1998" customFormat="1">
      <c r="A143" s="3204"/>
      <c r="C143" s="3205"/>
      <c r="E143" s="3204"/>
    </row>
    <row r="144" spans="1:5" s="1998" customFormat="1">
      <c r="A144" s="3204"/>
      <c r="C144" s="3205"/>
      <c r="E144" s="3204"/>
    </row>
    <row r="145" spans="1:5" s="1998" customFormat="1">
      <c r="A145" s="3204"/>
      <c r="C145" s="3205"/>
      <c r="E145" s="3204"/>
    </row>
    <row r="146" spans="1:5" s="1998" customFormat="1">
      <c r="A146" s="3204"/>
      <c r="C146" s="3205"/>
      <c r="E146" s="3204"/>
    </row>
    <row r="147" spans="1:5" s="1998" customFormat="1">
      <c r="A147" s="3204"/>
      <c r="C147" s="3205"/>
      <c r="E147" s="3204"/>
    </row>
    <row r="148" spans="1:5" s="1998" customFormat="1">
      <c r="A148" s="3204"/>
      <c r="C148" s="3205"/>
      <c r="E148" s="3204"/>
    </row>
    <row r="149" spans="1:5" s="1998" customFormat="1">
      <c r="A149" s="3204"/>
      <c r="C149" s="3205"/>
      <c r="E149" s="3204"/>
    </row>
    <row r="150" spans="1:5" s="1998" customFormat="1">
      <c r="A150" s="3204"/>
      <c r="C150" s="3205"/>
      <c r="E150" s="3204"/>
    </row>
    <row r="151" spans="1:5" s="1998" customFormat="1">
      <c r="A151" s="3204"/>
      <c r="C151" s="3205"/>
      <c r="E151" s="3204"/>
    </row>
    <row r="152" spans="1:5" s="1998" customFormat="1">
      <c r="A152" s="3204"/>
      <c r="C152" s="3205"/>
      <c r="E152" s="3204"/>
    </row>
    <row r="153" spans="1:5" s="1998" customFormat="1">
      <c r="A153" s="3204"/>
      <c r="C153" s="3205"/>
      <c r="E153" s="3204"/>
    </row>
    <row r="154" spans="1:5" s="1998" customFormat="1">
      <c r="A154" s="3204"/>
      <c r="C154" s="3205"/>
      <c r="E154" s="3204"/>
    </row>
    <row r="155" spans="1:5" s="1998" customFormat="1">
      <c r="A155" s="3204"/>
      <c r="C155" s="3205"/>
      <c r="E155" s="3204"/>
    </row>
    <row r="156" spans="1:5" s="1998" customFormat="1">
      <c r="A156" s="3204"/>
      <c r="C156" s="3205"/>
      <c r="E156" s="3204"/>
    </row>
    <row r="157" spans="1:5" s="1998" customFormat="1">
      <c r="A157" s="3204"/>
      <c r="C157" s="3205"/>
      <c r="E157" s="3204"/>
    </row>
    <row r="158" spans="1:5" s="1998" customFormat="1">
      <c r="A158" s="3204"/>
      <c r="C158" s="3205"/>
      <c r="E158" s="3204"/>
    </row>
    <row r="159" spans="1:5" s="1998" customFormat="1">
      <c r="A159" s="3204"/>
      <c r="C159" s="3205"/>
      <c r="E159" s="3204"/>
    </row>
    <row r="160" spans="1:5" s="1998" customFormat="1">
      <c r="A160" s="3204"/>
      <c r="C160" s="3205"/>
      <c r="E160" s="3204"/>
    </row>
    <row r="161" spans="1:5" s="1998" customFormat="1">
      <c r="A161" s="3204"/>
      <c r="C161" s="3205"/>
      <c r="E161" s="3204"/>
    </row>
    <row r="162" spans="1:5" s="1998" customFormat="1">
      <c r="A162" s="3204"/>
      <c r="C162" s="3205"/>
      <c r="E162" s="3204"/>
    </row>
    <row r="163" spans="1:5" s="1998" customFormat="1">
      <c r="A163" s="3204"/>
      <c r="C163" s="3205"/>
      <c r="E163" s="3204"/>
    </row>
    <row r="164" spans="1:5" s="1998" customFormat="1">
      <c r="A164" s="3204"/>
      <c r="C164" s="3205"/>
      <c r="E164" s="3204"/>
    </row>
    <row r="165" spans="1:5" s="1998" customFormat="1">
      <c r="A165" s="3204"/>
      <c r="C165" s="3205"/>
      <c r="E165" s="3204"/>
    </row>
    <row r="166" spans="1:5" s="1998" customFormat="1">
      <c r="A166" s="3204"/>
      <c r="C166" s="3205"/>
      <c r="E166" s="3204"/>
    </row>
    <row r="167" spans="1:5" s="1998" customFormat="1">
      <c r="A167" s="3204"/>
      <c r="C167" s="3205"/>
      <c r="E167" s="3204"/>
    </row>
    <row r="168" spans="1:5" s="1998" customFormat="1">
      <c r="A168" s="3204"/>
      <c r="C168" s="3205"/>
      <c r="E168" s="3204"/>
    </row>
    <row r="169" spans="1:5" s="1998" customFormat="1">
      <c r="A169" s="3204"/>
      <c r="C169" s="3205"/>
      <c r="E169" s="3204"/>
    </row>
    <row r="170" spans="1:5" s="1998" customFormat="1">
      <c r="A170" s="3204"/>
      <c r="C170" s="3205"/>
      <c r="E170" s="3204"/>
    </row>
    <row r="171" spans="1:5" s="1998" customFormat="1">
      <c r="A171" s="3204"/>
      <c r="C171" s="3205"/>
      <c r="E171" s="3204"/>
    </row>
    <row r="172" spans="1:5" s="1998" customFormat="1">
      <c r="A172" s="3204"/>
      <c r="C172" s="3205"/>
      <c r="E172" s="3204"/>
    </row>
    <row r="173" spans="1:5" s="1998" customFormat="1">
      <c r="A173" s="3204"/>
      <c r="C173" s="3205"/>
      <c r="E173" s="3204"/>
    </row>
    <row r="174" spans="1:5" s="1998" customFormat="1">
      <c r="A174" s="3204"/>
      <c r="C174" s="3205"/>
      <c r="E174" s="3204"/>
    </row>
    <row r="175" spans="1:5" s="1998" customFormat="1">
      <c r="A175" s="3204"/>
      <c r="C175" s="3205"/>
      <c r="E175" s="3204"/>
    </row>
    <row r="176" spans="1:5" s="1998" customFormat="1">
      <c r="A176" s="3204"/>
      <c r="C176" s="3205"/>
      <c r="E176" s="3204"/>
    </row>
    <row r="177" spans="1:5" s="1998" customFormat="1">
      <c r="A177" s="3204"/>
      <c r="C177" s="3205"/>
      <c r="E177" s="3204"/>
    </row>
    <row r="178" spans="1:5" s="1998" customFormat="1">
      <c r="A178" s="3204"/>
      <c r="C178" s="3205"/>
      <c r="E178" s="3204"/>
    </row>
    <row r="179" spans="1:5" s="1998" customFormat="1">
      <c r="A179" s="3204"/>
      <c r="C179" s="3205"/>
      <c r="E179" s="3204"/>
    </row>
    <row r="180" spans="1:5" s="1998" customFormat="1">
      <c r="A180" s="3204"/>
      <c r="C180" s="3205"/>
      <c r="E180" s="3204"/>
    </row>
    <row r="181" spans="1:5" s="1998" customFormat="1">
      <c r="A181" s="3204"/>
      <c r="C181" s="3205"/>
      <c r="E181" s="3204"/>
    </row>
    <row r="182" spans="1:5" s="1998" customFormat="1">
      <c r="A182" s="3204"/>
      <c r="C182" s="3205"/>
      <c r="E182" s="3204"/>
    </row>
    <row r="183" spans="1:5" s="1998" customFormat="1">
      <c r="A183" s="3204"/>
      <c r="C183" s="3205"/>
      <c r="E183" s="3204"/>
    </row>
    <row r="184" spans="1:5" s="1998" customFormat="1">
      <c r="A184" s="3204"/>
      <c r="C184" s="3205"/>
      <c r="E184" s="3204"/>
    </row>
    <row r="185" spans="1:5" s="1998" customFormat="1">
      <c r="A185" s="3204"/>
      <c r="C185" s="3205"/>
      <c r="E185" s="3204"/>
    </row>
    <row r="186" spans="1:5" s="1998" customFormat="1">
      <c r="A186" s="3204"/>
      <c r="C186" s="3205"/>
      <c r="E186" s="3204"/>
    </row>
    <row r="187" spans="1:5" s="1998" customFormat="1">
      <c r="A187" s="3204"/>
      <c r="C187" s="3205"/>
      <c r="E187" s="3204"/>
    </row>
    <row r="188" spans="1:5" s="1998" customFormat="1">
      <c r="A188" s="3204"/>
      <c r="C188" s="3205"/>
      <c r="E188" s="3204"/>
    </row>
    <row r="189" spans="1:5" s="1998" customFormat="1">
      <c r="A189" s="3204"/>
      <c r="C189" s="3205"/>
      <c r="E189" s="3204"/>
    </row>
    <row r="190" spans="1:5" s="1998" customFormat="1">
      <c r="A190" s="3204"/>
      <c r="C190" s="3205"/>
      <c r="E190" s="3204"/>
    </row>
    <row r="191" spans="1:5" s="1998" customFormat="1">
      <c r="A191" s="3204"/>
      <c r="C191" s="3205"/>
      <c r="E191" s="3204"/>
    </row>
    <row r="192" spans="1:5" s="1998" customFormat="1">
      <c r="A192" s="3204"/>
      <c r="C192" s="3205"/>
      <c r="E192" s="3204"/>
    </row>
    <row r="193" spans="1:5" s="1998" customFormat="1">
      <c r="A193" s="3204"/>
      <c r="C193" s="3205"/>
      <c r="E193" s="3204"/>
    </row>
    <row r="194" spans="1:5" s="1998" customFormat="1">
      <c r="A194" s="3204"/>
      <c r="C194" s="3205"/>
      <c r="E194" s="3204"/>
    </row>
    <row r="195" spans="1:5" s="1998" customFormat="1">
      <c r="A195" s="3204"/>
      <c r="C195" s="3205"/>
      <c r="E195" s="3204"/>
    </row>
    <row r="196" spans="1:5" s="1998" customFormat="1">
      <c r="A196" s="3204"/>
      <c r="C196" s="3205"/>
      <c r="E196" s="3204"/>
    </row>
    <row r="197" spans="1:5" s="1998" customFormat="1">
      <c r="A197" s="3204"/>
      <c r="C197" s="3205"/>
      <c r="E197" s="3204"/>
    </row>
    <row r="198" spans="1:5" s="1998" customFormat="1">
      <c r="A198" s="3204"/>
      <c r="C198" s="3205"/>
      <c r="E198" s="3204"/>
    </row>
    <row r="199" spans="1:5" s="1998" customFormat="1">
      <c r="A199" s="3204"/>
      <c r="C199" s="3205"/>
      <c r="E199" s="3204"/>
    </row>
    <row r="200" spans="1:5" s="1998" customFormat="1">
      <c r="A200" s="3204"/>
      <c r="C200" s="3205"/>
      <c r="E200" s="3204"/>
    </row>
    <row r="201" spans="1:5" s="1998" customFormat="1">
      <c r="A201" s="3204"/>
      <c r="C201" s="3205"/>
      <c r="E201" s="3204"/>
    </row>
    <row r="202" spans="1:5" s="1998" customFormat="1">
      <c r="A202" s="3204"/>
      <c r="C202" s="3205"/>
      <c r="E202" s="3204"/>
    </row>
    <row r="203" spans="1:5" s="1998" customFormat="1">
      <c r="A203" s="3204"/>
      <c r="C203" s="3205"/>
      <c r="E203" s="3204"/>
    </row>
    <row r="204" spans="1:5" s="1998" customFormat="1">
      <c r="A204" s="3204"/>
      <c r="C204" s="3205"/>
      <c r="E204" s="3204"/>
    </row>
    <row r="205" spans="1:5" s="1998" customFormat="1">
      <c r="A205" s="3204"/>
      <c r="C205" s="3205"/>
      <c r="E205" s="3204"/>
    </row>
    <row r="206" spans="1:5" s="1998" customFormat="1">
      <c r="A206" s="3204"/>
      <c r="C206" s="3205"/>
      <c r="E206" s="3204"/>
    </row>
    <row r="207" spans="1:5" s="1998" customFormat="1">
      <c r="A207" s="3204"/>
      <c r="C207" s="3205"/>
      <c r="E207" s="3204"/>
    </row>
    <row r="208" spans="1:5" s="1998" customFormat="1">
      <c r="A208" s="3204"/>
      <c r="C208" s="3205"/>
      <c r="E208" s="3204"/>
    </row>
    <row r="209" spans="1:5" s="1998" customFormat="1">
      <c r="A209" s="3204"/>
      <c r="C209" s="3205"/>
      <c r="E209" s="3204"/>
    </row>
    <row r="210" spans="1:5" s="1998" customFormat="1">
      <c r="A210" s="3204"/>
      <c r="C210" s="3205"/>
      <c r="E210" s="3204"/>
    </row>
    <row r="211" spans="1:5" s="1998" customFormat="1">
      <c r="A211" s="3204"/>
      <c r="C211" s="3205"/>
      <c r="E211" s="3204"/>
    </row>
    <row r="212" spans="1:5" s="1998" customFormat="1">
      <c r="A212" s="3204"/>
      <c r="C212" s="3205"/>
      <c r="E212" s="3204"/>
    </row>
    <row r="213" spans="1:5" s="1998" customFormat="1">
      <c r="A213" s="3204"/>
      <c r="C213" s="3205"/>
      <c r="E213" s="3204"/>
    </row>
    <row r="214" spans="1:5" s="1998" customFormat="1">
      <c r="A214" s="3204"/>
      <c r="C214" s="3205"/>
      <c r="E214" s="3204"/>
    </row>
    <row r="215" spans="1:5" s="1998" customFormat="1">
      <c r="A215" s="3204"/>
      <c r="C215" s="3205"/>
      <c r="E215" s="3204"/>
    </row>
    <row r="216" spans="1:5" s="1998" customFormat="1">
      <c r="A216" s="3204"/>
      <c r="C216" s="3205"/>
      <c r="E216" s="3204"/>
    </row>
    <row r="217" spans="1:5" s="1998" customFormat="1">
      <c r="A217" s="3204"/>
      <c r="C217" s="3205"/>
      <c r="E217" s="3204"/>
    </row>
    <row r="218" spans="1:5" s="1998" customFormat="1">
      <c r="A218" s="3204"/>
      <c r="C218" s="3205"/>
      <c r="E218" s="3204"/>
    </row>
    <row r="219" spans="1:5" s="1998" customFormat="1">
      <c r="A219" s="3204"/>
      <c r="C219" s="3205"/>
      <c r="E219" s="3204"/>
    </row>
    <row r="220" spans="1:5" s="1998" customFormat="1">
      <c r="A220" s="3204"/>
      <c r="C220" s="3205"/>
      <c r="E220" s="3204"/>
    </row>
    <row r="221" spans="1:5" s="1998" customFormat="1">
      <c r="A221" s="3204"/>
      <c r="C221" s="3205"/>
      <c r="E221" s="3204"/>
    </row>
    <row r="222" spans="1:5" s="1998" customFormat="1">
      <c r="A222" s="3204"/>
      <c r="C222" s="3205"/>
      <c r="E222" s="3204"/>
    </row>
    <row r="223" spans="1:5" s="1998" customFormat="1">
      <c r="A223" s="3204"/>
      <c r="C223" s="3205"/>
      <c r="E223" s="3204"/>
    </row>
    <row r="224" spans="1:5" s="1998" customFormat="1">
      <c r="A224" s="3204"/>
      <c r="C224" s="3205"/>
      <c r="E224" s="3204"/>
    </row>
    <row r="225" spans="1:5" s="1998"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G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461</v>
      </c>
      <c r="B2" s="502" t="e">
        <f>F63</f>
        <v>#DIV/0!</v>
      </c>
      <c r="C2" s="3221"/>
      <c r="D2" s="3221"/>
      <c r="E2" s="3221"/>
      <c r="F2" s="3222"/>
      <c r="G2" s="3221"/>
      <c r="H2" s="3221"/>
      <c r="I2" s="3221"/>
      <c r="J2" s="3221"/>
      <c r="K2" s="3223"/>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c r="A3" s="1332" t="s">
        <v>1676</v>
      </c>
      <c r="B3" s="504" t="e">
        <f>ROUND(B2*10000/'数据-汇总表'!E3,0)</f>
        <v>#DIV/0!</v>
      </c>
      <c r="C3" s="3220"/>
      <c r="D3" s="3220"/>
      <c r="E3" s="3220"/>
      <c r="F3" s="3220"/>
      <c r="G3" s="3221"/>
      <c r="H3" s="3221"/>
      <c r="I3" s="3221"/>
      <c r="J3" s="3221"/>
      <c r="K3" s="3223"/>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0"/>
      <c r="D4" s="3220"/>
      <c r="E4" s="3220"/>
      <c r="F4" s="3220"/>
      <c r="G4" s="3221"/>
      <c r="H4" s="3221"/>
      <c r="I4" s="3221"/>
      <c r="J4" s="3221"/>
      <c r="K4" s="3223"/>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0"/>
      <c r="E5" s="3220"/>
      <c r="F5" s="3220"/>
      <c r="G5" s="3221"/>
      <c r="H5" s="3221"/>
      <c r="I5" s="3221"/>
      <c r="J5" s="3221"/>
      <c r="K5" s="3223"/>
      <c r="L5" s="2014"/>
      <c r="M5" s="2015"/>
      <c r="N5" s="2015"/>
      <c r="O5" s="2015"/>
      <c r="P5" s="2015"/>
      <c r="Q5" s="2015"/>
      <c r="R5" s="2015"/>
      <c r="S5" s="2015"/>
      <c r="T5" s="2015"/>
      <c r="U5" s="2015"/>
      <c r="V5" s="2015"/>
      <c r="W5" s="2015"/>
      <c r="X5" s="2015"/>
      <c r="Y5" s="2015"/>
      <c r="Z5" s="2015"/>
      <c r="AA5" s="2015"/>
      <c r="AB5" s="3212"/>
      <c r="AC5" s="1945"/>
    </row>
    <row r="6" spans="1:29" ht="15">
      <c r="A6" s="506" t="s">
        <v>515</v>
      </c>
      <c r="B6" s="507"/>
      <c r="C6" s="3489" t="s">
        <v>516</v>
      </c>
      <c r="D6" s="3490"/>
      <c r="E6" s="3515" t="s">
        <v>517</v>
      </c>
      <c r="F6" s="3516"/>
      <c r="G6" s="3489" t="s">
        <v>518</v>
      </c>
      <c r="H6" s="3490"/>
      <c r="I6" s="3489" t="s">
        <v>519</v>
      </c>
      <c r="J6" s="3490"/>
      <c r="K6" s="508" t="s">
        <v>520</v>
      </c>
      <c r="L6" s="2016"/>
      <c r="M6" s="2017"/>
      <c r="N6" s="2017"/>
      <c r="O6" s="2017"/>
      <c r="P6" s="3491" t="s">
        <v>521</v>
      </c>
      <c r="Q6" s="3492"/>
      <c r="R6" s="3477" t="s">
        <v>517</v>
      </c>
      <c r="S6" s="3478"/>
      <c r="T6" s="3477" t="s">
        <v>518</v>
      </c>
      <c r="U6" s="3478"/>
      <c r="V6" s="3497" t="s">
        <v>519</v>
      </c>
      <c r="W6" s="3497"/>
      <c r="X6" s="1502"/>
      <c r="Y6" s="3477" t="s">
        <v>521</v>
      </c>
      <c r="Z6" s="3478"/>
      <c r="AA6" s="3472" t="s">
        <v>517</v>
      </c>
      <c r="AB6" s="3473" t="s">
        <v>518</v>
      </c>
      <c r="AC6" s="3472" t="s">
        <v>519</v>
      </c>
    </row>
    <row r="7" spans="1:29" ht="15">
      <c r="A7" s="509"/>
      <c r="B7" s="510"/>
      <c r="C7" s="3500" t="s">
        <v>2892</v>
      </c>
      <c r="D7" s="3501"/>
      <c r="E7" s="3517" t="s">
        <v>2893</v>
      </c>
      <c r="F7" s="3518"/>
      <c r="G7" s="3500" t="s">
        <v>2894</v>
      </c>
      <c r="H7" s="3501"/>
      <c r="I7" s="3500" t="s">
        <v>2895</v>
      </c>
      <c r="J7" s="3501"/>
      <c r="K7" s="508"/>
      <c r="L7" s="2016"/>
      <c r="M7" s="2017"/>
      <c r="N7" s="2017"/>
      <c r="O7" s="2017"/>
      <c r="P7" s="3493"/>
      <c r="Q7" s="3494"/>
      <c r="R7" s="3479"/>
      <c r="S7" s="3480"/>
      <c r="T7" s="3479"/>
      <c r="U7" s="3480"/>
      <c r="V7" s="3497"/>
      <c r="W7" s="3497"/>
      <c r="X7" s="1502"/>
      <c r="Y7" s="3479"/>
      <c r="Z7" s="3480"/>
      <c r="AA7" s="3473"/>
      <c r="AB7" s="3473"/>
      <c r="AC7" s="3473"/>
    </row>
    <row r="8" spans="1:29" ht="15.75" thickBot="1">
      <c r="A8" s="511"/>
      <c r="B8" s="512"/>
      <c r="C8" s="3498" t="s">
        <v>2896</v>
      </c>
      <c r="D8" s="3499"/>
      <c r="E8" s="3519" t="s">
        <v>2896</v>
      </c>
      <c r="F8" s="3520"/>
      <c r="G8" s="3498" t="s">
        <v>2896</v>
      </c>
      <c r="H8" s="3499"/>
      <c r="I8" s="3498" t="s">
        <v>2896</v>
      </c>
      <c r="J8" s="3499"/>
      <c r="K8" s="508" t="s">
        <v>522</v>
      </c>
      <c r="L8" s="2016"/>
      <c r="M8" s="2017"/>
      <c r="N8" s="2017"/>
      <c r="O8" s="2017"/>
      <c r="P8" s="3495"/>
      <c r="Q8" s="3496"/>
      <c r="R8" s="3479"/>
      <c r="S8" s="3480"/>
      <c r="T8" s="3481"/>
      <c r="U8" s="3482"/>
      <c r="V8" s="3497"/>
      <c r="W8" s="3497"/>
      <c r="X8" s="1502"/>
      <c r="Y8" s="3481"/>
      <c r="Z8" s="3482"/>
      <c r="AA8" s="3474"/>
      <c r="AB8" s="3474"/>
      <c r="AC8" s="3474"/>
    </row>
    <row r="9" spans="1:29" s="1203" customFormat="1" ht="15.75" thickBot="1">
      <c r="A9" s="2630"/>
      <c r="B9" s="2637" t="s">
        <v>523</v>
      </c>
      <c r="C9" s="513">
        <f>'数据-取费表'!B2</f>
        <v>44273</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75" t="s">
        <v>524</v>
      </c>
      <c r="Q9" s="3484"/>
      <c r="R9" s="1503" t="s">
        <v>8</v>
      </c>
      <c r="S9" s="1504">
        <f t="shared" ref="S9:S17" si="0">F9</f>
        <v>0</v>
      </c>
      <c r="T9" s="1503" t="s">
        <v>8</v>
      </c>
      <c r="U9" s="1504">
        <f t="shared" ref="U9:U17" si="1">H9</f>
        <v>0</v>
      </c>
      <c r="V9" s="1503" t="s">
        <v>8</v>
      </c>
      <c r="W9" s="1504">
        <f t="shared" ref="W9:W17" si="2">J9</f>
        <v>0</v>
      </c>
      <c r="X9" s="1505"/>
      <c r="Y9" s="3475" t="s">
        <v>524</v>
      </c>
      <c r="Z9" s="3476"/>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75" t="s">
        <v>527</v>
      </c>
      <c r="Q10" s="3476"/>
      <c r="R10" s="1503" t="s">
        <v>8</v>
      </c>
      <c r="S10" s="1504">
        <f t="shared" si="0"/>
        <v>0</v>
      </c>
      <c r="T10" s="1503" t="s">
        <v>8</v>
      </c>
      <c r="U10" s="1504">
        <f t="shared" si="1"/>
        <v>0</v>
      </c>
      <c r="V10" s="1503" t="s">
        <v>8</v>
      </c>
      <c r="W10" s="1504">
        <f t="shared" si="2"/>
        <v>0</v>
      </c>
      <c r="X10" s="1505"/>
      <c r="Y10" s="3475" t="s">
        <v>527</v>
      </c>
      <c r="Z10" s="3476"/>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83" t="s">
        <v>529</v>
      </c>
      <c r="Q11" s="1134" t="str">
        <f t="shared" ref="Q11:Q17" si="6">B11</f>
        <v>用途</v>
      </c>
      <c r="R11" s="1503" t="s">
        <v>8</v>
      </c>
      <c r="S11" s="1504">
        <f t="shared" si="0"/>
        <v>100</v>
      </c>
      <c r="T11" s="1503" t="s">
        <v>8</v>
      </c>
      <c r="U11" s="1504">
        <f t="shared" si="1"/>
        <v>100</v>
      </c>
      <c r="V11" s="1503" t="s">
        <v>8</v>
      </c>
      <c r="W11" s="1504">
        <f t="shared" si="2"/>
        <v>100</v>
      </c>
      <c r="X11" s="1505"/>
      <c r="Y11" s="3434"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f>ROUND(100/'数据-取费表'!G16,0)</f>
        <v>104</v>
      </c>
      <c r="G12" s="522"/>
      <c r="H12" s="253">
        <f>ROUND(100/'数据-取费表'!G16,0)</f>
        <v>104</v>
      </c>
      <c r="I12" s="522"/>
      <c r="J12" s="253">
        <f>ROUND(100/'数据-取费表'!G16,0)</f>
        <v>104</v>
      </c>
      <c r="K12" s="525"/>
      <c r="L12" s="2021"/>
      <c r="M12" s="2060"/>
      <c r="N12" s="2060"/>
      <c r="O12" s="2022"/>
      <c r="P12" s="3483"/>
      <c r="Q12" s="1134" t="str">
        <f t="shared" si="6"/>
        <v>土地使用年限（年）</v>
      </c>
      <c r="R12" s="1503" t="s">
        <v>8</v>
      </c>
      <c r="S12" s="1504">
        <f t="shared" si="0"/>
        <v>104</v>
      </c>
      <c r="T12" s="1503" t="s">
        <v>8</v>
      </c>
      <c r="U12" s="1504">
        <f t="shared" si="1"/>
        <v>104</v>
      </c>
      <c r="V12" s="1503" t="s">
        <v>8</v>
      </c>
      <c r="W12" s="1504">
        <f t="shared" si="2"/>
        <v>104</v>
      </c>
      <c r="X12" s="1505"/>
      <c r="Y12" s="3434"/>
      <c r="Z12" s="1133" t="str">
        <f t="shared" si="7"/>
        <v>土地使用年限（年）</v>
      </c>
      <c r="AA12" s="1506">
        <f t="shared" si="3"/>
        <v>0.96153846153846156</v>
      </c>
      <c r="AB12" s="1506">
        <f t="shared" si="4"/>
        <v>0.96153846153846156</v>
      </c>
      <c r="AC12" s="1506">
        <f t="shared" si="5"/>
        <v>0.96153846153846156</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83"/>
      <c r="Q13" s="1134" t="str">
        <f t="shared" si="6"/>
        <v>容积率</v>
      </c>
      <c r="R13" s="1503" t="s">
        <v>8</v>
      </c>
      <c r="S13" s="1504" t="e">
        <f t="shared" si="0"/>
        <v>#N/A</v>
      </c>
      <c r="T13" s="1503" t="s">
        <v>8</v>
      </c>
      <c r="U13" s="1504" t="e">
        <f t="shared" si="1"/>
        <v>#N/A</v>
      </c>
      <c r="V13" s="1503" t="s">
        <v>8</v>
      </c>
      <c r="W13" s="1504" t="e">
        <f t="shared" si="2"/>
        <v>#N/A</v>
      </c>
      <c r="X13" s="1505"/>
      <c r="Y13" s="3434"/>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83"/>
      <c r="Q14" s="1134">
        <f t="shared" si="6"/>
        <v>111</v>
      </c>
      <c r="R14" s="1503" t="s">
        <v>8</v>
      </c>
      <c r="S14" s="1504">
        <f t="shared" si="0"/>
        <v>100</v>
      </c>
      <c r="T14" s="1503" t="s">
        <v>8</v>
      </c>
      <c r="U14" s="1504">
        <f t="shared" si="1"/>
        <v>100</v>
      </c>
      <c r="V14" s="1503" t="s">
        <v>8</v>
      </c>
      <c r="W14" s="1504">
        <f t="shared" si="2"/>
        <v>100</v>
      </c>
      <c r="X14" s="1505"/>
      <c r="Y14" s="3434"/>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83"/>
      <c r="Q15" s="1134">
        <f t="shared" si="6"/>
        <v>111</v>
      </c>
      <c r="R15" s="1503" t="s">
        <v>8</v>
      </c>
      <c r="S15" s="1504">
        <f t="shared" si="0"/>
        <v>100</v>
      </c>
      <c r="T15" s="1503" t="s">
        <v>8</v>
      </c>
      <c r="U15" s="1504">
        <f t="shared" si="1"/>
        <v>100</v>
      </c>
      <c r="V15" s="1503" t="s">
        <v>8</v>
      </c>
      <c r="W15" s="1504">
        <f t="shared" si="2"/>
        <v>100</v>
      </c>
      <c r="X15" s="1505"/>
      <c r="Y15" s="3434"/>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83"/>
      <c r="Q16" s="1134">
        <f t="shared" si="6"/>
        <v>111</v>
      </c>
      <c r="R16" s="1503" t="s">
        <v>8</v>
      </c>
      <c r="S16" s="1504">
        <f t="shared" si="0"/>
        <v>100</v>
      </c>
      <c r="T16" s="1503" t="s">
        <v>8</v>
      </c>
      <c r="U16" s="1504">
        <f t="shared" si="1"/>
        <v>100</v>
      </c>
      <c r="V16" s="1503" t="s">
        <v>8</v>
      </c>
      <c r="W16" s="1504">
        <f t="shared" si="2"/>
        <v>100</v>
      </c>
      <c r="X16" s="1505"/>
      <c r="Y16" s="3434"/>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85" t="s">
        <v>534</v>
      </c>
      <c r="Q17" s="1507" t="str">
        <f t="shared" si="6"/>
        <v>产业集聚程度</v>
      </c>
      <c r="R17" s="1508" t="s">
        <v>8</v>
      </c>
      <c r="S17" s="1509">
        <f t="shared" si="0"/>
        <v>100</v>
      </c>
      <c r="T17" s="1508" t="s">
        <v>8</v>
      </c>
      <c r="U17" s="1509">
        <f t="shared" si="1"/>
        <v>100</v>
      </c>
      <c r="V17" s="1508" t="s">
        <v>8</v>
      </c>
      <c r="W17" s="1509">
        <f t="shared" si="2"/>
        <v>100</v>
      </c>
      <c r="X17" s="1502"/>
      <c r="Y17" s="3485"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86"/>
      <c r="Q18" s="1507"/>
      <c r="R18" s="1508"/>
      <c r="S18" s="1509"/>
      <c r="T18" s="1508"/>
      <c r="U18" s="1509"/>
      <c r="V18" s="1508"/>
      <c r="W18" s="1509"/>
      <c r="X18" s="1502"/>
      <c r="Y18" s="3486"/>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86"/>
      <c r="Q19" s="1507" t="str">
        <f>B19</f>
        <v>交通便捷度</v>
      </c>
      <c r="R19" s="1508" t="s">
        <v>8</v>
      </c>
      <c r="S19" s="1509">
        <f>F19</f>
        <v>100</v>
      </c>
      <c r="T19" s="1508" t="s">
        <v>8</v>
      </c>
      <c r="U19" s="1509">
        <f>H19</f>
        <v>100</v>
      </c>
      <c r="V19" s="1508" t="s">
        <v>8</v>
      </c>
      <c r="W19" s="1509">
        <f>J19</f>
        <v>100</v>
      </c>
      <c r="X19" s="1502"/>
      <c r="Y19" s="3486"/>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86"/>
      <c r="Q20" s="1507"/>
      <c r="R20" s="1508"/>
      <c r="S20" s="1509"/>
      <c r="T20" s="1508"/>
      <c r="U20" s="1509"/>
      <c r="V20" s="1508"/>
      <c r="W20" s="1509"/>
      <c r="X20" s="1502"/>
      <c r="Y20" s="3486"/>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86"/>
      <c r="Q21" s="1507" t="str">
        <f t="shared" ref="Q21:Q35" si="8">B21</f>
        <v>区域土地利用方向</v>
      </c>
      <c r="R21" s="1508" t="s">
        <v>8</v>
      </c>
      <c r="S21" s="1509">
        <f>F21</f>
        <v>100</v>
      </c>
      <c r="T21" s="1508" t="s">
        <v>8</v>
      </c>
      <c r="U21" s="1509">
        <f>H21</f>
        <v>100</v>
      </c>
      <c r="V21" s="1508" t="s">
        <v>8</v>
      </c>
      <c r="W21" s="1509">
        <f>J21</f>
        <v>100</v>
      </c>
      <c r="X21" s="1502"/>
      <c r="Y21" s="3486"/>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86"/>
      <c r="Q22" s="1507"/>
      <c r="R22" s="1508"/>
      <c r="S22" s="1509"/>
      <c r="T22" s="1508"/>
      <c r="U22" s="1509"/>
      <c r="V22" s="1508"/>
      <c r="W22" s="1509"/>
      <c r="X22" s="1502"/>
      <c r="Y22" s="3486"/>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86"/>
      <c r="Q23" s="1507" t="str">
        <f t="shared" si="8"/>
        <v>环境状况</v>
      </c>
      <c r="R23" s="1508" t="s">
        <v>8</v>
      </c>
      <c r="S23" s="1509">
        <f>F23</f>
        <v>100</v>
      </c>
      <c r="T23" s="1508" t="s">
        <v>8</v>
      </c>
      <c r="U23" s="1509">
        <f>H23</f>
        <v>100</v>
      </c>
      <c r="V23" s="1508" t="s">
        <v>8</v>
      </c>
      <c r="W23" s="1509">
        <f>J23</f>
        <v>100</v>
      </c>
      <c r="X23" s="1502"/>
      <c r="Y23" s="3486"/>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86"/>
      <c r="Q24" s="1507"/>
      <c r="R24" s="1508"/>
      <c r="S24" s="1509"/>
      <c r="T24" s="1508"/>
      <c r="U24" s="1509"/>
      <c r="V24" s="1508"/>
      <c r="W24" s="1509"/>
      <c r="X24" s="1502"/>
      <c r="Y24" s="3486"/>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86"/>
      <c r="Q25" s="1134" t="str">
        <f t="shared" si="8"/>
        <v>公共配套设施</v>
      </c>
      <c r="R25" s="1503" t="s">
        <v>8</v>
      </c>
      <c r="S25" s="1504">
        <f>F25</f>
        <v>100</v>
      </c>
      <c r="T25" s="1503" t="s">
        <v>8</v>
      </c>
      <c r="U25" s="1504">
        <f>H25</f>
        <v>100</v>
      </c>
      <c r="V25" s="1503" t="s">
        <v>8</v>
      </c>
      <c r="W25" s="1504">
        <f>J25</f>
        <v>100</v>
      </c>
      <c r="X25" s="1505"/>
      <c r="Y25" s="3486"/>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86"/>
      <c r="Q26" s="1134"/>
      <c r="R26" s="1503"/>
      <c r="S26" s="1504"/>
      <c r="T26" s="1503"/>
      <c r="U26" s="1504"/>
      <c r="V26" s="1503"/>
      <c r="W26" s="1504"/>
      <c r="X26" s="1505"/>
      <c r="Y26" s="3486"/>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86"/>
      <c r="Q27" s="2429" t="str">
        <f t="shared" ref="Q27" si="9">B27</f>
        <v>基础设施水平</v>
      </c>
      <c r="R27" s="1503" t="s">
        <v>8</v>
      </c>
      <c r="S27" s="1504">
        <f>F27</f>
        <v>100</v>
      </c>
      <c r="T27" s="1503" t="s">
        <v>8</v>
      </c>
      <c r="U27" s="1504">
        <f>H27</f>
        <v>100</v>
      </c>
      <c r="V27" s="1503" t="s">
        <v>8</v>
      </c>
      <c r="W27" s="1504">
        <f>J27</f>
        <v>100</v>
      </c>
      <c r="X27" s="1505"/>
      <c r="Y27" s="3486"/>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86"/>
      <c r="Q28" s="2429"/>
      <c r="R28" s="1503"/>
      <c r="S28" s="1504"/>
      <c r="T28" s="1503"/>
      <c r="U28" s="1504"/>
      <c r="V28" s="1503"/>
      <c r="W28" s="1504"/>
      <c r="X28" s="1505"/>
      <c r="Y28" s="3486"/>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86"/>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86"/>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86"/>
      <c r="Q30" s="1507" t="str">
        <f t="shared" si="8"/>
        <v>毗邻道路的类型与等级</v>
      </c>
      <c r="R30" s="1508" t="s">
        <v>8</v>
      </c>
      <c r="S30" s="1509">
        <f t="shared" si="10"/>
        <v>100</v>
      </c>
      <c r="T30" s="1508" t="s">
        <v>8</v>
      </c>
      <c r="U30" s="1509">
        <f t="shared" si="11"/>
        <v>100</v>
      </c>
      <c r="V30" s="1508" t="s">
        <v>8</v>
      </c>
      <c r="W30" s="1509">
        <f t="shared" si="12"/>
        <v>100</v>
      </c>
      <c r="X30" s="1502"/>
      <c r="Y30" s="3486"/>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86"/>
      <c r="Q31" s="1507"/>
      <c r="R31" s="1508"/>
      <c r="S31" s="1509"/>
      <c r="T31" s="1508"/>
      <c r="U31" s="1509"/>
      <c r="V31" s="1508"/>
      <c r="W31" s="1509"/>
      <c r="X31" s="1502"/>
      <c r="Y31" s="3486"/>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86"/>
      <c r="Q32" s="1507" t="str">
        <f t="shared" si="8"/>
        <v>土地级别</v>
      </c>
      <c r="R32" s="1508" t="s">
        <v>8</v>
      </c>
      <c r="S32" s="1509">
        <f t="shared" si="10"/>
        <v>100</v>
      </c>
      <c r="T32" s="1508" t="s">
        <v>8</v>
      </c>
      <c r="U32" s="1509">
        <f t="shared" si="11"/>
        <v>100</v>
      </c>
      <c r="V32" s="1508" t="s">
        <v>8</v>
      </c>
      <c r="W32" s="1509">
        <f t="shared" si="12"/>
        <v>100</v>
      </c>
      <c r="X32" s="1502"/>
      <c r="Y32" s="3486"/>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86"/>
      <c r="Q33" s="1507">
        <f t="shared" si="8"/>
        <v>111</v>
      </c>
      <c r="R33" s="1508" t="s">
        <v>8</v>
      </c>
      <c r="S33" s="1509">
        <f t="shared" si="10"/>
        <v>100</v>
      </c>
      <c r="T33" s="1508" t="s">
        <v>8</v>
      </c>
      <c r="U33" s="1509">
        <f t="shared" si="11"/>
        <v>100</v>
      </c>
      <c r="V33" s="1508" t="s">
        <v>8</v>
      </c>
      <c r="W33" s="1509">
        <f t="shared" si="12"/>
        <v>100</v>
      </c>
      <c r="X33" s="1502"/>
      <c r="Y33" s="3486"/>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87" t="s">
        <v>544</v>
      </c>
      <c r="Q34" s="1507">
        <f t="shared" si="8"/>
        <v>111</v>
      </c>
      <c r="R34" s="1508" t="s">
        <v>8</v>
      </c>
      <c r="S34" s="1509">
        <f t="shared" si="10"/>
        <v>100</v>
      </c>
      <c r="T34" s="1508" t="s">
        <v>8</v>
      </c>
      <c r="U34" s="1509">
        <f t="shared" si="11"/>
        <v>100</v>
      </c>
      <c r="V34" s="1508" t="s">
        <v>8</v>
      </c>
      <c r="W34" s="1509">
        <f t="shared" si="12"/>
        <v>100</v>
      </c>
      <c r="X34" s="1502"/>
      <c r="Y34" s="3488"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88"/>
      <c r="Q35" s="1507">
        <f t="shared" si="8"/>
        <v>111</v>
      </c>
      <c r="R35" s="1512" t="s">
        <v>8</v>
      </c>
      <c r="S35" s="1513">
        <f t="shared" si="10"/>
        <v>100</v>
      </c>
      <c r="T35" s="1512" t="s">
        <v>8</v>
      </c>
      <c r="U35" s="1513">
        <f t="shared" si="11"/>
        <v>100</v>
      </c>
      <c r="V35" s="1512" t="s">
        <v>8</v>
      </c>
      <c r="W35" s="1513">
        <f t="shared" si="12"/>
        <v>100</v>
      </c>
      <c r="X35" s="1514"/>
      <c r="Y35" s="3488"/>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88"/>
      <c r="Q36" s="1507" t="str">
        <f>B36</f>
        <v>宗地面积</v>
      </c>
      <c r="R36" s="1508" t="s">
        <v>8</v>
      </c>
      <c r="S36" s="1509" t="e">
        <f t="shared" si="10"/>
        <v>#N/A</v>
      </c>
      <c r="T36" s="1508" t="s">
        <v>8</v>
      </c>
      <c r="U36" s="1509" t="e">
        <f t="shared" si="11"/>
        <v>#N/A</v>
      </c>
      <c r="V36" s="1508" t="s">
        <v>8</v>
      </c>
      <c r="W36" s="1509" t="e">
        <f t="shared" si="12"/>
        <v>#N/A</v>
      </c>
      <c r="X36" s="1502"/>
      <c r="Y36" s="3488"/>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88"/>
      <c r="Q37" s="1507" t="str">
        <f t="shared" ref="Q37:Q42" si="14">B37</f>
        <v>宗地形状</v>
      </c>
      <c r="R37" s="1508" t="s">
        <v>8</v>
      </c>
      <c r="S37" s="1509">
        <f t="shared" si="10"/>
        <v>100</v>
      </c>
      <c r="T37" s="1508" t="s">
        <v>8</v>
      </c>
      <c r="U37" s="1509">
        <f t="shared" si="11"/>
        <v>100</v>
      </c>
      <c r="V37" s="1508" t="s">
        <v>8</v>
      </c>
      <c r="W37" s="1509">
        <f t="shared" si="12"/>
        <v>100</v>
      </c>
      <c r="X37" s="1502"/>
      <c r="Y37" s="3488"/>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88"/>
      <c r="Q38" s="1507" t="str">
        <f t="shared" si="14"/>
        <v>宗地开发程度</v>
      </c>
      <c r="R38" s="1503" t="s">
        <v>8</v>
      </c>
      <c r="S38" s="1504">
        <f t="shared" si="10"/>
        <v>100</v>
      </c>
      <c r="T38" s="1503" t="s">
        <v>8</v>
      </c>
      <c r="U38" s="1504">
        <f t="shared" si="11"/>
        <v>100</v>
      </c>
      <c r="V38" s="1503" t="s">
        <v>8</v>
      </c>
      <c r="W38" s="1504">
        <f t="shared" si="12"/>
        <v>100</v>
      </c>
      <c r="X38" s="1505"/>
      <c r="Y38" s="3488"/>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88" t="s">
        <v>595</v>
      </c>
      <c r="Q39" s="1507" t="str">
        <f t="shared" si="14"/>
        <v>工程地质条件</v>
      </c>
      <c r="R39" s="1508" t="s">
        <v>8</v>
      </c>
      <c r="S39" s="1509">
        <f t="shared" si="10"/>
        <v>100</v>
      </c>
      <c r="T39" s="1508" t="s">
        <v>8</v>
      </c>
      <c r="U39" s="1509">
        <f t="shared" si="11"/>
        <v>100</v>
      </c>
      <c r="V39" s="1508" t="s">
        <v>8</v>
      </c>
      <c r="W39" s="1509">
        <f t="shared" si="12"/>
        <v>100</v>
      </c>
      <c r="X39" s="1502"/>
      <c r="Y39" s="3488"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88"/>
      <c r="Q40" s="1507">
        <f t="shared" si="14"/>
        <v>111</v>
      </c>
      <c r="R40" s="1508" t="s">
        <v>8</v>
      </c>
      <c r="S40" s="1509">
        <f t="shared" si="10"/>
        <v>100</v>
      </c>
      <c r="T40" s="1508" t="s">
        <v>8</v>
      </c>
      <c r="U40" s="1509">
        <f t="shared" si="11"/>
        <v>100</v>
      </c>
      <c r="V40" s="1508" t="s">
        <v>8</v>
      </c>
      <c r="W40" s="1509">
        <f t="shared" si="12"/>
        <v>100</v>
      </c>
      <c r="X40" s="1502"/>
      <c r="Y40" s="3488"/>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88"/>
      <c r="Q41" s="1507">
        <f t="shared" si="14"/>
        <v>111</v>
      </c>
      <c r="R41" s="1508" t="s">
        <v>8</v>
      </c>
      <c r="S41" s="1509">
        <f t="shared" si="10"/>
        <v>100</v>
      </c>
      <c r="T41" s="1508" t="s">
        <v>8</v>
      </c>
      <c r="U41" s="1509">
        <f t="shared" si="11"/>
        <v>100</v>
      </c>
      <c r="V41" s="1508" t="s">
        <v>8</v>
      </c>
      <c r="W41" s="1509">
        <f t="shared" si="12"/>
        <v>100</v>
      </c>
      <c r="X41" s="1502"/>
      <c r="Y41" s="3488"/>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88"/>
      <c r="Q42" s="1507">
        <f t="shared" si="14"/>
        <v>111</v>
      </c>
      <c r="R42" s="1512" t="s">
        <v>8</v>
      </c>
      <c r="S42" s="1513">
        <f t="shared" si="10"/>
        <v>100</v>
      </c>
      <c r="T42" s="1512" t="s">
        <v>8</v>
      </c>
      <c r="U42" s="1513">
        <f t="shared" si="11"/>
        <v>100</v>
      </c>
      <c r="V42" s="1512" t="s">
        <v>8</v>
      </c>
      <c r="W42" s="1513">
        <f t="shared" si="12"/>
        <v>100</v>
      </c>
      <c r="X42" s="1514"/>
      <c r="Y42" s="3488"/>
      <c r="Z42" s="1515">
        <f t="shared" si="13"/>
        <v>111</v>
      </c>
      <c r="AA42" s="1511">
        <f t="shared" si="3"/>
        <v>1</v>
      </c>
      <c r="AB42" s="1511">
        <f t="shared" si="4"/>
        <v>1</v>
      </c>
      <c r="AC42" s="1511">
        <f t="shared" si="5"/>
        <v>1</v>
      </c>
    </row>
    <row r="43" spans="1:29" ht="15">
      <c r="A43" s="601" t="s">
        <v>550</v>
      </c>
      <c r="B43" s="602" t="s">
        <v>2897</v>
      </c>
      <c r="C43" s="603" t="s">
        <v>1</v>
      </c>
      <c r="D43" s="604"/>
      <c r="E43" s="605"/>
      <c r="F43" s="606"/>
      <c r="G43" s="607"/>
      <c r="H43" s="608"/>
      <c r="I43" s="605"/>
      <c r="J43" s="608"/>
      <c r="K43" s="1294"/>
      <c r="L43" s="2027"/>
      <c r="M43" s="2017"/>
      <c r="N43" s="2017"/>
      <c r="O43" s="2028"/>
      <c r="P43" s="3483" t="str">
        <f>A43</f>
        <v>成交单价</v>
      </c>
      <c r="Q43" s="3483"/>
      <c r="R43" s="3497">
        <f>E43</f>
        <v>0</v>
      </c>
      <c r="S43" s="3497"/>
      <c r="T43" s="3497">
        <f>G43</f>
        <v>0</v>
      </c>
      <c r="U43" s="3497"/>
      <c r="V43" s="3497">
        <f>I43</f>
        <v>0</v>
      </c>
      <c r="W43" s="3497"/>
      <c r="X43" s="1497"/>
      <c r="Y43" s="1516"/>
      <c r="Z43" s="1497"/>
      <c r="AA43" s="1497"/>
      <c r="AB43" s="1497"/>
      <c r="AC43" s="1497"/>
    </row>
    <row r="44" spans="1:29" ht="15.75" thickBot="1">
      <c r="A44" s="609" t="s">
        <v>2673</v>
      </c>
      <c r="B44" s="610"/>
      <c r="C44" s="611" t="e">
        <f>R45</f>
        <v>#DIV/0!</v>
      </c>
      <c r="D44" s="3015" t="s">
        <v>2966</v>
      </c>
      <c r="E44" s="611" t="e">
        <f>R44</f>
        <v>#DIV/0!</v>
      </c>
      <c r="F44" s="3016"/>
      <c r="G44" s="612" t="e">
        <f>T44</f>
        <v>#DIV/0!</v>
      </c>
      <c r="H44" s="3016"/>
      <c r="I44" s="611" t="e">
        <f>V44</f>
        <v>#DIV/0!</v>
      </c>
      <c r="J44" s="3016"/>
      <c r="K44" s="3017">
        <f>F44+H44+J44</f>
        <v>0</v>
      </c>
      <c r="L44" s="2027"/>
      <c r="M44" s="2017"/>
      <c r="N44" s="2017"/>
      <c r="O44" s="2028"/>
      <c r="P44" s="3483" t="str">
        <f>A44</f>
        <v>比较价格（元/平方米）</v>
      </c>
      <c r="Q44" s="3483"/>
      <c r="R44" s="3508" t="e">
        <f>ROUND(PRODUCT(R43,AA9:AA42),0)</f>
        <v>#DIV/0!</v>
      </c>
      <c r="S44" s="3508"/>
      <c r="T44" s="3508" t="e">
        <f>ROUND(PRODUCT(T43,AB9:AB42),0)</f>
        <v>#DIV/0!</v>
      </c>
      <c r="U44" s="3508"/>
      <c r="V44" s="3508" t="e">
        <f>ROUND(PRODUCT(V43,AC9:AC42),0)</f>
        <v>#DIV/0!</v>
      </c>
      <c r="W44" s="3508"/>
      <c r="X44" s="1497"/>
      <c r="Y44" s="1497"/>
      <c r="Z44" s="1497"/>
      <c r="AA44" s="1497"/>
      <c r="AB44" s="1497"/>
      <c r="AC44" s="1497"/>
    </row>
    <row r="45" spans="1:29" ht="15.75" thickBot="1">
      <c r="A45" s="613" t="s">
        <v>2898</v>
      </c>
      <c r="B45" s="614"/>
      <c r="C45" s="615" t="e">
        <f>R45</f>
        <v>#DIV/0!</v>
      </c>
      <c r="D45" s="615"/>
      <c r="E45" s="615"/>
      <c r="F45" s="615"/>
      <c r="G45" s="615"/>
      <c r="H45" s="615"/>
      <c r="I45" s="615"/>
      <c r="J45" s="615"/>
      <c r="K45" s="1295"/>
      <c r="L45" s="2027"/>
      <c r="M45" s="2017"/>
      <c r="N45" s="2017"/>
      <c r="O45" s="2028"/>
      <c r="P45" s="3505" t="str">
        <f>A45</f>
        <v>估价对象XX用房的比较价格（楼面单价，元/平方米）</v>
      </c>
      <c r="Q45" s="3506"/>
      <c r="R45" s="3514" t="e">
        <f>ROUND(IF(D44="简单平均",AVERAGE(R44:W44),R44*F44+T44*H44+V44*J44),0)</f>
        <v>#DIV/0!</v>
      </c>
      <c r="S45" s="3514"/>
      <c r="T45" s="3514"/>
      <c r="U45" s="3514"/>
      <c r="V45" s="3514"/>
      <c r="W45" s="3514"/>
      <c r="X45" s="1497"/>
      <c r="Y45" s="1497"/>
      <c r="Z45" s="1497"/>
      <c r="AA45" s="1497"/>
      <c r="AB45" s="1497"/>
      <c r="AC45" s="1497"/>
    </row>
    <row r="46" spans="1:29">
      <c r="A46" s="3213"/>
      <c r="B46" s="3213"/>
      <c r="C46" s="3213"/>
      <c r="D46" s="3213"/>
      <c r="E46" s="3213"/>
      <c r="F46" s="3213"/>
      <c r="G46" s="3215"/>
      <c r="H46" s="3213"/>
      <c r="I46" s="3213"/>
      <c r="J46" s="3213"/>
      <c r="K46" s="3216"/>
      <c r="L46" s="2032"/>
      <c r="M46" s="2017"/>
      <c r="N46" s="2017"/>
      <c r="O46" s="2028"/>
      <c r="P46" s="2028"/>
      <c r="Q46" s="2028"/>
      <c r="R46" s="2028"/>
      <c r="S46" s="2028"/>
      <c r="T46" s="2028"/>
      <c r="U46" s="2028"/>
      <c r="V46" s="2028"/>
      <c r="W46" s="2028"/>
      <c r="X46" s="2028"/>
      <c r="Y46" s="2028"/>
      <c r="Z46" s="2028"/>
      <c r="AA46" s="2028"/>
      <c r="AB46" s="2028"/>
      <c r="AC46" s="2028"/>
    </row>
    <row r="47" spans="1:29">
      <c r="A47" s="3213"/>
      <c r="B47" s="3213"/>
      <c r="C47" s="3213"/>
      <c r="D47" s="3213"/>
      <c r="E47" s="3213"/>
      <c r="F47" s="3213"/>
      <c r="G47" s="3213"/>
      <c r="H47" s="3213"/>
      <c r="I47" s="3213"/>
      <c r="J47" s="3213"/>
      <c r="K47" s="3216"/>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4"/>
      <c r="B51" s="3225"/>
      <c r="C51" s="2033"/>
      <c r="D51" s="2029"/>
      <c r="E51" s="2029"/>
      <c r="F51" s="2029"/>
      <c r="G51" s="2029"/>
      <c r="H51" s="2029"/>
      <c r="I51" s="2029"/>
      <c r="J51" s="2029"/>
      <c r="K51" s="3217"/>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09" t="s">
        <v>2272</v>
      </c>
      <c r="H52" s="3510"/>
      <c r="I52" s="1867" t="s">
        <v>1934</v>
      </c>
      <c r="J52" s="1494" t="str">
        <f>项目基本情况!F41</f>
        <v>山东省</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494091.91</v>
      </c>
      <c r="F53" s="1865" t="e">
        <f t="shared" ref="F53:F62" si="15">ROUND(B53*E53/10000,0)</f>
        <v>#DIV/0!</v>
      </c>
      <c r="G53" s="3511"/>
      <c r="H53" s="3512"/>
      <c r="I53" s="1868">
        <v>1</v>
      </c>
      <c r="J53" s="1495">
        <v>1</v>
      </c>
      <c r="K53" s="3218"/>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13" t="s">
        <v>2273</v>
      </c>
      <c r="H54" s="1869">
        <f>项目基本情况!B43</f>
        <v>0</v>
      </c>
      <c r="I54" s="1868">
        <f>SUMIF(修正!$A$45:$A$56,H54,修正!B45:B56)</f>
        <v>0</v>
      </c>
      <c r="J54" s="1496"/>
      <c r="K54" s="3218"/>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13"/>
      <c r="H55" s="1870">
        <f>项目基本情况!B43</f>
        <v>0</v>
      </c>
      <c r="I55" s="1868">
        <f>SUMIF(修正!$A$45:$A$56,H55,修正!C45:C56)</f>
        <v>0</v>
      </c>
      <c r="J55" s="1496"/>
      <c r="K55" s="3218"/>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13"/>
      <c r="H56" s="1870">
        <f>项目基本情况!B43</f>
        <v>0</v>
      </c>
      <c r="I56" s="1868">
        <f>SUMIF(修正!$A$45:$A$56,H56,修正!D45:D56)</f>
        <v>0</v>
      </c>
      <c r="J56" s="1496"/>
      <c r="K56" s="3218"/>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13"/>
      <c r="H57" s="1870">
        <f>项目基本情况!B43</f>
        <v>0</v>
      </c>
      <c r="I57" s="1868">
        <f>SUMIF(修正!$A$45:$A$56,H57,修正!E45:E56)</f>
        <v>0</v>
      </c>
      <c r="J57" s="1496"/>
      <c r="K57" s="3218"/>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8"/>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8"/>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8"/>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8"/>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8"/>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248287.39</v>
      </c>
      <c r="F63" s="636" t="e">
        <f>IF(B43="楼面地价",SUM(F53:F62),ROUND(C45*E63/10000,0))</f>
        <v>#DIV/0!</v>
      </c>
      <c r="G63" s="2038"/>
      <c r="H63" s="2038"/>
      <c r="I63" s="2038"/>
      <c r="J63" s="2038"/>
      <c r="K63" s="3226"/>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2021-3-1</v>
      </c>
      <c r="D65" s="2517">
        <f>EDATE(C65,-3)</f>
        <v>44166</v>
      </c>
      <c r="E65" s="2517">
        <f t="shared" ref="E65:N65" si="18">EDATE(D65,-3)</f>
        <v>44075</v>
      </c>
      <c r="F65" s="2517">
        <f t="shared" si="18"/>
        <v>43983</v>
      </c>
      <c r="G65" s="2517">
        <f t="shared" si="18"/>
        <v>43891</v>
      </c>
      <c r="H65" s="2517">
        <f t="shared" si="18"/>
        <v>43800</v>
      </c>
      <c r="I65" s="2517">
        <f t="shared" si="18"/>
        <v>43709</v>
      </c>
      <c r="J65" s="2517">
        <f t="shared" si="18"/>
        <v>43617</v>
      </c>
      <c r="K65" s="2517">
        <f t="shared" si="18"/>
        <v>43525</v>
      </c>
      <c r="L65" s="2517">
        <f t="shared" si="18"/>
        <v>43435</v>
      </c>
      <c r="M65" s="2517">
        <f t="shared" si="18"/>
        <v>43344</v>
      </c>
      <c r="N65" s="2517">
        <f t="shared" si="18"/>
        <v>43252</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2021-1</v>
      </c>
      <c r="D67" s="2519" t="str">
        <f t="shared" ref="D67:N67" si="19">YEAR(D65)&amp;"-"&amp;ROUNDUP(MONTH(D65)/3,0)</f>
        <v>2020-4</v>
      </c>
      <c r="E67" s="2519" t="str">
        <f t="shared" si="19"/>
        <v>2020-3</v>
      </c>
      <c r="F67" s="2519" t="str">
        <f t="shared" si="19"/>
        <v>2020-2</v>
      </c>
      <c r="G67" s="2519" t="str">
        <f t="shared" si="19"/>
        <v>2020-1</v>
      </c>
      <c r="H67" s="2519" t="str">
        <f t="shared" si="19"/>
        <v>2019-4</v>
      </c>
      <c r="I67" s="2519" t="str">
        <f t="shared" si="19"/>
        <v>2019-3</v>
      </c>
      <c r="J67" s="2519" t="str">
        <f t="shared" si="19"/>
        <v>2019-2</v>
      </c>
      <c r="K67" s="2519" t="str">
        <f t="shared" si="19"/>
        <v>2019-1</v>
      </c>
      <c r="L67" s="2519" t="str">
        <f t="shared" si="19"/>
        <v>2018-4</v>
      </c>
      <c r="M67" s="2519" t="str">
        <f t="shared" si="19"/>
        <v>2018-3</v>
      </c>
      <c r="N67" s="2519" t="str">
        <f t="shared" si="19"/>
        <v>2018-2</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北京市平均增长率1.19%</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7"/>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7"/>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8"/>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29"/>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8"/>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29"/>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8"/>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0"/>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29"/>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0"/>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0"/>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0"/>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0"/>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8"/>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7"/>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7"/>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0"/>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0"/>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0"/>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8"/>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8"/>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8"/>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29"/>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8"/>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29"/>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0"/>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29"/>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28"/>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8"/>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29"/>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8"/>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0"/>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8"/>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8"/>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29"/>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8"/>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29"/>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0"/>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0"/>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G42"/>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1"/>
      <c r="L2" s="1800" t="s">
        <v>2228</v>
      </c>
      <c r="M2" s="1801">
        <f>SUMPRODUCT((区片价!B10:B28=I2)*(区片价!C3:F3=E2)*(区片价!C10:F28))</f>
        <v>0</v>
      </c>
      <c r="N2" s="1802">
        <f>SUMPRODUCT((因素修正幅度!B10:B28=I2)*(因素修正幅度!C3:F3=E2)*(因素修正幅度!C10:F28))</f>
        <v>0</v>
      </c>
      <c r="O2" s="3231"/>
      <c r="P2" s="2071"/>
      <c r="Q2" s="2071"/>
      <c r="R2" s="2655">
        <v>1</v>
      </c>
      <c r="S2" s="2655" t="e">
        <f>ROUND(IF(G3&gt;1,IF(R2&lt;7,SUMPRODUCT((B93:B98=R2)*(C92:N92=G2)*(C93:N98)),SUMIF(C92:N92,G2,C100:N100)),IF(R2&lt;7,SUMPRODUCT((B102:B107=R2)*(C92:N92=G2)*(C102:N107)),SUMIF(C92:N92,G2,C109:N109))),4)</f>
        <v>#DIV/0!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0</v>
      </c>
      <c r="H3" s="1363" t="s">
        <v>920</v>
      </c>
      <c r="I3" s="1027">
        <v>8</v>
      </c>
      <c r="J3" s="1359" t="s">
        <v>921</v>
      </c>
      <c r="K3" s="3231"/>
      <c r="L3" s="1800" t="s">
        <v>2229</v>
      </c>
      <c r="M3" s="1801">
        <f>SUMPRODUCT((区片价!B29:B48=I2)*(区片价!C3:F3=E2)*(区片价!C29:F48))</f>
        <v>0</v>
      </c>
      <c r="N3" s="1802">
        <f>SUMPRODUCT((因素修正幅度!B29:B48=I2)*(因素修正幅度!C3:F3=E2)*(因素修正幅度!C29:F48))</f>
        <v>0</v>
      </c>
      <c r="O3" s="3231"/>
      <c r="P3" s="2071"/>
      <c r="Q3" s="2071"/>
      <c r="R3" s="2655">
        <v>2</v>
      </c>
      <c r="S3" s="2655" t="e">
        <f>ROUND(IF(G3&gt;1,IF(R3&lt;7,SUMPRODUCT((B93:B98=R3)*(C92:N92=G2)*(C93:N98)),SUMIF(C92:N92,G2,C100:N100)),IF(R3&lt;7,SUMPRODUCT((B102:B107=R3)*(C92:N92=G2)*(C102:N107)),SUMIF(C92:N92,G2,C109:N109))),4)</f>
        <v>#DIV/0!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2"/>
      <c r="L4" s="1800" t="s">
        <v>2230</v>
      </c>
      <c r="M4" s="1801">
        <f>SUMPRODUCT((区片价!B49:B75=I2)*(区片价!C3:F3=E2)*(区片价!C49:F75))</f>
        <v>0</v>
      </c>
      <c r="N4" s="1802">
        <f>SUMPRODUCT((因素修正幅度!B49:B75=I2)*(因素修正幅度!C3:F3=E2)*(因素修正幅度!C49:F75))</f>
        <v>0</v>
      </c>
      <c r="O4" s="3232"/>
      <c r="P4" s="2071"/>
      <c r="Q4" s="2071"/>
      <c r="R4" s="2655">
        <v>3</v>
      </c>
      <c r="S4" s="2655" t="e">
        <f>ROUND(IF(G3&gt;1,IF(R4&lt;7,SUMPRODUCT((B93:B98=R4)*(C92:N92=G2)*(C93:N98)),SUMIF(C92:N92,G2,C100:N100)),IF(R4&lt;7,SUMPRODUCT((B102:B107=R4)*(C92:N92=G2)*(C102:N107)),SUMIF(C92:N92,G2,C109:N109))),4)</f>
        <v>#DIV/0!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3"/>
      <c r="L5" s="1800" t="s">
        <v>2231</v>
      </c>
      <c r="M5" s="1801">
        <f>SUMPRODUCT((区片价!B76:B109=I2)*(区片价!C3:F3=E2)*(区片价!C76:F109))</f>
        <v>0</v>
      </c>
      <c r="N5" s="1802">
        <f>SUMPRODUCT((因素修正幅度!B76:B109=I2)*(因素修正幅度!C3:F3=E2)*(因素修正幅度!C76:F109))</f>
        <v>0</v>
      </c>
      <c r="O5" s="3233"/>
      <c r="P5" s="3236"/>
      <c r="Q5" s="2071"/>
      <c r="R5" s="2655">
        <v>4</v>
      </c>
      <c r="S5" s="2655" t="e">
        <f>ROUND(IF(G3&gt;1,IF(R5&lt;7,SUMPRODUCT((B93:B98=R5)*(C92:N92=G2)*(C93:N98)),SUMIF(C92:N92,G2,C100:N100)),IF(R5&lt;7,SUMPRODUCT((B102:B107=R5)*(C92:N92=G2)*(C102:N107)),SUMIF(C92:N92,G2,C109:N109))),4)</f>
        <v>#DIV/0!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4"/>
      <c r="L6" s="1800" t="s">
        <v>2232</v>
      </c>
      <c r="M6" s="1801">
        <f>SUMPRODUCT((区片价!B110:B157=I2)*(区片价!C3:F3=E2)*(区片价!C110:F157))</f>
        <v>0</v>
      </c>
      <c r="N6" s="1802">
        <f>SUMPRODUCT((因素修正幅度!B110:B157=I2)*(因素修正幅度!C3:F3=E2)*(因素修正幅度!C110:F157))</f>
        <v>0</v>
      </c>
      <c r="O6" s="3234"/>
      <c r="P6" s="3237"/>
      <c r="Q6" s="2071"/>
      <c r="R6" s="2655">
        <v>5</v>
      </c>
      <c r="S6" s="2655" t="e">
        <f>ROUND(IF(G3&gt;1,IF(R6&lt;7,SUMPRODUCT((B93:B98=R6)*(C92:N92=G2)*(C93:N98)),SUMIF(C92:N92,G2,C100:N100)),IF(R6&lt;7,SUMPRODUCT((B102:B107=R6)*(C92:N92=G2)*(C102:N107)),SUMIF(C92:N92,G2,C109:N109))),4)</f>
        <v>#DIV/0!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22" t="str">
        <f>IF(E2="商业",IF(C8="不临58条商业街","",2),"")</f>
        <v/>
      </c>
      <c r="B7" s="1376" t="s">
        <v>923</v>
      </c>
      <c r="C7" s="1030" t="e">
        <f>IF(C8="不临58条商业街",1,ROUND(1+(1.6*E8+1.2*E9+0.8*E10+0.4*E11)*C9,4))</f>
        <v>#DIV/0!</v>
      </c>
      <c r="D7" s="1377" t="s">
        <v>924</v>
      </c>
      <c r="E7" s="1031"/>
      <c r="F7" s="1378"/>
      <c r="G7" s="1379"/>
      <c r="H7" s="1379"/>
      <c r="I7" s="1379"/>
      <c r="J7" s="1380"/>
      <c r="K7" s="3234"/>
      <c r="L7" s="1800" t="s">
        <v>2233</v>
      </c>
      <c r="M7" s="1801">
        <f>SUMPRODUCT((区片价!B158:B205=I2)*(区片价!C3:F3=E2)*(区片价!C158:F205))</f>
        <v>0</v>
      </c>
      <c r="N7" s="1802">
        <f>SUMPRODUCT((因素修正幅度!B158:B205=I2)*(因素修正幅度!C3:F3=E2)*(因素修正幅度!C158:F205))</f>
        <v>0</v>
      </c>
      <c r="O7" s="3234"/>
      <c r="P7" s="3237"/>
      <c r="Q7" s="2071"/>
      <c r="R7" s="2655">
        <v>6</v>
      </c>
      <c r="S7" s="2655" t="e">
        <f>ROUND(IF(G3&gt;1,IF(R7&lt;7,SUMPRODUCT((B93:B98=R7)*(C92:N92=G2)*(C93:N98)),SUMIF(C92:N92,G2,C100:N100)),IF(R7&lt;7,SUMPRODUCT((B102:B107=R7)*(C92:N92=G2)*(C102:N107)),SUMIF(C92:N92,G2,C109:N109))),4)</f>
        <v>#DIV/0!</v>
      </c>
      <c r="T7" s="2655" t="e">
        <f t="shared" si="0"/>
        <v>#DIV/0!</v>
      </c>
      <c r="U7" s="2644"/>
      <c r="V7" s="2655" t="e">
        <f t="shared" si="1"/>
        <v>#DIV/0!</v>
      </c>
      <c r="W7" s="2653" t="s">
        <v>2744</v>
      </c>
      <c r="X7" s="2645">
        <f>G2</f>
        <v>0</v>
      </c>
      <c r="Y7" s="2645" t="s">
        <v>2745</v>
      </c>
      <c r="Z7" s="2646">
        <f>G3</f>
        <v>0</v>
      </c>
      <c r="AA7" s="2074"/>
      <c r="AB7" s="2074"/>
      <c r="AC7" s="2075"/>
      <c r="AD7" s="2647"/>
      <c r="AE7" s="2647"/>
      <c r="AF7" s="2647"/>
      <c r="AG7" s="2647"/>
      <c r="AH7" s="2647"/>
      <c r="AI7" s="2647"/>
      <c r="AJ7" s="2648"/>
    </row>
    <row r="8" spans="1:39" ht="15">
      <c r="A8" s="3523"/>
      <c r="B8" s="1363" t="s">
        <v>925</v>
      </c>
      <c r="C8" s="1469"/>
      <c r="D8" s="1032" t="s">
        <v>926</v>
      </c>
      <c r="E8" s="1033" t="e">
        <f>ROUND(C11/E7,4)</f>
        <v>#DIV/0!</v>
      </c>
      <c r="F8" s="1381" t="s">
        <v>927</v>
      </c>
      <c r="G8" s="1382"/>
      <c r="H8" s="1382"/>
      <c r="I8" s="1382"/>
      <c r="J8" s="1383"/>
      <c r="K8" s="3234"/>
      <c r="L8" s="1800" t="s">
        <v>2234</v>
      </c>
      <c r="M8" s="1801">
        <f>SUMPRODUCT((区片价!B206:B244=I2)*(区片价!C3:F3=E2)*(区片价!C206:F244))</f>
        <v>0</v>
      </c>
      <c r="N8" s="1802">
        <f>SUMPRODUCT((因素修正幅度!B206:B244=I2)*(因素修正幅度!C3:F3=E2)*(因素修正幅度!C206:F244))</f>
        <v>0</v>
      </c>
      <c r="O8" s="3234"/>
      <c r="P8" s="2071"/>
      <c r="Q8" s="2071"/>
      <c r="R8" s="2655">
        <v>7</v>
      </c>
      <c r="S8" s="2644"/>
      <c r="T8" s="2655" t="e">
        <f t="shared" si="0"/>
        <v>#DIV/0!</v>
      </c>
      <c r="U8" s="2644"/>
      <c r="V8" s="2655" t="e">
        <f t="shared" si="1"/>
        <v>#DIV/0!</v>
      </c>
      <c r="W8" s="3533" t="s">
        <v>2762</v>
      </c>
      <c r="X8" s="3534"/>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23"/>
      <c r="B9" s="1363" t="s">
        <v>928</v>
      </c>
      <c r="C9" s="1034">
        <f>SUMIF(修正!C59:C119,C8,修正!E59:E119)</f>
        <v>0</v>
      </c>
      <c r="D9" s="1035" t="s">
        <v>929</v>
      </c>
      <c r="E9" s="1035" t="e">
        <f>ROUND(C11/E7,4)</f>
        <v>#DIV/0!</v>
      </c>
      <c r="F9" s="1381" t="s">
        <v>930</v>
      </c>
      <c r="G9" s="1382"/>
      <c r="H9" s="1382"/>
      <c r="I9" s="1382"/>
      <c r="J9" s="1383"/>
      <c r="K9" s="3234"/>
      <c r="L9" s="1800" t="s">
        <v>2235</v>
      </c>
      <c r="M9" s="1801">
        <f>SUMPRODUCT((区片价!B245:B289=I2)*(区片价!C3:F3=E2)*(区片价!C245:F289))</f>
        <v>0</v>
      </c>
      <c r="N9" s="1802">
        <f>SUMPRODUCT((因素修正幅度!B245:B289=I2)*(因素修正幅度!C3:F3=E2)*(因素修正幅度!C245:F289))</f>
        <v>0</v>
      </c>
      <c r="O9" s="3234"/>
      <c r="P9" s="2071"/>
      <c r="Q9" s="2071"/>
      <c r="R9" s="2655">
        <v>8</v>
      </c>
      <c r="S9" s="2644"/>
      <c r="T9" s="2655" t="e">
        <f t="shared" si="0"/>
        <v>#DIV/0!</v>
      </c>
      <c r="U9" s="2644"/>
      <c r="V9" s="2655" t="e">
        <f t="shared" si="1"/>
        <v>#DIV/0!</v>
      </c>
      <c r="W9" s="3532" t="s">
        <v>2758</v>
      </c>
      <c r="X9" s="2649" t="s">
        <v>2759</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23"/>
      <c r="B10" s="1363" t="s">
        <v>931</v>
      </c>
      <c r="C10" s="1035">
        <f>SUMIF(修正!C59:C119,C8,修正!F59:F119)</f>
        <v>0</v>
      </c>
      <c r="D10" s="1035" t="s">
        <v>932</v>
      </c>
      <c r="E10" s="1035" t="e">
        <f>ROUND(C11/E7,4)</f>
        <v>#DIV/0!</v>
      </c>
      <c r="F10" s="1381" t="s">
        <v>933</v>
      </c>
      <c r="G10" s="1382"/>
      <c r="H10" s="1382"/>
      <c r="I10" s="1382"/>
      <c r="J10" s="1383"/>
      <c r="K10" s="3234"/>
      <c r="L10" s="1800" t="s">
        <v>2236</v>
      </c>
      <c r="M10" s="1801">
        <f>SUMPRODUCT((区片价!B290:B316=I2)*(区片价!C3:F3=E2)*(区片价!C290:F316))</f>
        <v>0</v>
      </c>
      <c r="N10" s="1802">
        <f>SUMPRODUCT((因素修正幅度!B290:B316=I2)*(因素修正幅度!C3:F3=E2)*(因素修正幅度!C290:F316))</f>
        <v>0</v>
      </c>
      <c r="O10" s="3234"/>
      <c r="P10" s="2071"/>
      <c r="Q10" s="2071"/>
      <c r="R10" s="2655">
        <v>9</v>
      </c>
      <c r="S10" s="2644"/>
      <c r="T10" s="2655" t="e">
        <f t="shared" si="0"/>
        <v>#DIV/0!</v>
      </c>
      <c r="U10" s="2644"/>
      <c r="V10" s="2655" t="e">
        <f t="shared" si="1"/>
        <v>#DIV/0!</v>
      </c>
      <c r="W10" s="3532"/>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23"/>
      <c r="B11" s="1384" t="s">
        <v>934</v>
      </c>
      <c r="C11" s="1036">
        <f>C10/4</f>
        <v>0</v>
      </c>
      <c r="D11" s="1036" t="s">
        <v>935</v>
      </c>
      <c r="E11" s="1036" t="e">
        <f>ROUND(C11/E7,4)</f>
        <v>#DIV/0!</v>
      </c>
      <c r="F11" s="1385" t="s">
        <v>936</v>
      </c>
      <c r="G11" s="1386"/>
      <c r="H11" s="1386"/>
      <c r="I11" s="1386"/>
      <c r="J11" s="1387"/>
      <c r="K11" s="3234"/>
      <c r="L11" s="1800" t="s">
        <v>2237</v>
      </c>
      <c r="M11" s="1801">
        <f>SUMPRODUCT((区片价!B317:B337=I2)*(区片价!C3:F3=E2)*(区片价!C317:F337))</f>
        <v>0</v>
      </c>
      <c r="N11" s="1802">
        <f>SUMPRODUCT((因素修正幅度!B317:B337=I2)*(因素修正幅度!C3:F3=E2)*(因素修正幅度!C317:F337))</f>
        <v>0</v>
      </c>
      <c r="O11" s="3234"/>
      <c r="P11" s="2071"/>
      <c r="Q11" s="2071"/>
      <c r="R11" s="2655">
        <v>10</v>
      </c>
      <c r="S11" s="2644"/>
      <c r="T11" s="2655" t="e">
        <f t="shared" si="0"/>
        <v>#DIV/0!</v>
      </c>
      <c r="U11" s="2644"/>
      <c r="V11" s="2655" t="e">
        <f t="shared" si="1"/>
        <v>#DIV/0!</v>
      </c>
      <c r="W11" s="3532" t="s">
        <v>2760</v>
      </c>
      <c r="X11" s="1035" t="s">
        <v>2745</v>
      </c>
      <c r="Y11" s="1582">
        <f>$G$3</f>
        <v>0</v>
      </c>
      <c r="Z11" s="1582">
        <f t="shared" ref="Z11:AJ11" si="3">$G$3</f>
        <v>0</v>
      </c>
      <c r="AA11" s="1582">
        <f t="shared" si="3"/>
        <v>0</v>
      </c>
      <c r="AB11" s="1582">
        <f t="shared" si="3"/>
        <v>0</v>
      </c>
      <c r="AC11" s="1582">
        <f t="shared" si="3"/>
        <v>0</v>
      </c>
      <c r="AD11" s="1582">
        <f t="shared" si="3"/>
        <v>0</v>
      </c>
      <c r="AE11" s="1582">
        <f t="shared" si="3"/>
        <v>0</v>
      </c>
      <c r="AF11" s="1582">
        <f t="shared" si="3"/>
        <v>0</v>
      </c>
      <c r="AG11" s="1582">
        <f t="shared" si="3"/>
        <v>0</v>
      </c>
      <c r="AH11" s="1582">
        <f t="shared" si="3"/>
        <v>0</v>
      </c>
      <c r="AI11" s="1582">
        <f t="shared" si="3"/>
        <v>0</v>
      </c>
      <c r="AJ11" s="1582">
        <f t="shared" si="3"/>
        <v>0</v>
      </c>
    </row>
    <row r="12" spans="1:39" ht="25.5" thickBot="1">
      <c r="A12" s="3522" t="s">
        <v>1862</v>
      </c>
      <c r="B12" s="1388" t="s">
        <v>937</v>
      </c>
      <c r="C12" s="1030">
        <f>ROUND(C15*D15*E15*F15*G15*H15*I15*J15,4)</f>
        <v>1</v>
      </c>
      <c r="D12" s="1389" t="s">
        <v>938</v>
      </c>
      <c r="E12" s="1390"/>
      <c r="F12" s="1390"/>
      <c r="G12" s="1391"/>
      <c r="H12" s="1391"/>
      <c r="I12" s="1391"/>
      <c r="J12" s="1392"/>
      <c r="K12" s="3234"/>
      <c r="L12" s="1803" t="s">
        <v>2238</v>
      </c>
      <c r="M12" s="1804">
        <f>SUMPRODUCT((区片价!B338:B344=I2)*(区片价!C3:F3=E2)*(区片价!C338:F344))</f>
        <v>0</v>
      </c>
      <c r="N12" s="1805">
        <f>SUMPRODUCT((因素修正幅度!B338:B344=I2)*(因素修正幅度!C3:F3=E2)*(因素修正幅度!C338:F344))</f>
        <v>0</v>
      </c>
      <c r="O12" s="3234"/>
      <c r="P12" s="2071"/>
      <c r="Q12" s="2071"/>
      <c r="R12" s="2655">
        <v>11</v>
      </c>
      <c r="S12" s="2644"/>
      <c r="T12" s="2655" t="e">
        <f t="shared" si="0"/>
        <v>#DIV/0!</v>
      </c>
      <c r="U12" s="2644"/>
      <c r="V12" s="2655" t="e">
        <f t="shared" si="1"/>
        <v>#DIV/0!</v>
      </c>
      <c r="W12" s="3532"/>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24"/>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32"/>
      <c r="X13" s="2652"/>
      <c r="Y13" s="2651" t="e">
        <f>(-0.163*(Y12^2)-0.59*Y12+7617)*(10^(-4))/Y11</f>
        <v>#DIV/0!</v>
      </c>
      <c r="Z13" s="2651" t="e">
        <f t="shared" ref="Z13:AJ13" si="5">(-0.163*(Z12^2)-0.59*Z12+7617)*(10^(-4))/Z11</f>
        <v>#DIV/0!</v>
      </c>
      <c r="AA13" s="2651" t="e">
        <f t="shared" si="5"/>
        <v>#DIV/0!</v>
      </c>
      <c r="AB13" s="2651" t="e">
        <f t="shared" si="5"/>
        <v>#DIV/0!</v>
      </c>
      <c r="AC13" s="2651" t="e">
        <f t="shared" si="5"/>
        <v>#DIV/0!</v>
      </c>
      <c r="AD13" s="2651" t="e">
        <f t="shared" si="5"/>
        <v>#DIV/0!</v>
      </c>
      <c r="AE13" s="2651" t="e">
        <f t="shared" si="5"/>
        <v>#DIV/0!</v>
      </c>
      <c r="AF13" s="2651" t="e">
        <f t="shared" si="5"/>
        <v>#DIV/0!</v>
      </c>
      <c r="AG13" s="2651" t="e">
        <f t="shared" si="5"/>
        <v>#DIV/0!</v>
      </c>
      <c r="AH13" s="2651" t="e">
        <f t="shared" si="5"/>
        <v>#DIV/0!</v>
      </c>
      <c r="AI13" s="2651" t="e">
        <f t="shared" si="5"/>
        <v>#DIV/0!</v>
      </c>
      <c r="AJ13" s="2651" t="e">
        <f t="shared" si="5"/>
        <v>#DIV/0!</v>
      </c>
    </row>
    <row r="14" spans="1:39" ht="12.75" customHeight="1">
      <c r="A14" s="3524"/>
      <c r="B14" s="1400"/>
      <c r="C14" s="1401"/>
      <c r="D14" s="1402"/>
      <c r="E14" s="1402"/>
      <c r="F14" s="1403"/>
      <c r="G14" s="1404" t="s">
        <v>940</v>
      </c>
      <c r="H14" s="1405"/>
      <c r="I14" s="1406"/>
      <c r="J14" s="1407"/>
      <c r="K14" s="3235"/>
      <c r="L14" s="3235"/>
      <c r="M14" s="3235"/>
      <c r="N14" s="3235"/>
      <c r="O14" s="3235"/>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25"/>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22" t="s">
        <v>1829</v>
      </c>
      <c r="B16" s="1376" t="s">
        <v>941</v>
      </c>
      <c r="C16" s="1039" t="e">
        <f>ROUND(IF(F17="与级别开发程度一致",0,(G17-E17)/C17),0)</f>
        <v>#DIV/0!</v>
      </c>
      <c r="D16" s="3540" t="s">
        <v>945</v>
      </c>
      <c r="E16" s="3541"/>
      <c r="F16" s="3540" t="s">
        <v>942</v>
      </c>
      <c r="G16" s="3541"/>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26"/>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3"/>
      <c r="L18" s="2835"/>
      <c r="M18" s="2835"/>
      <c r="N18" s="2835"/>
      <c r="O18" s="2835"/>
      <c r="P18" s="3238"/>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0</v>
      </c>
      <c r="D19" s="1415" t="s">
        <v>948</v>
      </c>
      <c r="E19" s="1041">
        <v>41640</v>
      </c>
      <c r="F19" s="1415" t="s">
        <v>949</v>
      </c>
      <c r="G19" s="1042">
        <f>'数据-取费表'!B2</f>
        <v>44273</v>
      </c>
      <c r="H19" s="1416" t="s">
        <v>2950</v>
      </c>
      <c r="I19" s="2504" t="str">
        <f>IF(H19="季度增幅（自定义）",SUMIF(N21:N24,E2,O21:O24),"")</f>
        <v/>
      </c>
      <c r="J19" s="1412"/>
      <c r="K19" s="3233"/>
      <c r="L19" s="2754" t="s">
        <v>2820</v>
      </c>
      <c r="M19" s="2755">
        <f>ROUND(SUMIF(地价!B2:F2,E2,地价!B33:F33),0)</f>
        <v>0</v>
      </c>
      <c r="N19" s="2506" t="s">
        <v>1667</v>
      </c>
      <c r="O19" s="2505">
        <f>ROUNDDOWN(DATEDIF(E19,G19,"M")/3,0)</f>
        <v>28</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3.85E-2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2821</v>
      </c>
      <c r="M20" s="2838">
        <f>ROUND(SUMPRODUCT((地价!A4:A33=YEAR(G19)&amp;"-"&amp;ROUNDUP(MONTH(G19)/3,0))*(地价!B2:F2=E2)*(地价!B4:F33)),0)</f>
        <v>0</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2985</v>
      </c>
      <c r="C21" s="1141" t="b">
        <f>IF(B21="容积率修正",IF(G3&lt;=10,D22,J22),C23)</f>
        <v>0</v>
      </c>
      <c r="D21" s="1422"/>
      <c r="E21" s="1422"/>
      <c r="F21" s="1422"/>
      <c r="G21" s="1422"/>
      <c r="H21" s="1422"/>
      <c r="I21" s="1422"/>
      <c r="J21" s="1423"/>
      <c r="K21" s="3233"/>
      <c r="L21" s="1422"/>
      <c r="M21" s="1422"/>
      <c r="N21" s="1419" t="s">
        <v>966</v>
      </c>
      <c r="O21" s="1482"/>
      <c r="P21" s="2496">
        <f>SUMPRODUCT((地价!A3:A33=YEAR(G19)&amp;"-"&amp;ROUNDUP(MONTH(G19)/3,0))*(地价!AD2:AH2=N21)*(地价!AD3:AH33))</f>
        <v>1.0999999999999999E-2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39"/>
      <c r="L22" s="1422"/>
      <c r="M22" s="1422"/>
      <c r="N22" s="1419" t="s">
        <v>969</v>
      </c>
      <c r="O22" s="1482"/>
      <c r="P22" s="2496">
        <f>SUMPRODUCT((地价!A3:A33=YEAR(G19)&amp;"-"&amp;ROUNDUP(MONTH(G19)/3,0))*(地价!AD2:AH2=N22)*(地价!AD3:AH33))</f>
        <v>1.0999999999999999E-2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0"/>
      <c r="L23" s="1350"/>
      <c r="M23" s="1350"/>
      <c r="N23" s="1419" t="s">
        <v>914</v>
      </c>
      <c r="O23" s="1482"/>
      <c r="P23" s="2496">
        <f>SUMPRODUCT((地价!A3:A33=YEAR(G19)&amp;"-"&amp;ROUNDUP(MONTH(G19)/3,0))*(地价!AD2:AH2=N23)*(地价!AD3:AH33))</f>
        <v>1.8499999999999999E-2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0"/>
      <c r="L24" s="1422"/>
      <c r="M24" s="1422"/>
      <c r="N24" s="1419" t="s">
        <v>972</v>
      </c>
      <c r="O24" s="2837"/>
      <c r="P24" s="2496">
        <f>SUMPRODUCT((地价!A3:A33=YEAR(G19)&amp;"-"&amp;ROUNDUP(MONTH(G19)/3,0))*(地价!AD2:AH2=N24)*(地价!AD3:AH33))</f>
        <v>1.1900000000000001E-2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4"/>
      <c r="L25" s="2077"/>
      <c r="M25" s="2077"/>
      <c r="N25" s="2839" t="s">
        <v>2628</v>
      </c>
      <c r="O25" s="2840"/>
      <c r="P25" s="2303">
        <f>SUMPRODUCT((地价!A3:A33=YEAR(G19)&amp;"-"&amp;ROUNDUP(MONTH(G19)/3,0))*(地价!AD2:AH2=N25)*(地价!AD3:AH33))</f>
        <v>1.6799999999999999E-2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4"/>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4"/>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4"/>
      <c r="L28" s="1410" t="s">
        <v>964</v>
      </c>
      <c r="M28" s="1480">
        <f ca="1">ROUND($E$20*(1+M27),3)</f>
        <v>4.8000000000000001E-2</v>
      </c>
      <c r="N28" s="1480">
        <f ca="1">ROUND($E$20*(1+N27),3)</f>
        <v>4.5999999999999999E-2</v>
      </c>
      <c r="O28" s="1480">
        <f ca="1">ROUND($E$20*(1+O27),3)</f>
        <v>4.3999999999999997E-2</v>
      </c>
      <c r="P28" s="1481">
        <f ca="1">ROUND($E$20*(1+P27),3)</f>
        <v>4.2000000000000003E-2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1"/>
      <c r="L29" s="3241"/>
      <c r="M29" s="3241"/>
      <c r="N29" s="3241"/>
      <c r="O29" s="3241"/>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4"/>
      <c r="L30" s="3234"/>
      <c r="M30" s="3234"/>
      <c r="N30" s="3234"/>
      <c r="O30" s="3234"/>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4"/>
      <c r="L31" s="3234"/>
      <c r="M31" s="3234"/>
      <c r="N31" s="3234"/>
      <c r="O31" s="3234"/>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2"/>
      <c r="L32" s="3242"/>
      <c r="M32" s="3242"/>
      <c r="N32" s="3242"/>
      <c r="O32" s="3242"/>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29"/>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29" t="s">
        <v>2989</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30"/>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30"/>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30"/>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30"/>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31"/>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31"/>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2944</v>
      </c>
      <c r="C41" s="828" t="e">
        <f>ROUND(POWER(1+E41,H41-G41)*(POWER(1+E41,G41)-1)/(POWER(1+E41,H41)-1),4)</f>
        <v>#DIV/0!</v>
      </c>
      <c r="D41" s="372" t="s">
        <v>2942</v>
      </c>
      <c r="E41" s="2833">
        <f>G20</f>
        <v>0</v>
      </c>
      <c r="F41" s="372" t="s">
        <v>2943</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24">
      <c r="A47" s="1050" t="s">
        <v>1011</v>
      </c>
      <c r="B47" s="2267" t="str">
        <f>估价对象房地状况!C16</f>
        <v>一般</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14.25">
      <c r="A48" s="1050" t="s">
        <v>1012</v>
      </c>
      <c r="B48" s="2264" t="str">
        <f>估价对象房地状况!C18</f>
        <v>一般</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t="str">
        <f>估价对象房地状况!C19</f>
        <v>较好</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2900</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2899</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较差</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七通</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较好</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24">
      <c r="A58" s="1050" t="s">
        <v>1021</v>
      </c>
      <c r="B58" s="2267" t="str">
        <f>估价对象房地状况!C17</f>
        <v>一般</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14.25">
      <c r="A59" s="1050" t="s">
        <v>1012</v>
      </c>
      <c r="B59" s="2264" t="str">
        <f>估价对象房地状况!C18</f>
        <v>一般</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t="str">
        <f>估价对象房地状况!C19</f>
        <v>较好</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2901</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2899</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较差</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七通</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较好</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24">
      <c r="A69" s="1050" t="s">
        <v>1023</v>
      </c>
      <c r="B69" s="2267" t="str">
        <f>估价对象房地状况!C15</f>
        <v>较差</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14.25">
      <c r="A70" s="1050" t="s">
        <v>1024</v>
      </c>
      <c r="B70" s="2264" t="str">
        <f>估价对象房地状况!C18</f>
        <v>一般</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t="str">
        <f>估价对象房地状况!C19</f>
        <v>较好</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较差</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七通</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2899</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较好</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2899</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27" t="s">
        <v>1624</v>
      </c>
      <c r="B90" s="3527"/>
      <c r="C90" s="3527"/>
      <c r="D90" s="3527"/>
      <c r="E90" s="3527"/>
      <c r="F90" s="3527"/>
      <c r="G90" s="3527"/>
      <c r="H90" s="3527"/>
      <c r="I90" s="3527"/>
      <c r="J90" s="3527"/>
      <c r="K90" s="2306"/>
      <c r="L90" s="2306"/>
      <c r="M90" s="2306"/>
      <c r="N90" s="2306"/>
    </row>
    <row r="91" spans="1:40">
      <c r="A91" s="3528" t="s">
        <v>1434</v>
      </c>
      <c r="B91" s="3528" t="s">
        <v>1625</v>
      </c>
      <c r="C91" s="1123" t="s">
        <v>1626</v>
      </c>
      <c r="D91" s="1124"/>
      <c r="E91" s="1124"/>
      <c r="F91" s="1124"/>
      <c r="G91" s="1124"/>
      <c r="H91" s="1124"/>
      <c r="I91" s="1124"/>
      <c r="J91" s="1125"/>
      <c r="K91" s="1117"/>
      <c r="L91" s="1117"/>
      <c r="M91" s="1117"/>
      <c r="N91" s="1117"/>
    </row>
    <row r="92" spans="1:40">
      <c r="A92" s="3528"/>
      <c r="B92" s="3528"/>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35"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3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3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3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3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3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36"/>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37"/>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35" t="s">
        <v>1628</v>
      </c>
      <c r="B101" s="1130" t="s">
        <v>897</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36"/>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36"/>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36"/>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36"/>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36"/>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36"/>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36"/>
      <c r="B108" s="3538"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37"/>
      <c r="B109" s="3539"/>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21" t="s">
        <v>1630</v>
      </c>
      <c r="B110" s="3521"/>
      <c r="C110" s="3521"/>
      <c r="D110" s="3521"/>
      <c r="E110" s="3521"/>
      <c r="F110" s="3521"/>
      <c r="G110" s="3521"/>
      <c r="H110" s="3521"/>
      <c r="I110" s="3521"/>
      <c r="J110" s="3521"/>
      <c r="K110" s="2304"/>
      <c r="L110" s="2304"/>
      <c r="M110" s="2304"/>
      <c r="N110" s="2304"/>
    </row>
    <row r="112" spans="1:14" ht="12.75" thickBot="1"/>
    <row r="113" spans="1:13" ht="25.5" thickBot="1">
      <c r="A113" s="1003" t="s">
        <v>887</v>
      </c>
      <c r="B113" s="2307">
        <f>G3</f>
        <v>0</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892</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893</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894</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2947</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28" t="s">
        <v>998</v>
      </c>
      <c r="B18" s="1137" t="s">
        <v>1437</v>
      </c>
      <c r="C18" s="1114" t="s">
        <v>1438</v>
      </c>
      <c r="D18" s="1115"/>
      <c r="E18" s="1137">
        <v>1</v>
      </c>
      <c r="F18" s="1116" t="s">
        <v>1439</v>
      </c>
      <c r="G18" s="1117"/>
      <c r="H18" s="1088"/>
      <c r="I18" s="1088"/>
    </row>
    <row r="19" spans="1:9" s="1530" customFormat="1" ht="19.5" customHeight="1">
      <c r="A19" s="3528"/>
      <c r="B19" s="3528" t="s">
        <v>1440</v>
      </c>
      <c r="C19" s="1114" t="s">
        <v>1441</v>
      </c>
      <c r="D19" s="1115"/>
      <c r="E19" s="1137">
        <v>0.9</v>
      </c>
      <c r="F19" s="1116" t="s">
        <v>1442</v>
      </c>
      <c r="G19" s="1117"/>
      <c r="H19" s="1088"/>
      <c r="I19" s="1088"/>
    </row>
    <row r="20" spans="1:9" s="1530" customFormat="1" ht="19.5" customHeight="1">
      <c r="A20" s="3528"/>
      <c r="B20" s="3528"/>
      <c r="C20" s="1114" t="s">
        <v>1443</v>
      </c>
      <c r="D20" s="1115"/>
      <c r="E20" s="1137">
        <v>1.1000000000000001</v>
      </c>
      <c r="F20" s="1116" t="s">
        <v>1444</v>
      </c>
      <c r="G20" s="1117"/>
      <c r="H20" s="1088"/>
      <c r="I20" s="1088"/>
    </row>
    <row r="21" spans="1:9" s="1530" customFormat="1" ht="19.5" customHeight="1">
      <c r="A21" s="3528"/>
      <c r="B21" s="3528"/>
      <c r="C21" s="1114" t="s">
        <v>1445</v>
      </c>
      <c r="D21" s="1115"/>
      <c r="E21" s="1137">
        <v>0.8</v>
      </c>
      <c r="F21" s="1116" t="s">
        <v>1446</v>
      </c>
      <c r="G21" s="1117"/>
      <c r="H21" s="1088"/>
      <c r="I21" s="1088"/>
    </row>
    <row r="22" spans="1:9" s="1530" customFormat="1" ht="19.5" customHeight="1">
      <c r="A22" s="3528"/>
      <c r="B22" s="3528"/>
      <c r="C22" s="1114" t="s">
        <v>1447</v>
      </c>
      <c r="D22" s="1115"/>
      <c r="E22" s="1137">
        <v>0.5</v>
      </c>
      <c r="F22" s="1116"/>
      <c r="G22" s="1117"/>
      <c r="H22" s="1088"/>
      <c r="I22" s="1088"/>
    </row>
    <row r="23" spans="1:9" s="1530" customFormat="1" ht="19.5" customHeight="1">
      <c r="A23" s="3528" t="s">
        <v>1020</v>
      </c>
      <c r="B23" s="1137" t="s">
        <v>1437</v>
      </c>
      <c r="C23" s="1114" t="s">
        <v>1448</v>
      </c>
      <c r="D23" s="1115"/>
      <c r="E23" s="1137">
        <v>1</v>
      </c>
      <c r="F23" s="1116" t="s">
        <v>1449</v>
      </c>
      <c r="G23" s="1117"/>
      <c r="H23" s="1088"/>
      <c r="I23" s="1088"/>
    </row>
    <row r="24" spans="1:9" s="1530" customFormat="1" ht="19.5" customHeight="1">
      <c r="A24" s="3528"/>
      <c r="B24" s="3528" t="s">
        <v>1440</v>
      </c>
      <c r="C24" s="1114" t="s">
        <v>1450</v>
      </c>
      <c r="D24" s="1115"/>
      <c r="E24" s="1137">
        <v>0.5</v>
      </c>
      <c r="F24" s="1116"/>
      <c r="G24" s="1117"/>
      <c r="H24" s="1088"/>
      <c r="I24" s="1088"/>
    </row>
    <row r="25" spans="1:9" s="1530" customFormat="1" ht="19.5" customHeight="1">
      <c r="A25" s="3528"/>
      <c r="B25" s="3528"/>
      <c r="C25" s="1114" t="s">
        <v>1451</v>
      </c>
      <c r="D25" s="1115"/>
      <c r="E25" s="1137">
        <v>1.1000000000000001</v>
      </c>
      <c r="F25" s="1116"/>
      <c r="G25" s="1117"/>
      <c r="H25" s="1088"/>
      <c r="I25" s="1088"/>
    </row>
    <row r="26" spans="1:9" s="1530" customFormat="1" ht="19.5" customHeight="1">
      <c r="A26" s="3528"/>
      <c r="B26" s="3528"/>
      <c r="C26" s="1114" t="s">
        <v>1452</v>
      </c>
      <c r="D26" s="1115"/>
      <c r="E26" s="1137">
        <v>1.1000000000000001</v>
      </c>
      <c r="F26" s="1116"/>
      <c r="G26" s="1117"/>
      <c r="H26" s="1088"/>
      <c r="I26" s="1088"/>
    </row>
    <row r="27" spans="1:9" s="1530" customFormat="1" ht="19.5" customHeight="1">
      <c r="A27" s="3528"/>
      <c r="B27" s="3528"/>
      <c r="C27" s="1114" t="s">
        <v>1453</v>
      </c>
      <c r="D27" s="1115"/>
      <c r="E27" s="1137">
        <v>0.9</v>
      </c>
      <c r="F27" s="1116" t="s">
        <v>1454</v>
      </c>
      <c r="G27" s="1117"/>
      <c r="H27" s="1088"/>
      <c r="I27" s="1088"/>
    </row>
    <row r="28" spans="1:9" s="1530" customFormat="1" ht="19.5" customHeight="1">
      <c r="A28" s="3528"/>
      <c r="B28" s="3528"/>
      <c r="C28" s="1114" t="s">
        <v>1455</v>
      </c>
      <c r="D28" s="1115"/>
      <c r="E28" s="1137">
        <v>0.9</v>
      </c>
      <c r="F28" s="1116" t="s">
        <v>1456</v>
      </c>
      <c r="G28" s="1117"/>
      <c r="H28" s="1088"/>
      <c r="I28" s="1088"/>
    </row>
    <row r="29" spans="1:9" s="1530" customFormat="1" ht="19.5" customHeight="1">
      <c r="A29" s="3528"/>
      <c r="B29" s="3528"/>
      <c r="C29" s="1114" t="s">
        <v>1457</v>
      </c>
      <c r="D29" s="1115"/>
      <c r="E29" s="1137">
        <v>0.9</v>
      </c>
      <c r="F29" s="1116" t="s">
        <v>1458</v>
      </c>
      <c r="G29" s="1117"/>
      <c r="H29" s="1088"/>
      <c r="I29" s="1088"/>
    </row>
    <row r="30" spans="1:9" s="1530" customFormat="1" ht="19.5" customHeight="1">
      <c r="A30" s="3528"/>
      <c r="B30" s="3528"/>
      <c r="C30" s="1114" t="s">
        <v>1459</v>
      </c>
      <c r="D30" s="1115"/>
      <c r="E30" s="1137">
        <v>0.9</v>
      </c>
      <c r="F30" s="1116" t="s">
        <v>1460</v>
      </c>
      <c r="G30" s="1117"/>
      <c r="H30" s="1088"/>
      <c r="I30" s="1088"/>
    </row>
    <row r="31" spans="1:9" s="1530" customFormat="1" ht="19.5" customHeight="1">
      <c r="A31" s="3528"/>
      <c r="B31" s="3528"/>
      <c r="C31" s="1114" t="s">
        <v>1461</v>
      </c>
      <c r="D31" s="1115"/>
      <c r="E31" s="1137">
        <v>0.8</v>
      </c>
      <c r="F31" s="1116" t="s">
        <v>1462</v>
      </c>
      <c r="G31" s="1117"/>
      <c r="H31" s="1088"/>
      <c r="I31" s="1088"/>
    </row>
    <row r="32" spans="1:9" s="1530" customFormat="1" ht="19.5" customHeight="1">
      <c r="A32" s="3528"/>
      <c r="B32" s="3528"/>
      <c r="C32" s="1114" t="s">
        <v>1463</v>
      </c>
      <c r="D32" s="1115"/>
      <c r="E32" s="1137">
        <v>0.8</v>
      </c>
      <c r="F32" s="1116" t="s">
        <v>1464</v>
      </c>
      <c r="G32" s="1117"/>
      <c r="H32" s="1088"/>
      <c r="I32" s="1088"/>
    </row>
    <row r="33" spans="1:9" s="1530" customFormat="1" ht="19.5" customHeight="1">
      <c r="A33" s="3528" t="s">
        <v>1465</v>
      </c>
      <c r="B33" s="1137" t="s">
        <v>1437</v>
      </c>
      <c r="C33" s="1114" t="s">
        <v>1466</v>
      </c>
      <c r="D33" s="1115"/>
      <c r="E33" s="1137">
        <v>1</v>
      </c>
      <c r="F33" s="1116" t="s">
        <v>1467</v>
      </c>
      <c r="G33" s="1117"/>
      <c r="H33" s="1088"/>
      <c r="I33" s="1088"/>
    </row>
    <row r="34" spans="1:9" s="1530" customFormat="1" ht="19.5" customHeight="1">
      <c r="A34" s="3528"/>
      <c r="B34" s="1137" t="s">
        <v>1440</v>
      </c>
      <c r="C34" s="1114" t="s">
        <v>1468</v>
      </c>
      <c r="D34" s="1115"/>
      <c r="E34" s="1137">
        <v>1.5</v>
      </c>
      <c r="F34" s="1116" t="s">
        <v>1469</v>
      </c>
      <c r="G34" s="1117"/>
      <c r="H34" s="1088"/>
      <c r="I34" s="1088"/>
    </row>
    <row r="35" spans="1:9" s="1530" customFormat="1" ht="19.5" customHeight="1">
      <c r="A35" s="3528" t="s">
        <v>1423</v>
      </c>
      <c r="B35" s="1137" t="s">
        <v>1437</v>
      </c>
      <c r="C35" s="1114" t="s">
        <v>1470</v>
      </c>
      <c r="D35" s="1115"/>
      <c r="E35" s="1137">
        <v>1</v>
      </c>
      <c r="F35" s="1116" t="s">
        <v>1471</v>
      </c>
      <c r="G35" s="1117"/>
      <c r="H35" s="1088"/>
      <c r="I35" s="1088"/>
    </row>
    <row r="36" spans="1:9" s="1530" customFormat="1" ht="19.5" customHeight="1">
      <c r="A36" s="3528"/>
      <c r="B36" s="3528" t="s">
        <v>1440</v>
      </c>
      <c r="C36" s="1114" t="s">
        <v>1472</v>
      </c>
      <c r="D36" s="1115"/>
      <c r="E36" s="1137">
        <v>1</v>
      </c>
      <c r="F36" s="1116" t="s">
        <v>1473</v>
      </c>
      <c r="G36" s="1117"/>
      <c r="H36" s="1088"/>
      <c r="I36" s="1088"/>
    </row>
    <row r="37" spans="1:9" s="1530" customFormat="1" ht="19.5" customHeight="1">
      <c r="A37" s="3528"/>
      <c r="B37" s="3528"/>
      <c r="C37" s="1114" t="s">
        <v>1474</v>
      </c>
      <c r="D37" s="1115"/>
      <c r="E37" s="1137">
        <v>1.5</v>
      </c>
      <c r="F37" s="1116" t="s">
        <v>1475</v>
      </c>
      <c r="G37" s="1117"/>
      <c r="H37" s="1088"/>
      <c r="I37" s="1088"/>
    </row>
    <row r="38" spans="1:9" s="1530" customFormat="1" ht="19.5" customHeight="1">
      <c r="A38" s="3528"/>
      <c r="B38" s="3528"/>
      <c r="C38" s="1114" t="s">
        <v>1476</v>
      </c>
      <c r="D38" s="1115"/>
      <c r="E38" s="1137">
        <v>1</v>
      </c>
      <c r="F38" s="1116" t="s">
        <v>1477</v>
      </c>
      <c r="G38" s="1117"/>
      <c r="H38" s="1088"/>
      <c r="I38" s="1088"/>
    </row>
    <row r="39" spans="1:9" s="1530" customFormat="1" ht="19.5" customHeight="1">
      <c r="A39" s="3528"/>
      <c r="B39" s="3528"/>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28" t="s">
        <v>1492</v>
      </c>
      <c r="C61" s="1051" t="s">
        <v>1493</v>
      </c>
      <c r="D61" s="1051" t="s">
        <v>1494</v>
      </c>
      <c r="E61" s="1122">
        <v>0.5</v>
      </c>
      <c r="F61" s="1137">
        <v>80</v>
      </c>
      <c r="H61" s="1088">
        <f>SUMIF(C59:C119,基准地价!C8,E59:E119)</f>
        <v>0</v>
      </c>
    </row>
    <row r="62" spans="1:8" s="1088" customFormat="1" ht="24">
      <c r="A62" s="1137">
        <v>2</v>
      </c>
      <c r="B62" s="3528"/>
      <c r="C62" s="1051" t="s">
        <v>1495</v>
      </c>
      <c r="D62" s="1051" t="s">
        <v>1496</v>
      </c>
      <c r="E62" s="1122">
        <v>0.5</v>
      </c>
      <c r="F62" s="1137">
        <v>80</v>
      </c>
    </row>
    <row r="63" spans="1:8" s="1088" customFormat="1" ht="36">
      <c r="A63" s="1137">
        <v>3</v>
      </c>
      <c r="B63" s="3528"/>
      <c r="C63" s="1051" t="s">
        <v>1497</v>
      </c>
      <c r="D63" s="1051" t="s">
        <v>1498</v>
      </c>
      <c r="E63" s="1122">
        <v>0.5</v>
      </c>
      <c r="F63" s="1137">
        <v>80</v>
      </c>
    </row>
    <row r="64" spans="1:8" s="1088" customFormat="1" ht="36">
      <c r="A64" s="1137">
        <v>4</v>
      </c>
      <c r="B64" s="3528"/>
      <c r="C64" s="1051" t="s">
        <v>1499</v>
      </c>
      <c r="D64" s="1051" t="s">
        <v>1500</v>
      </c>
      <c r="E64" s="1122">
        <v>0.4</v>
      </c>
      <c r="F64" s="1137">
        <v>60</v>
      </c>
    </row>
    <row r="65" spans="1:6" s="1088" customFormat="1" ht="36">
      <c r="A65" s="1137">
        <v>5</v>
      </c>
      <c r="B65" s="3528"/>
      <c r="C65" s="1051" t="s">
        <v>1501</v>
      </c>
      <c r="D65" s="1051" t="s">
        <v>1502</v>
      </c>
      <c r="E65" s="1122">
        <v>0.2</v>
      </c>
      <c r="F65" s="1137">
        <v>30</v>
      </c>
    </row>
    <row r="66" spans="1:6" s="1088" customFormat="1" ht="36">
      <c r="A66" s="1137">
        <v>6</v>
      </c>
      <c r="B66" s="3528"/>
      <c r="C66" s="1051" t="s">
        <v>1503</v>
      </c>
      <c r="D66" s="1051" t="s">
        <v>1504</v>
      </c>
      <c r="E66" s="1122">
        <v>0.3</v>
      </c>
      <c r="F66" s="1137">
        <v>50</v>
      </c>
    </row>
    <row r="67" spans="1:6" s="1088" customFormat="1" ht="36">
      <c r="A67" s="1137">
        <v>7</v>
      </c>
      <c r="B67" s="3528"/>
      <c r="C67" s="1051" t="s">
        <v>1505</v>
      </c>
      <c r="D67" s="1051" t="s">
        <v>1506</v>
      </c>
      <c r="E67" s="1122">
        <v>0.2</v>
      </c>
      <c r="F67" s="1137">
        <v>30</v>
      </c>
    </row>
    <row r="68" spans="1:6" s="1088" customFormat="1" ht="36">
      <c r="A68" s="1137">
        <v>8</v>
      </c>
      <c r="B68" s="3528"/>
      <c r="C68" s="1051" t="s">
        <v>1507</v>
      </c>
      <c r="D68" s="1051" t="s">
        <v>1508</v>
      </c>
      <c r="E68" s="1122">
        <v>0.2</v>
      </c>
      <c r="F68" s="1137">
        <v>30</v>
      </c>
    </row>
    <row r="69" spans="1:6" s="1088" customFormat="1" ht="36">
      <c r="A69" s="1137">
        <v>9</v>
      </c>
      <c r="B69" s="3528"/>
      <c r="C69" s="1051" t="s">
        <v>1509</v>
      </c>
      <c r="D69" s="1051" t="s">
        <v>1510</v>
      </c>
      <c r="E69" s="1122">
        <v>0.2</v>
      </c>
      <c r="F69" s="1137">
        <v>30</v>
      </c>
    </row>
    <row r="70" spans="1:6" s="1088" customFormat="1" ht="48">
      <c r="A70" s="1137">
        <v>10</v>
      </c>
      <c r="B70" s="3528"/>
      <c r="C70" s="1051" t="s">
        <v>1511</v>
      </c>
      <c r="D70" s="1051" t="s">
        <v>1512</v>
      </c>
      <c r="E70" s="1122">
        <v>0.2</v>
      </c>
      <c r="F70" s="1137">
        <v>30</v>
      </c>
    </row>
    <row r="71" spans="1:6" s="1088" customFormat="1" ht="48">
      <c r="A71" s="1137">
        <v>11</v>
      </c>
      <c r="B71" s="3528"/>
      <c r="C71" s="1051" t="s">
        <v>1513</v>
      </c>
      <c r="D71" s="1051" t="s">
        <v>1514</v>
      </c>
      <c r="E71" s="1122">
        <v>0.2</v>
      </c>
      <c r="F71" s="1137">
        <v>30</v>
      </c>
    </row>
    <row r="72" spans="1:6" s="1088" customFormat="1" ht="36">
      <c r="A72" s="1137">
        <v>12</v>
      </c>
      <c r="B72" s="3528"/>
      <c r="C72" s="1051" t="s">
        <v>1515</v>
      </c>
      <c r="D72" s="1051" t="s">
        <v>1516</v>
      </c>
      <c r="E72" s="1122">
        <v>0.5</v>
      </c>
      <c r="F72" s="1137">
        <v>80</v>
      </c>
    </row>
    <row r="73" spans="1:6" s="1088" customFormat="1" ht="24">
      <c r="A73" s="1137">
        <v>13</v>
      </c>
      <c r="B73" s="3528"/>
      <c r="C73" s="1051" t="s">
        <v>1517</v>
      </c>
      <c r="D73" s="1051" t="s">
        <v>1518</v>
      </c>
      <c r="E73" s="1122">
        <v>0.4</v>
      </c>
      <c r="F73" s="1137">
        <v>60</v>
      </c>
    </row>
    <row r="74" spans="1:6" s="1088" customFormat="1" ht="24">
      <c r="A74" s="1137">
        <v>14</v>
      </c>
      <c r="B74" s="3528"/>
      <c r="C74" s="1051" t="s">
        <v>1519</v>
      </c>
      <c r="D74" s="1051" t="s">
        <v>1520</v>
      </c>
      <c r="E74" s="1122">
        <v>0.2</v>
      </c>
      <c r="F74" s="1137">
        <v>30</v>
      </c>
    </row>
    <row r="75" spans="1:6" s="1088" customFormat="1" ht="24">
      <c r="A75" s="1137">
        <v>15</v>
      </c>
      <c r="B75" s="3528"/>
      <c r="C75" s="1051" t="s">
        <v>1521</v>
      </c>
      <c r="D75" s="1051" t="s">
        <v>1522</v>
      </c>
      <c r="E75" s="1122">
        <v>0.2</v>
      </c>
      <c r="F75" s="1137">
        <v>30</v>
      </c>
    </row>
    <row r="76" spans="1:6" s="1088" customFormat="1" ht="24">
      <c r="A76" s="1137">
        <v>16</v>
      </c>
      <c r="B76" s="3528" t="s">
        <v>1523</v>
      </c>
      <c r="C76" s="1051" t="s">
        <v>1524</v>
      </c>
      <c r="D76" s="1051" t="s">
        <v>1525</v>
      </c>
      <c r="E76" s="1122">
        <v>0.5</v>
      </c>
      <c r="F76" s="1137">
        <v>80</v>
      </c>
    </row>
    <row r="77" spans="1:6" s="1088" customFormat="1" ht="24">
      <c r="A77" s="1137">
        <v>17</v>
      </c>
      <c r="B77" s="3528"/>
      <c r="C77" s="1051" t="s">
        <v>1526</v>
      </c>
      <c r="D77" s="1051" t="s">
        <v>1527</v>
      </c>
      <c r="E77" s="1122">
        <v>0.5</v>
      </c>
      <c r="F77" s="1137">
        <v>80</v>
      </c>
    </row>
    <row r="78" spans="1:6" s="1088" customFormat="1" ht="24">
      <c r="A78" s="1137">
        <v>18</v>
      </c>
      <c r="B78" s="3528"/>
      <c r="C78" s="1051" t="s">
        <v>1528</v>
      </c>
      <c r="D78" s="1051" t="s">
        <v>1529</v>
      </c>
      <c r="E78" s="1122">
        <v>0.2</v>
      </c>
      <c r="F78" s="1137">
        <v>30</v>
      </c>
    </row>
    <row r="79" spans="1:6" s="1088" customFormat="1" ht="24">
      <c r="A79" s="1137">
        <v>19</v>
      </c>
      <c r="B79" s="3528"/>
      <c r="C79" s="1051" t="s">
        <v>1530</v>
      </c>
      <c r="D79" s="1051" t="s">
        <v>1531</v>
      </c>
      <c r="E79" s="1122">
        <v>0.5</v>
      </c>
      <c r="F79" s="1137">
        <v>80</v>
      </c>
    </row>
    <row r="80" spans="1:6" s="1088" customFormat="1" ht="36">
      <c r="A80" s="1137">
        <v>20</v>
      </c>
      <c r="B80" s="3528"/>
      <c r="C80" s="1051" t="s">
        <v>1532</v>
      </c>
      <c r="D80" s="1051" t="s">
        <v>1533</v>
      </c>
      <c r="E80" s="1122">
        <v>0.2</v>
      </c>
      <c r="F80" s="1137">
        <v>30</v>
      </c>
    </row>
    <row r="81" spans="1:6" s="1088" customFormat="1" ht="36">
      <c r="A81" s="1137">
        <v>21</v>
      </c>
      <c r="B81" s="3528"/>
      <c r="C81" s="1051" t="s">
        <v>1534</v>
      </c>
      <c r="D81" s="1051" t="s">
        <v>1535</v>
      </c>
      <c r="E81" s="1122">
        <v>0.2</v>
      </c>
      <c r="F81" s="1137">
        <v>30</v>
      </c>
    </row>
    <row r="82" spans="1:6" s="1088" customFormat="1" ht="48">
      <c r="A82" s="1137">
        <v>22</v>
      </c>
      <c r="B82" s="3528"/>
      <c r="C82" s="1051" t="s">
        <v>1536</v>
      </c>
      <c r="D82" s="1051" t="s">
        <v>1537</v>
      </c>
      <c r="E82" s="1122">
        <v>0.2</v>
      </c>
      <c r="F82" s="1137">
        <v>30</v>
      </c>
    </row>
    <row r="83" spans="1:6" s="1088" customFormat="1" ht="48">
      <c r="A83" s="1137">
        <v>23</v>
      </c>
      <c r="B83" s="3528"/>
      <c r="C83" s="1051" t="s">
        <v>1538</v>
      </c>
      <c r="D83" s="1051" t="s">
        <v>1539</v>
      </c>
      <c r="E83" s="1122">
        <v>0.2</v>
      </c>
      <c r="F83" s="1137">
        <v>30</v>
      </c>
    </row>
    <row r="84" spans="1:6" s="1088" customFormat="1" ht="36">
      <c r="A84" s="1137">
        <v>24</v>
      </c>
      <c r="B84" s="3528"/>
      <c r="C84" s="1051" t="s">
        <v>1540</v>
      </c>
      <c r="D84" s="1051" t="s">
        <v>1541</v>
      </c>
      <c r="E84" s="1122">
        <v>0.2</v>
      </c>
      <c r="F84" s="1137">
        <v>30</v>
      </c>
    </row>
    <row r="85" spans="1:6" s="1088" customFormat="1" ht="36">
      <c r="A85" s="1137">
        <v>25</v>
      </c>
      <c r="B85" s="3528"/>
      <c r="C85" s="1051" t="s">
        <v>1542</v>
      </c>
      <c r="D85" s="1051" t="s">
        <v>1543</v>
      </c>
      <c r="E85" s="1122">
        <v>0.5</v>
      </c>
      <c r="F85" s="1137">
        <v>80</v>
      </c>
    </row>
    <row r="86" spans="1:6" s="1088" customFormat="1" ht="36">
      <c r="A86" s="1137">
        <v>26</v>
      </c>
      <c r="B86" s="3528"/>
      <c r="C86" s="1051" t="s">
        <v>1544</v>
      </c>
      <c r="D86" s="1051" t="s">
        <v>1545</v>
      </c>
      <c r="E86" s="1122">
        <v>0.2</v>
      </c>
      <c r="F86" s="1137">
        <v>30</v>
      </c>
    </row>
    <row r="87" spans="1:6" s="1088" customFormat="1" ht="36">
      <c r="A87" s="1137">
        <v>27</v>
      </c>
      <c r="B87" s="3528"/>
      <c r="C87" s="1051" t="s">
        <v>1546</v>
      </c>
      <c r="D87" s="1051" t="s">
        <v>1547</v>
      </c>
      <c r="E87" s="1122">
        <v>0.2</v>
      </c>
      <c r="F87" s="1137">
        <v>30</v>
      </c>
    </row>
    <row r="88" spans="1:6" s="1088" customFormat="1" ht="36">
      <c r="A88" s="1137">
        <v>28</v>
      </c>
      <c r="B88" s="3528"/>
      <c r="C88" s="1051" t="s">
        <v>1548</v>
      </c>
      <c r="D88" s="1051" t="s">
        <v>1549</v>
      </c>
      <c r="E88" s="1122">
        <v>0.2</v>
      </c>
      <c r="F88" s="1137">
        <v>30</v>
      </c>
    </row>
    <row r="89" spans="1:6" s="1088" customFormat="1" ht="24">
      <c r="A89" s="1137">
        <v>29</v>
      </c>
      <c r="B89" s="3528"/>
      <c r="C89" s="1051" t="s">
        <v>1550</v>
      </c>
      <c r="D89" s="1051" t="s">
        <v>1551</v>
      </c>
      <c r="E89" s="1122">
        <v>0.2</v>
      </c>
      <c r="F89" s="1137">
        <v>30</v>
      </c>
    </row>
    <row r="90" spans="1:6" s="1088" customFormat="1" ht="24">
      <c r="A90" s="1137">
        <v>30</v>
      </c>
      <c r="B90" s="3528"/>
      <c r="C90" s="1051" t="s">
        <v>1552</v>
      </c>
      <c r="D90" s="1051" t="s">
        <v>1553</v>
      </c>
      <c r="E90" s="1122">
        <v>0.2</v>
      </c>
      <c r="F90" s="1137">
        <v>30</v>
      </c>
    </row>
    <row r="91" spans="1:6" s="1088" customFormat="1" ht="36">
      <c r="A91" s="1137">
        <v>31</v>
      </c>
      <c r="B91" s="3528"/>
      <c r="C91" s="1051" t="s">
        <v>1554</v>
      </c>
      <c r="D91" s="1051" t="s">
        <v>1555</v>
      </c>
      <c r="E91" s="1122">
        <v>0.2</v>
      </c>
      <c r="F91" s="1137">
        <v>30</v>
      </c>
    </row>
    <row r="92" spans="1:6" s="1088" customFormat="1" ht="24">
      <c r="A92" s="1137">
        <v>32</v>
      </c>
      <c r="B92" s="3528" t="s">
        <v>1556</v>
      </c>
      <c r="C92" s="1137" t="s">
        <v>1557</v>
      </c>
      <c r="D92" s="1051" t="s">
        <v>1558</v>
      </c>
      <c r="E92" s="1122">
        <v>0.2</v>
      </c>
      <c r="F92" s="1137">
        <v>30</v>
      </c>
    </row>
    <row r="93" spans="1:6" s="1088" customFormat="1" ht="36">
      <c r="A93" s="1137">
        <v>33</v>
      </c>
      <c r="B93" s="3528"/>
      <c r="C93" s="1137" t="s">
        <v>1559</v>
      </c>
      <c r="D93" s="1051" t="s">
        <v>1560</v>
      </c>
      <c r="E93" s="1122">
        <v>0.2</v>
      </c>
      <c r="F93" s="1137">
        <v>30</v>
      </c>
    </row>
    <row r="94" spans="1:6" s="1088" customFormat="1" ht="48">
      <c r="A94" s="1137">
        <v>34</v>
      </c>
      <c r="B94" s="3528"/>
      <c r="C94" s="1137" t="s">
        <v>1561</v>
      </c>
      <c r="D94" s="1051" t="s">
        <v>1562</v>
      </c>
      <c r="E94" s="1122">
        <v>0.2</v>
      </c>
      <c r="F94" s="1137">
        <v>30</v>
      </c>
    </row>
    <row r="95" spans="1:6" s="1088" customFormat="1" ht="36">
      <c r="A95" s="1137">
        <v>35</v>
      </c>
      <c r="B95" s="3528"/>
      <c r="C95" s="1137" t="s">
        <v>1563</v>
      </c>
      <c r="D95" s="1051" t="s">
        <v>1564</v>
      </c>
      <c r="E95" s="1122">
        <v>0.2</v>
      </c>
      <c r="F95" s="1137">
        <v>30</v>
      </c>
    </row>
    <row r="96" spans="1:6" s="1088" customFormat="1" ht="48">
      <c r="A96" s="1137">
        <v>36</v>
      </c>
      <c r="B96" s="3528"/>
      <c r="C96" s="1051" t="s">
        <v>1565</v>
      </c>
      <c r="D96" s="1051" t="s">
        <v>1566</v>
      </c>
      <c r="E96" s="1122">
        <v>0.2</v>
      </c>
      <c r="F96" s="1137">
        <v>30</v>
      </c>
    </row>
    <row r="97" spans="1:6" s="1088" customFormat="1" ht="36">
      <c r="A97" s="1137">
        <v>37</v>
      </c>
      <c r="B97" s="3528"/>
      <c r="C97" s="1137" t="s">
        <v>1567</v>
      </c>
      <c r="D97" s="1051" t="s">
        <v>1568</v>
      </c>
      <c r="E97" s="1122">
        <v>0.2</v>
      </c>
      <c r="F97" s="1137">
        <v>30</v>
      </c>
    </row>
    <row r="98" spans="1:6" s="1088" customFormat="1" ht="36">
      <c r="A98" s="1137">
        <v>38</v>
      </c>
      <c r="B98" s="3528"/>
      <c r="C98" s="1137" t="s">
        <v>1569</v>
      </c>
      <c r="D98" s="1051" t="s">
        <v>1570</v>
      </c>
      <c r="E98" s="1122">
        <v>0.2</v>
      </c>
      <c r="F98" s="1137">
        <v>30</v>
      </c>
    </row>
    <row r="99" spans="1:6" s="1088" customFormat="1" ht="36">
      <c r="A99" s="1137">
        <v>39</v>
      </c>
      <c r="B99" s="3528" t="s">
        <v>1571</v>
      </c>
      <c r="C99" s="1137" t="s">
        <v>1572</v>
      </c>
      <c r="D99" s="1051" t="s">
        <v>1573</v>
      </c>
      <c r="E99" s="1122">
        <v>0.3</v>
      </c>
      <c r="F99" s="1137">
        <v>50</v>
      </c>
    </row>
    <row r="100" spans="1:6" s="1088" customFormat="1" ht="24">
      <c r="A100" s="1137">
        <v>40</v>
      </c>
      <c r="B100" s="3528"/>
      <c r="C100" s="1137" t="s">
        <v>1574</v>
      </c>
      <c r="D100" s="1051" t="s">
        <v>1575</v>
      </c>
      <c r="E100" s="1122">
        <v>0.2</v>
      </c>
      <c r="F100" s="1137">
        <v>30</v>
      </c>
    </row>
    <row r="101" spans="1:6" s="1088" customFormat="1" ht="36">
      <c r="A101" s="1137">
        <v>41</v>
      </c>
      <c r="B101" s="3528"/>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28" t="s">
        <v>1586</v>
      </c>
      <c r="C105" s="1137" t="s">
        <v>1587</v>
      </c>
      <c r="D105" s="1051" t="s">
        <v>1588</v>
      </c>
      <c r="E105" s="1122">
        <v>0.2</v>
      </c>
      <c r="F105" s="1137">
        <v>30</v>
      </c>
    </row>
    <row r="106" spans="1:6" s="1088" customFormat="1" ht="36">
      <c r="A106" s="1137">
        <v>46</v>
      </c>
      <c r="B106" s="3528"/>
      <c r="C106" s="1137" t="s">
        <v>1589</v>
      </c>
      <c r="D106" s="1051" t="s">
        <v>1590</v>
      </c>
      <c r="E106" s="1122">
        <v>0.2</v>
      </c>
      <c r="F106" s="1137">
        <v>30</v>
      </c>
    </row>
    <row r="107" spans="1:6" s="1088" customFormat="1" ht="36">
      <c r="A107" s="1137">
        <v>47</v>
      </c>
      <c r="B107" s="3528" t="s">
        <v>1591</v>
      </c>
      <c r="C107" s="1137" t="s">
        <v>1592</v>
      </c>
      <c r="D107" s="1051" t="s">
        <v>1593</v>
      </c>
      <c r="E107" s="1122">
        <v>0.3</v>
      </c>
      <c r="F107" s="1137">
        <v>50</v>
      </c>
    </row>
    <row r="108" spans="1:6" s="1088" customFormat="1" ht="36">
      <c r="A108" s="1137">
        <v>48</v>
      </c>
      <c r="B108" s="3528"/>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28" t="s">
        <v>1602</v>
      </c>
      <c r="C111" s="1137" t="s">
        <v>1603</v>
      </c>
      <c r="D111" s="1051" t="s">
        <v>1604</v>
      </c>
      <c r="E111" s="1122">
        <v>0.2</v>
      </c>
      <c r="F111" s="1137">
        <v>30</v>
      </c>
    </row>
    <row r="112" spans="1:6" s="1088" customFormat="1" ht="24">
      <c r="A112" s="1137">
        <v>52</v>
      </c>
      <c r="B112" s="3528"/>
      <c r="C112" s="1137" t="s">
        <v>1605</v>
      </c>
      <c r="D112" s="1051" t="s">
        <v>1606</v>
      </c>
      <c r="E112" s="1122">
        <v>0.2</v>
      </c>
      <c r="F112" s="1137">
        <v>30</v>
      </c>
    </row>
    <row r="113" spans="1:14" s="1088" customFormat="1" ht="24">
      <c r="A113" s="1137">
        <v>53</v>
      </c>
      <c r="B113" s="3528"/>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28" t="s">
        <v>1615</v>
      </c>
      <c r="C116" s="1137" t="s">
        <v>1616</v>
      </c>
      <c r="D116" s="1051" t="s">
        <v>1617</v>
      </c>
      <c r="E116" s="1122">
        <v>0.2</v>
      </c>
      <c r="F116" s="1137">
        <v>30</v>
      </c>
    </row>
    <row r="117" spans="1:14" ht="36">
      <c r="A117" s="1137">
        <v>57</v>
      </c>
      <c r="B117" s="3528"/>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27" t="s">
        <v>1624</v>
      </c>
      <c r="B121" s="3527"/>
      <c r="C121" s="3527"/>
      <c r="D121" s="3527"/>
      <c r="E121" s="3527"/>
      <c r="F121" s="3527"/>
      <c r="G121" s="3527"/>
      <c r="H121" s="3527"/>
      <c r="I121" s="3527"/>
      <c r="J121" s="3527"/>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2" t="s">
        <v>1030</v>
      </c>
      <c r="B1" s="3542"/>
      <c r="C1" s="3542"/>
      <c r="D1" s="3542"/>
      <c r="E1" s="3542"/>
      <c r="F1" s="3542"/>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43" t="s">
        <v>1043</v>
      </c>
      <c r="B2" s="3543"/>
      <c r="C2" s="3543"/>
      <c r="D2" s="3543"/>
      <c r="E2" s="3543"/>
      <c r="F2" s="3543"/>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44"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45"/>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46" t="s">
        <v>2068</v>
      </c>
      <c r="B1" s="3546"/>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E49" sqref="E49"/>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49" t="s">
        <v>2556</v>
      </c>
      <c r="C1" s="3549"/>
      <c r="D1" s="3549"/>
      <c r="E1" s="3549"/>
      <c r="F1" s="3549"/>
      <c r="G1" s="3548" t="s">
        <v>2557</v>
      </c>
      <c r="H1" s="3548"/>
      <c r="I1" s="3548"/>
      <c r="J1" s="3548"/>
      <c r="K1" s="3548"/>
      <c r="L1" s="3548"/>
      <c r="N1" s="3548" t="s">
        <v>2558</v>
      </c>
      <c r="O1" s="3548"/>
      <c r="P1" s="3548"/>
      <c r="Q1" s="3548"/>
      <c r="S1" s="3548" t="s">
        <v>2559</v>
      </c>
      <c r="T1" s="3548"/>
      <c r="U1" s="3548"/>
      <c r="V1" s="3548"/>
      <c r="X1" s="3547" t="s">
        <v>2619</v>
      </c>
      <c r="Y1" s="3548"/>
      <c r="Z1" s="3548"/>
      <c r="AA1" s="3548"/>
      <c r="AB1" s="3548"/>
      <c r="AD1" s="3547" t="s">
        <v>2623</v>
      </c>
      <c r="AE1" s="3548"/>
      <c r="AF1" s="3548"/>
      <c r="AG1" s="3548"/>
      <c r="AH1" s="3548"/>
    </row>
    <row r="2" spans="1:34" s="2866" customFormat="1" ht="14.25" thickBot="1">
      <c r="B2" s="2867" t="s">
        <v>2560</v>
      </c>
      <c r="C2" s="2867" t="s">
        <v>2621</v>
      </c>
      <c r="D2" s="2868" t="s">
        <v>1635</v>
      </c>
      <c r="E2" s="2868" t="s">
        <v>1938</v>
      </c>
      <c r="F2" s="2867" t="s">
        <v>2622</v>
      </c>
      <c r="G2" s="2869"/>
      <c r="I2" s="2867" t="s">
        <v>2917</v>
      </c>
      <c r="J2" s="2868" t="s">
        <v>2919</v>
      </c>
      <c r="K2" s="2868" t="s">
        <v>2920</v>
      </c>
      <c r="L2" s="2867" t="s">
        <v>2921</v>
      </c>
      <c r="N2" s="2867" t="s">
        <v>2560</v>
      </c>
      <c r="O2" s="2868" t="s">
        <v>2918</v>
      </c>
      <c r="P2" s="2868" t="s">
        <v>1938</v>
      </c>
      <c r="Q2" s="2867" t="s">
        <v>2622</v>
      </c>
      <c r="S2" s="2867" t="s">
        <v>2560</v>
      </c>
      <c r="T2" s="2868" t="s">
        <v>2918</v>
      </c>
      <c r="U2" s="2868" t="s">
        <v>1938</v>
      </c>
      <c r="V2" s="2867" t="s">
        <v>2622</v>
      </c>
      <c r="X2" s="2867" t="s">
        <v>2560</v>
      </c>
      <c r="Y2" s="2867" t="s">
        <v>2621</v>
      </c>
      <c r="Z2" s="2868" t="s">
        <v>1635</v>
      </c>
      <c r="AA2" s="2868" t="s">
        <v>1938</v>
      </c>
      <c r="AB2" s="2867" t="s">
        <v>2622</v>
      </c>
      <c r="AD2" s="2867" t="s">
        <v>2560</v>
      </c>
      <c r="AE2" s="2867" t="s">
        <v>2621</v>
      </c>
      <c r="AF2" s="2868" t="s">
        <v>1635</v>
      </c>
      <c r="AG2" s="2868" t="s">
        <v>1938</v>
      </c>
      <c r="AH2" s="2867" t="s">
        <v>2622</v>
      </c>
    </row>
    <row r="3" spans="1:34" s="2876" customFormat="1" ht="14.25">
      <c r="A3" s="2870" t="s">
        <v>2928</v>
      </c>
      <c r="B3" s="2871"/>
      <c r="C3" s="2871"/>
      <c r="D3" s="2872"/>
      <c r="E3" s="2872"/>
      <c r="F3" s="2871"/>
      <c r="G3" s="2873"/>
      <c r="H3" s="2874"/>
      <c r="I3" s="2875">
        <f>ROUND(AVERAGE($I4:$I33),2)</f>
        <v>1.68</v>
      </c>
      <c r="J3" s="2875">
        <f>ROUND(AVERAGE($J4:$J33),2)</f>
        <v>1.1000000000000001</v>
      </c>
      <c r="K3" s="2875">
        <f>ROUND(AVERAGE($K4:$K33),2)</f>
        <v>1.85</v>
      </c>
      <c r="L3" s="2875">
        <f>ROUND(AVERAGE($L4:$L33),2)</f>
        <v>1.19</v>
      </c>
      <c r="N3" s="2873"/>
      <c r="S3" s="2873"/>
      <c r="W3" s="2877"/>
      <c r="X3" s="2878">
        <f>ROUND(SUMPRODUCT(PRODUCT(1+N3:N$32)),4)</f>
        <v>1.571</v>
      </c>
      <c r="Y3" s="2878">
        <f>ROUND(SUMPRODUCT(PRODUCT(1+O3:O$32)),4)</f>
        <v>1.3420000000000001</v>
      </c>
      <c r="Z3" s="2878">
        <f t="shared" ref="Z3:Z30" si="0">Y3</f>
        <v>1.3420000000000001</v>
      </c>
      <c r="AA3" s="2878">
        <f>ROUND(SUMPRODUCT(PRODUCT(1+P3:P$32)),4)</f>
        <v>1.6415999999999999</v>
      </c>
      <c r="AB3" s="2878">
        <f>ROUND(SUMPRODUCT(PRODUCT(1+Q3:Q$32)),4)</f>
        <v>1.389</v>
      </c>
      <c r="AD3" s="2879">
        <f>ROUND(AVERAGE(I3:I$33)/100,4)</f>
        <v>1.6799999999999999E-2</v>
      </c>
      <c r="AE3" s="2879">
        <f>ROUND(AVERAGE(J3:J$33)/100,4)</f>
        <v>1.0999999999999999E-2</v>
      </c>
      <c r="AF3" s="2879">
        <f t="shared" ref="AF3:AF31" si="1">AE3</f>
        <v>1.0999999999999999E-2</v>
      </c>
      <c r="AG3" s="2879">
        <f>ROUND(AVERAGE(K3:K$33)/100,4)</f>
        <v>1.8499999999999999E-2</v>
      </c>
      <c r="AH3" s="2879">
        <f>ROUND(AVERAGE(L3:L$33)/100,4)</f>
        <v>1.1900000000000001E-2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2996</v>
      </c>
      <c r="B5" s="2890">
        <f t="shared" ref="B5" si="2">B6*(1+N5)</f>
        <v>483.1434279321756</v>
      </c>
      <c r="C5" s="2890">
        <f t="shared" ref="C5" si="3">C6*(1+O5)</f>
        <v>345.93622669144776</v>
      </c>
      <c r="D5" s="2890">
        <f t="shared" ref="D5" si="4">C5</f>
        <v>345.93622669144776</v>
      </c>
      <c r="E5" s="2890">
        <f t="shared" ref="E5" si="5">E6*(1+P5)</f>
        <v>694.24498562544113</v>
      </c>
      <c r="F5" s="2890">
        <f t="shared" ref="F5" si="6">F6*(1+Q5)</f>
        <v>319.35475932716082</v>
      </c>
      <c r="G5" s="2883">
        <v>2021</v>
      </c>
      <c r="H5" s="2891">
        <v>1</v>
      </c>
      <c r="I5" s="2892">
        <v>0</v>
      </c>
      <c r="J5" s="2892">
        <v>0</v>
      </c>
      <c r="K5" s="2892">
        <v>0</v>
      </c>
      <c r="L5" s="2892">
        <v>0</v>
      </c>
      <c r="N5" s="2894">
        <f t="shared" ref="N5" si="7">I5/100</f>
        <v>0</v>
      </c>
      <c r="O5" s="2894">
        <f t="shared" ref="O5" si="8">J5/100</f>
        <v>0</v>
      </c>
      <c r="P5" s="2894">
        <f t="shared" ref="P5" si="9">K5/100</f>
        <v>0</v>
      </c>
      <c r="Q5" s="2894">
        <f t="shared" ref="Q5" si="10">L5/100</f>
        <v>0</v>
      </c>
      <c r="S5" s="2895">
        <f>B5/B6-1</f>
        <v>0</v>
      </c>
      <c r="T5" s="2893">
        <f>C5/C6-1</f>
        <v>0</v>
      </c>
      <c r="U5" s="2893">
        <f>E5/E6-1</f>
        <v>0</v>
      </c>
      <c r="V5" s="2893">
        <f>F5/F6-1</f>
        <v>0</v>
      </c>
      <c r="W5" s="2896" t="s">
        <v>2929</v>
      </c>
      <c r="X5" s="2897">
        <f>ROUND(IF(项目基本情况!B5="出让",SUMPRODUCT(PRODUCT(1+N5:N$33)),SUMPRODUCT(PRODUCT(1+N5:N$32))),4)</f>
        <v>1.571</v>
      </c>
      <c r="Y5" s="2897">
        <f>ROUND(IF(项目基本情况!B5="出让",SUMPRODUCT(PRODUCT(1+O5:O$33)),SUMPRODUCT(PRODUCT(1+O5:O$32))),4)</f>
        <v>1.3420000000000001</v>
      </c>
      <c r="Z5" s="2897">
        <f t="shared" ref="Z5" si="11">Y5</f>
        <v>1.3420000000000001</v>
      </c>
      <c r="AA5" s="2897">
        <f>ROUND(IF(项目基本情况!B5="出让",SUMPRODUCT(PRODUCT(1+P5:P$33)),SUMPRODUCT(PRODUCT(1+P5:P$32))),4)</f>
        <v>1.6415999999999999</v>
      </c>
      <c r="AB5" s="2897">
        <f>ROUND(IF(项目基本情况!B5="出让",SUMPRODUCT(PRODUCT(1+Q5:Q$33)),SUMPRODUCT(PRODUCT(1+Q5:Q$32))),4)</f>
        <v>1.389</v>
      </c>
      <c r="AD5" s="2898">
        <f>ROUND(AVERAGE(I5:I$33)/100,4)</f>
        <v>1.6799999999999999E-2</v>
      </c>
      <c r="AE5" s="2898">
        <f>ROUND(AVERAGE(J5:J$33)/100,4)</f>
        <v>1.0999999999999999E-2</v>
      </c>
      <c r="AF5" s="2898">
        <f t="shared" ref="AF5" si="12">AE5</f>
        <v>1.0999999999999999E-2</v>
      </c>
      <c r="AG5" s="2898">
        <f>ROUND(AVERAGE(K5:K$33)/100,4)</f>
        <v>1.8499999999999999E-2</v>
      </c>
      <c r="AH5" s="2898">
        <f>ROUND(AVERAGE(L5:L$33)/100,4)</f>
        <v>1.1900000000000001E-2</v>
      </c>
    </row>
    <row r="6" spans="1:34" s="2906" customFormat="1">
      <c r="A6" s="2899" t="s">
        <v>2997</v>
      </c>
      <c r="B6" s="2900">
        <f t="shared" ref="B6" si="13">B7*(1+N6)</f>
        <v>483.1434279321756</v>
      </c>
      <c r="C6" s="2900">
        <f t="shared" ref="C6" si="14">C7*(1+O6)</f>
        <v>345.93622669144776</v>
      </c>
      <c r="D6" s="2900">
        <f t="shared" ref="D6" si="15">C6</f>
        <v>345.93622669144776</v>
      </c>
      <c r="E6" s="2900">
        <f t="shared" ref="E6" si="16">E7*(1+P6)</f>
        <v>694.24498562544113</v>
      </c>
      <c r="F6" s="2900">
        <f t="shared" ref="F6" si="17">F7*(1+Q6)</f>
        <v>319.35475932716082</v>
      </c>
      <c r="G6" s="2883">
        <v>2020</v>
      </c>
      <c r="H6" s="2901">
        <v>4</v>
      </c>
      <c r="I6" s="2863">
        <v>0</v>
      </c>
      <c r="J6" s="2863">
        <v>0</v>
      </c>
      <c r="K6" s="2863">
        <v>0</v>
      </c>
      <c r="L6" s="2864">
        <v>0</v>
      </c>
      <c r="M6" s="2887"/>
      <c r="N6" s="2902">
        <f t="shared" ref="N6" si="18">I6/100</f>
        <v>0</v>
      </c>
      <c r="O6" s="2888">
        <f t="shared" ref="O6" si="19">J6/100</f>
        <v>0</v>
      </c>
      <c r="P6" s="2888">
        <f t="shared" ref="P6" si="20">K6/100</f>
        <v>0</v>
      </c>
      <c r="Q6" s="2888">
        <f t="shared" ref="Q6" si="21">L6/100</f>
        <v>0</v>
      </c>
      <c r="R6" s="2903"/>
      <c r="S6" s="2904"/>
      <c r="T6" s="2905"/>
      <c r="U6" s="2905"/>
      <c r="V6" s="2905"/>
      <c r="W6" s="2887"/>
      <c r="X6" s="2887">
        <f>ROUND(IF(项目基本情况!B6="出让",SUMPRODUCT(PRODUCT(1+N6:N$33)),SUMPRODUCT(PRODUCT(1+N6:N$32))),4)</f>
        <v>1.571</v>
      </c>
      <c r="Y6" s="2887">
        <f>ROUND(IF(项目基本情况!B6="出让",SUMPRODUCT(PRODUCT(1+O6:O$33)),SUMPRODUCT(PRODUCT(1+O6:O$32))),4)</f>
        <v>1.3420000000000001</v>
      </c>
      <c r="Z6" s="2887">
        <f t="shared" ref="Z6" si="22">Y6</f>
        <v>1.3420000000000001</v>
      </c>
      <c r="AA6" s="2887">
        <f>ROUND(IF(项目基本情况!B6="出让",SUMPRODUCT(PRODUCT(1+P6:P$33)),SUMPRODUCT(PRODUCT(1+P6:P$32))),4)</f>
        <v>1.6415999999999999</v>
      </c>
      <c r="AB6" s="2887">
        <f>ROUND(IF(项目基本情况!B6="出让",SUMPRODUCT(PRODUCT(1+Q6:Q$33)),SUMPRODUCT(PRODUCT(1+Q6:Q$32))),4)</f>
        <v>1.389</v>
      </c>
      <c r="AC6" s="2887"/>
      <c r="AD6" s="2888">
        <f>ROUND(AVERAGE(I6:I$33)/100,4)</f>
        <v>1.7399999999999999E-2</v>
      </c>
      <c r="AE6" s="2888">
        <f>ROUND(AVERAGE(J6:J$33)/100,4)</f>
        <v>1.14E-2</v>
      </c>
      <c r="AF6" s="2888">
        <f t="shared" ref="AF6" si="23">AE6</f>
        <v>1.14E-2</v>
      </c>
      <c r="AG6" s="2888">
        <f>ROUND(AVERAGE(K6:K$33)/100,4)</f>
        <v>1.9199999999999998E-2</v>
      </c>
      <c r="AH6" s="2888">
        <f>ROUND(AVERAGE(L6:L$33)/100,4)</f>
        <v>1.23E-2</v>
      </c>
    </row>
    <row r="7" spans="1:34" s="2906" customFormat="1">
      <c r="A7" s="2899" t="s">
        <v>2995</v>
      </c>
      <c r="B7" s="2900">
        <f t="shared" ref="B7" si="24">B8*(1+N7)</f>
        <v>483.1434279321756</v>
      </c>
      <c r="C7" s="2900">
        <f t="shared" ref="C7" si="25">C8*(1+O7)</f>
        <v>345.93622669144776</v>
      </c>
      <c r="D7" s="2900">
        <f t="shared" ref="D7" si="26">C7</f>
        <v>345.93622669144776</v>
      </c>
      <c r="E7" s="2900">
        <f t="shared" ref="E7" si="27">E8*(1+P7)</f>
        <v>694.24498562544113</v>
      </c>
      <c r="F7" s="2900">
        <f t="shared" ref="F7" si="28">F8*(1+Q7)</f>
        <v>319.35475932716082</v>
      </c>
      <c r="G7" s="2883">
        <v>2020</v>
      </c>
      <c r="H7" s="2901">
        <v>3</v>
      </c>
      <c r="I7" s="2863">
        <v>0.36</v>
      </c>
      <c r="J7" s="2863">
        <v>-0.39</v>
      </c>
      <c r="K7" s="2863">
        <v>0.49</v>
      </c>
      <c r="L7" s="2864">
        <v>7.0000000000000007E-2</v>
      </c>
      <c r="M7" s="2887"/>
      <c r="N7" s="2902">
        <f t="shared" ref="N7" si="29">I7/100</f>
        <v>3.5999999999999999E-3</v>
      </c>
      <c r="O7" s="2888">
        <f t="shared" ref="O7" si="30">J7/100</f>
        <v>-3.9000000000000003E-3</v>
      </c>
      <c r="P7" s="2888">
        <f t="shared" ref="P7" si="31">K7/100</f>
        <v>4.8999999999999998E-3</v>
      </c>
      <c r="Q7" s="2888">
        <f t="shared" ref="Q7" si="32">L7/100</f>
        <v>7.000000000000001E-4</v>
      </c>
      <c r="R7" s="2903"/>
      <c r="S7" s="2904"/>
      <c r="T7" s="2905"/>
      <c r="U7" s="2905"/>
      <c r="V7" s="2905"/>
      <c r="W7" s="2887"/>
      <c r="X7" s="2887">
        <f>ROUND(IF(项目基本情况!B7="出让",SUMPRODUCT(PRODUCT(1+N7:N$33)),SUMPRODUCT(PRODUCT(1+N7:N$32))),4)</f>
        <v>1.571</v>
      </c>
      <c r="Y7" s="2887">
        <f>ROUND(IF(项目基本情况!B7="出让",SUMPRODUCT(PRODUCT(1+O7:O$33)),SUMPRODUCT(PRODUCT(1+O7:O$32))),4)</f>
        <v>1.3420000000000001</v>
      </c>
      <c r="Z7" s="2887">
        <f t="shared" ref="Z7" si="33">Y7</f>
        <v>1.3420000000000001</v>
      </c>
      <c r="AA7" s="2887">
        <f>ROUND(IF(项目基本情况!B7="出让",SUMPRODUCT(PRODUCT(1+P7:P$33)),SUMPRODUCT(PRODUCT(1+P7:P$32))),4)</f>
        <v>1.6415999999999999</v>
      </c>
      <c r="AB7" s="2887">
        <f>ROUND(IF(项目基本情况!B7="出让",SUMPRODUCT(PRODUCT(1+Q7:Q$33)),SUMPRODUCT(PRODUCT(1+Q7:Q$32))),4)</f>
        <v>1.389</v>
      </c>
      <c r="AC7" s="2887"/>
      <c r="AD7" s="2888">
        <f>ROUND(AVERAGE(I7:I$33)/100,4)</f>
        <v>1.8100000000000002E-2</v>
      </c>
      <c r="AE7" s="2888">
        <f>ROUND(AVERAGE(J7:J$33)/100,4)</f>
        <v>1.1900000000000001E-2</v>
      </c>
      <c r="AF7" s="2888">
        <f t="shared" ref="AF7" si="34">AE7</f>
        <v>1.1900000000000001E-2</v>
      </c>
      <c r="AG7" s="2888">
        <f>ROUND(AVERAGE(K7:K$33)/100,4)</f>
        <v>1.9900000000000001E-2</v>
      </c>
      <c r="AH7" s="2888">
        <f>ROUND(AVERAGE(L7:L$33)/100,4)</f>
        <v>1.2800000000000001E-2</v>
      </c>
    </row>
    <row r="8" spans="1:34" s="2906" customFormat="1">
      <c r="A8" s="2899" t="s">
        <v>2958</v>
      </c>
      <c r="B8" s="2900">
        <f t="shared" ref="B8" si="35">B9*(1+N8)</f>
        <v>481.4103506697644</v>
      </c>
      <c r="C8" s="2900">
        <f t="shared" ref="C8" si="36">C9*(1+O8)</f>
        <v>347.29066026648707</v>
      </c>
      <c r="D8" s="2900">
        <f t="shared" ref="D8" si="37">C8</f>
        <v>347.29066026648707</v>
      </c>
      <c r="E8" s="2900">
        <f t="shared" ref="E8" si="38">E9*(1+P8)</f>
        <v>690.85977273901995</v>
      </c>
      <c r="F8" s="2900">
        <f t="shared" ref="F8" si="39">F9*(1+Q8)</f>
        <v>319.13136737000184</v>
      </c>
      <c r="G8" s="2883">
        <v>2020</v>
      </c>
      <c r="H8" s="2901">
        <v>2</v>
      </c>
      <c r="I8" s="2863">
        <v>0.31</v>
      </c>
      <c r="J8" s="2863">
        <v>-0.78</v>
      </c>
      <c r="K8" s="2863">
        <v>0.5</v>
      </c>
      <c r="L8" s="2864">
        <v>0.47</v>
      </c>
      <c r="M8" s="2887"/>
      <c r="N8" s="2902">
        <f t="shared" ref="N8" si="40">I8/100</f>
        <v>3.0999999999999999E-3</v>
      </c>
      <c r="O8" s="2888">
        <f t="shared" ref="O8" si="41">J8/100</f>
        <v>-7.8000000000000005E-3</v>
      </c>
      <c r="P8" s="2888">
        <f t="shared" ref="P8" si="42">K8/100</f>
        <v>5.0000000000000001E-3</v>
      </c>
      <c r="Q8" s="2888">
        <f t="shared" ref="Q8" si="43">L8/100</f>
        <v>4.6999999999999993E-3</v>
      </c>
      <c r="R8" s="2903"/>
      <c r="S8" s="2904"/>
      <c r="T8" s="2905"/>
      <c r="U8" s="2905"/>
      <c r="V8" s="2905"/>
      <c r="W8" s="2887"/>
      <c r="X8" s="2887">
        <f>ROUND(IF(项目基本情况!B8="出让",SUMPRODUCT(PRODUCT(1+N8:N$33)),SUMPRODUCT(PRODUCT(1+N8:N$32))),4)</f>
        <v>1.5652999999999999</v>
      </c>
      <c r="Y8" s="2887">
        <f>ROUND(IF(项目基本情况!B8="出让",SUMPRODUCT(PRODUCT(1+O8:O$33)),SUMPRODUCT(PRODUCT(1+O8:O$32))),4)</f>
        <v>1.3472</v>
      </c>
      <c r="Z8" s="2887">
        <f t="shared" ref="Z8" si="44">Y8</f>
        <v>1.3472</v>
      </c>
      <c r="AA8" s="2887">
        <f>ROUND(IF(项目基本情况!B8="出让",SUMPRODUCT(PRODUCT(1+P8:P$33)),SUMPRODUCT(PRODUCT(1+P8:P$32))),4)</f>
        <v>1.6335999999999999</v>
      </c>
      <c r="AB8" s="2887">
        <f>ROUND(IF(项目基本情况!B8="出让",SUMPRODUCT(PRODUCT(1+Q8:Q$33)),SUMPRODUCT(PRODUCT(1+Q8:Q$32))),4)</f>
        <v>1.3880999999999999</v>
      </c>
      <c r="AC8" s="2887"/>
      <c r="AD8" s="2888">
        <f>ROUND(AVERAGE(I8:I$33)/100,4)</f>
        <v>1.8599999999999998E-2</v>
      </c>
      <c r="AE8" s="2888">
        <f>ROUND(AVERAGE(J8:J$33)/100,4)</f>
        <v>1.2500000000000001E-2</v>
      </c>
      <c r="AF8" s="2888">
        <f t="shared" ref="AF8" si="45">AE8</f>
        <v>1.2500000000000001E-2</v>
      </c>
      <c r="AG8" s="2888">
        <f>ROUND(AVERAGE(K8:K$33)/100,4)</f>
        <v>2.0400000000000001E-2</v>
      </c>
      <c r="AH8" s="2888">
        <f>ROUND(AVERAGE(L8:L$33)/100,4)</f>
        <v>1.32E-2</v>
      </c>
    </row>
    <row r="9" spans="1:34" s="2906" customFormat="1">
      <c r="A9" s="2899" t="s">
        <v>2956</v>
      </c>
      <c r="B9" s="2900">
        <f t="shared" ref="B9" si="46">B10*(1+N9)</f>
        <v>479.92259063878413</v>
      </c>
      <c r="C9" s="2900">
        <f t="shared" ref="C9" si="47">C10*(1+O9)</f>
        <v>350.02082268341775</v>
      </c>
      <c r="D9" s="2900">
        <f t="shared" ref="D9" si="48">C9</f>
        <v>350.02082268341775</v>
      </c>
      <c r="E9" s="2900">
        <f t="shared" ref="E9" si="49">E10*(1+P9)</f>
        <v>687.42265944181099</v>
      </c>
      <c r="F9" s="2900">
        <f t="shared" ref="F9" si="50">F10*(1+Q9)</f>
        <v>317.63846657708956</v>
      </c>
      <c r="G9" s="2883">
        <v>2020</v>
      </c>
      <c r="H9" s="2901">
        <v>1</v>
      </c>
      <c r="I9" s="2863">
        <v>0.12</v>
      </c>
      <c r="J9" s="2863">
        <v>-0.4</v>
      </c>
      <c r="K9" s="2863">
        <v>0.21</v>
      </c>
      <c r="L9" s="2864">
        <v>0.27</v>
      </c>
      <c r="M9" s="2887"/>
      <c r="N9" s="2902">
        <f t="shared" ref="N9" si="51">I9/100</f>
        <v>1.1999999999999999E-3</v>
      </c>
      <c r="O9" s="2888">
        <f t="shared" ref="O9" si="52">J9/100</f>
        <v>-4.0000000000000001E-3</v>
      </c>
      <c r="P9" s="2888">
        <f t="shared" ref="P9" si="53">K9/100</f>
        <v>2.0999999999999999E-3</v>
      </c>
      <c r="Q9" s="2888">
        <f t="shared" ref="Q9" si="54">L9/100</f>
        <v>2.7000000000000001E-3</v>
      </c>
      <c r="R9" s="2903"/>
      <c r="S9" s="2904">
        <f>B9/B10-1</f>
        <v>1.2000000000000899E-3</v>
      </c>
      <c r="T9" s="2905">
        <f>C9/C10-1</f>
        <v>-4.0000000000000036E-3</v>
      </c>
      <c r="U9" s="2905">
        <f>E9/E10-1</f>
        <v>2.0999999999999908E-3</v>
      </c>
      <c r="V9" s="2905">
        <f>F9/F10-1</f>
        <v>2.6999999999999247E-3</v>
      </c>
      <c r="W9" s="2887"/>
      <c r="X9" s="2887">
        <f>ROUND(IF(项目基本情况!B8="出让",SUMPRODUCT(PRODUCT(1+N9:N$33)),SUMPRODUCT(PRODUCT(1+N9:N$32))),4)</f>
        <v>1.5605</v>
      </c>
      <c r="Y9" s="2887">
        <f>ROUND(IF(项目基本情况!B8="出让",SUMPRODUCT(PRODUCT(1+O9:O$33)),SUMPRODUCT(PRODUCT(1+O9:O$32))),4)</f>
        <v>1.3577999999999999</v>
      </c>
      <c r="Z9" s="2887">
        <f t="shared" ref="Z9" si="55">Y9</f>
        <v>1.3577999999999999</v>
      </c>
      <c r="AA9" s="2887">
        <f>ROUND(IF(项目基本情况!B8="出让",SUMPRODUCT(PRODUCT(1+P9:P$33)),SUMPRODUCT(PRODUCT(1+P9:P$32))),4)</f>
        <v>1.6254999999999999</v>
      </c>
      <c r="AB9" s="2887">
        <f>ROUND(IF(项目基本情况!B8="出让",SUMPRODUCT(PRODUCT(1+Q9:Q$33)),SUMPRODUCT(PRODUCT(1+Q9:Q$32))),4)</f>
        <v>1.3815999999999999</v>
      </c>
      <c r="AC9" s="2887"/>
      <c r="AD9" s="2888">
        <f>ROUND(AVERAGE(I9:I$33)/100,4)</f>
        <v>1.9199999999999998E-2</v>
      </c>
      <c r="AE9" s="2888">
        <f>ROUND(AVERAGE(J9:J$33)/100,4)</f>
        <v>1.3299999999999999E-2</v>
      </c>
      <c r="AF9" s="2888">
        <f t="shared" ref="AF9" si="56">AE9</f>
        <v>1.3299999999999999E-2</v>
      </c>
      <c r="AG9" s="2888">
        <f>ROUND(AVERAGE(K9:K$33)/100,4)</f>
        <v>2.1100000000000001E-2</v>
      </c>
      <c r="AH9" s="2888">
        <f>ROUND(AVERAGE(L9:L$33)/100,4)</f>
        <v>1.3599999999999999E-2</v>
      </c>
    </row>
    <row r="10" spans="1:34" s="2906" customFormat="1">
      <c r="A10" s="2899" t="s">
        <v>2953</v>
      </c>
      <c r="B10" s="2900">
        <f t="shared" ref="B10" si="57">B11*(1+N10)</f>
        <v>479.34737379023579</v>
      </c>
      <c r="C10" s="2900">
        <f t="shared" ref="C10" si="58">C11*(1+O10)</f>
        <v>351.4265287986122</v>
      </c>
      <c r="D10" s="2900">
        <f t="shared" ref="D10" si="59">C10</f>
        <v>351.4265287986122</v>
      </c>
      <c r="E10" s="2900">
        <f t="shared" ref="E10" si="60">E11*(1+P10)</f>
        <v>685.98209703803116</v>
      </c>
      <c r="F10" s="2900">
        <f t="shared" ref="F10" si="61">F11*(1+Q10)</f>
        <v>316.78315206651001</v>
      </c>
      <c r="G10" s="2883">
        <v>2019</v>
      </c>
      <c r="H10" s="2901">
        <v>4</v>
      </c>
      <c r="I10" s="2901">
        <v>0.45</v>
      </c>
      <c r="J10" s="2901">
        <v>-0.12</v>
      </c>
      <c r="K10" s="2901">
        <v>0.54</v>
      </c>
      <c r="L10" s="2907">
        <v>0.48</v>
      </c>
      <c r="M10" s="2887"/>
      <c r="N10" s="2902">
        <f t="shared" ref="N10" si="62">I10/100</f>
        <v>4.5000000000000005E-3</v>
      </c>
      <c r="O10" s="2888">
        <f t="shared" ref="O10" si="63">J10/100</f>
        <v>-1.1999999999999999E-3</v>
      </c>
      <c r="P10" s="2888">
        <f t="shared" ref="P10" si="64">K10/100</f>
        <v>5.4000000000000003E-3</v>
      </c>
      <c r="Q10" s="2888">
        <f t="shared" ref="Q10" si="65">L10/100</f>
        <v>4.7999999999999996E-3</v>
      </c>
      <c r="R10" s="2903"/>
      <c r="S10" s="2904"/>
      <c r="T10" s="2905"/>
      <c r="U10" s="2905"/>
      <c r="V10" s="2905"/>
      <c r="W10" s="2887"/>
      <c r="X10" s="2887">
        <f>ROUND(IF(项目基本情况!B8="出让",SUMPRODUCT(PRODUCT(1+N10:N$33)),SUMPRODUCT(PRODUCT(1+N10:N$32))),4)</f>
        <v>1.5586</v>
      </c>
      <c r="Y10" s="2887">
        <f>ROUND(IF(项目基本情况!B8="出让",SUMPRODUCT(PRODUCT(1+O10:O$33)),SUMPRODUCT(PRODUCT(1+O10:O$32))),4)</f>
        <v>1.3633</v>
      </c>
      <c r="Z10" s="2887">
        <f t="shared" ref="Z10" si="66">Y10</f>
        <v>1.3633</v>
      </c>
      <c r="AA10" s="2887">
        <f>ROUND(IF(项目基本情况!B8="出让",SUMPRODUCT(PRODUCT(1+P10:P$33)),SUMPRODUCT(PRODUCT(1+P10:P$32))),4)</f>
        <v>1.6221000000000001</v>
      </c>
      <c r="AB10" s="2887">
        <f>ROUND(IF(项目基本情况!B8="出让",SUMPRODUCT(PRODUCT(1+Q10:Q$33)),SUMPRODUCT(PRODUCT(1+Q10:Q$32))),4)</f>
        <v>1.3777999999999999</v>
      </c>
      <c r="AC10" s="2887"/>
      <c r="AD10" s="2888">
        <f>ROUND(AVERAGE(I10:I$33)/100,4)</f>
        <v>0.02</v>
      </c>
      <c r="AE10" s="2888">
        <f>ROUND(AVERAGE(J10:J$33)/100,4)</f>
        <v>1.4E-2</v>
      </c>
      <c r="AF10" s="2888">
        <f t="shared" ref="AF10" si="67">AE10</f>
        <v>1.4E-2</v>
      </c>
      <c r="AG10" s="2888">
        <f>ROUND(AVERAGE(K10:K$33)/100,4)</f>
        <v>2.1899999999999999E-2</v>
      </c>
      <c r="AH10" s="2888">
        <f>ROUND(AVERAGE(L10:L$33)/100,4)</f>
        <v>1.4E-2</v>
      </c>
    </row>
    <row r="11" spans="1:34" s="2906" customFormat="1" ht="13.5" thickBot="1">
      <c r="A11" s="2899" t="s">
        <v>2952</v>
      </c>
      <c r="B11" s="2900">
        <f t="shared" ref="B11" si="68">B12*(1+N11)</f>
        <v>477.19997390765138</v>
      </c>
      <c r="C11" s="2900">
        <f t="shared" ref="C11" si="69">C12*(1+O11)</f>
        <v>351.84874729536665</v>
      </c>
      <c r="D11" s="2900">
        <f t="shared" ref="D11" si="70">C11</f>
        <v>351.84874729536665</v>
      </c>
      <c r="E11" s="2900">
        <f t="shared" ref="E11" si="71">E12*(1+P11)</f>
        <v>682.29768951465201</v>
      </c>
      <c r="F11" s="2900">
        <f t="shared" ref="F11" si="72">F12*(1+Q11)</f>
        <v>315.26985675409043</v>
      </c>
      <c r="G11" s="2883">
        <v>2019</v>
      </c>
      <c r="H11" s="2901">
        <v>3</v>
      </c>
      <c r="I11" s="2901">
        <v>0.61</v>
      </c>
      <c r="J11" s="2901">
        <v>0.67</v>
      </c>
      <c r="K11" s="2901">
        <v>0.6</v>
      </c>
      <c r="L11" s="2907">
        <v>1.03</v>
      </c>
      <c r="M11" s="2887"/>
      <c r="N11" s="2902">
        <f t="shared" ref="N11" si="73">I11/100</f>
        <v>6.0999999999999995E-3</v>
      </c>
      <c r="O11" s="2888">
        <f t="shared" ref="O11" si="74">J11/100</f>
        <v>6.7000000000000002E-3</v>
      </c>
      <c r="P11" s="2888">
        <f t="shared" ref="P11" si="75">K11/100</f>
        <v>6.0000000000000001E-3</v>
      </c>
      <c r="Q11" s="2888">
        <f t="shared" ref="Q11" si="76">L11/100</f>
        <v>1.03E-2</v>
      </c>
      <c r="R11" s="2903"/>
      <c r="S11" s="2904"/>
      <c r="T11" s="2905"/>
      <c r="U11" s="2905"/>
      <c r="V11" s="2905"/>
      <c r="W11" s="2887"/>
      <c r="X11" s="2887">
        <f>ROUND(IF(项目基本情况!B8="出让",SUMPRODUCT(PRODUCT(1+N11:N$33)),SUMPRODUCT(PRODUCT(1+N11:N$32))),4)</f>
        <v>1.5516000000000001</v>
      </c>
      <c r="Y11" s="2887">
        <f>ROUND(IF(项目基本情况!B8="出让",SUMPRODUCT(PRODUCT(1+O11:O$33)),SUMPRODUCT(PRODUCT(1+O11:O$32))),4)</f>
        <v>1.3649</v>
      </c>
      <c r="Z11" s="2887">
        <f t="shared" ref="Z11" si="77">Y11</f>
        <v>1.3649</v>
      </c>
      <c r="AA11" s="2887">
        <f>ROUND(IF(项目基本情况!B8="出让",SUMPRODUCT(PRODUCT(1+P11:P$33)),SUMPRODUCT(PRODUCT(1+P11:P$32))),4)</f>
        <v>1.6133999999999999</v>
      </c>
      <c r="AB11" s="2887">
        <f>ROUND(IF(项目基本情况!B8="出让",SUMPRODUCT(PRODUCT(1+Q11:Q$33)),SUMPRODUCT(PRODUCT(1+Q11:Q$32))),4)</f>
        <v>1.3713</v>
      </c>
      <c r="AC11" s="2887"/>
      <c r="AD11" s="2888">
        <f>ROUND(AVERAGE(I11:I$33)/100,4)</f>
        <v>2.07E-2</v>
      </c>
      <c r="AE11" s="2888">
        <f>ROUND(AVERAGE(J11:J$33)/100,4)</f>
        <v>1.47E-2</v>
      </c>
      <c r="AF11" s="2888">
        <f t="shared" ref="AF11" si="78">AE11</f>
        <v>1.47E-2</v>
      </c>
      <c r="AG11" s="2888">
        <f>ROUND(AVERAGE(K11:K$33)/100,4)</f>
        <v>2.2599999999999999E-2</v>
      </c>
      <c r="AH11" s="2888">
        <f>ROUND(AVERAGE(L11:L$33)/100,4)</f>
        <v>1.44E-2</v>
      </c>
    </row>
    <row r="12" spans="1:34" s="2906" customFormat="1">
      <c r="A12" s="2899" t="s">
        <v>2949</v>
      </c>
      <c r="B12" s="2900">
        <f t="shared" ref="B12:B17" si="79">B13*(1+N12)</f>
        <v>474.30670301923408</v>
      </c>
      <c r="C12" s="2900">
        <f t="shared" ref="C12" si="80">C13*(1+O12)</f>
        <v>349.50705005996491</v>
      </c>
      <c r="D12" s="2900">
        <f t="shared" ref="D12" si="81">C12</f>
        <v>349.50705005996491</v>
      </c>
      <c r="E12" s="2900">
        <f t="shared" ref="E12" si="82">E13*(1+P12)</f>
        <v>678.22831959706957</v>
      </c>
      <c r="F12" s="2900">
        <f t="shared" ref="F12" si="83">F13*(1+Q12)</f>
        <v>312.0556832169558</v>
      </c>
      <c r="G12" s="2883">
        <v>2019</v>
      </c>
      <c r="H12" s="2908">
        <v>2</v>
      </c>
      <c r="I12" s="2908">
        <v>1.53</v>
      </c>
      <c r="J12" s="2908">
        <v>1.01</v>
      </c>
      <c r="K12" s="2908">
        <v>1.62</v>
      </c>
      <c r="L12" s="2909">
        <v>1.25</v>
      </c>
      <c r="M12" s="2887"/>
      <c r="N12" s="2902">
        <f t="shared" ref="N12" si="84">I12/100</f>
        <v>1.5300000000000001E-2</v>
      </c>
      <c r="O12" s="2888">
        <f t="shared" ref="O12" si="85">J12/100</f>
        <v>1.01E-2</v>
      </c>
      <c r="P12" s="2888">
        <f t="shared" ref="P12" si="86">K12/100</f>
        <v>1.6200000000000003E-2</v>
      </c>
      <c r="Q12" s="2888">
        <f t="shared" ref="Q12" si="87">L12/100</f>
        <v>1.2500000000000001E-2</v>
      </c>
      <c r="R12" s="2903"/>
      <c r="S12" s="2904"/>
      <c r="T12" s="2905"/>
      <c r="U12" s="2905"/>
      <c r="V12" s="2905"/>
      <c r="W12" s="2887"/>
      <c r="X12" s="2887">
        <f>ROUND(IF(项目基本情况!B8="出让",SUMPRODUCT(PRODUCT(1+N12:N$33)),SUMPRODUCT(PRODUCT(1+N12:N$32))),4)</f>
        <v>1.5422</v>
      </c>
      <c r="Y12" s="2887">
        <f>ROUND(IF(项目基本情况!B8="出让",SUMPRODUCT(PRODUCT(1+O12:O$33)),SUMPRODUCT(PRODUCT(1+O12:O$32))),4)</f>
        <v>1.3557999999999999</v>
      </c>
      <c r="Z12" s="2887">
        <f t="shared" ref="Z12" si="88">Y12</f>
        <v>1.3557999999999999</v>
      </c>
      <c r="AA12" s="2887">
        <f>ROUND(IF(项目基本情况!B8="出让",SUMPRODUCT(PRODUCT(1+P12:P$33)),SUMPRODUCT(PRODUCT(1+P12:P$32))),4)</f>
        <v>1.6036999999999999</v>
      </c>
      <c r="AB12" s="2887">
        <f>ROUND(IF(项目基本情况!B8="出让",SUMPRODUCT(PRODUCT(1+Q12:Q$33)),SUMPRODUCT(PRODUCT(1+Q12:Q$32))),4)</f>
        <v>1.3573</v>
      </c>
      <c r="AC12" s="2887"/>
      <c r="AD12" s="2888">
        <f>ROUND(AVERAGE(I12:I$33)/100,4)</f>
        <v>2.1299999999999999E-2</v>
      </c>
      <c r="AE12" s="2888">
        <f>ROUND(AVERAGE(J12:J$33)/100,4)</f>
        <v>1.4999999999999999E-2</v>
      </c>
      <c r="AF12" s="2888">
        <f t="shared" ref="AF12" si="89">AE12</f>
        <v>1.4999999999999999E-2</v>
      </c>
      <c r="AG12" s="2888">
        <f>ROUND(AVERAGE(K12:K$33)/100,4)</f>
        <v>2.3300000000000001E-2</v>
      </c>
      <c r="AH12" s="2888">
        <f>ROUND(AVERAGE(L12:L$33)/100,4)</f>
        <v>1.46E-2</v>
      </c>
    </row>
    <row r="13" spans="1:34" s="2906" customFormat="1" ht="13.5" thickBot="1">
      <c r="A13" s="2899" t="s">
        <v>2948</v>
      </c>
      <c r="B13" s="2900">
        <f t="shared" si="79"/>
        <v>467.15916775261894</v>
      </c>
      <c r="C13" s="2900">
        <f t="shared" ref="C13" si="90">C14*(1+O13)</f>
        <v>346.01232557169084</v>
      </c>
      <c r="D13" s="2900">
        <f t="shared" ref="D13" si="91">C13</f>
        <v>346.01232557169084</v>
      </c>
      <c r="E13" s="2900">
        <f t="shared" ref="E13" si="92">E14*(1+P13)</f>
        <v>667.41617752122568</v>
      </c>
      <c r="F13" s="2900">
        <f t="shared" ref="F13" si="93">F14*(1+Q13)</f>
        <v>308.20314391798104</v>
      </c>
      <c r="G13" s="2883">
        <v>2019</v>
      </c>
      <c r="H13" s="2901">
        <v>1</v>
      </c>
      <c r="I13" s="2901">
        <v>0.6</v>
      </c>
      <c r="J13" s="2901">
        <v>0.37</v>
      </c>
      <c r="K13" s="2901">
        <v>0.63</v>
      </c>
      <c r="L13" s="2907">
        <v>1.1299999999999999</v>
      </c>
      <c r="M13" s="2887"/>
      <c r="N13" s="2902">
        <f t="shared" ref="N13" si="94">I13/100</f>
        <v>6.0000000000000001E-3</v>
      </c>
      <c r="O13" s="2888">
        <f t="shared" ref="O13" si="95">J13/100</f>
        <v>3.7000000000000002E-3</v>
      </c>
      <c r="P13" s="2888">
        <f t="shared" ref="P13" si="96">K13/100</f>
        <v>6.3E-3</v>
      </c>
      <c r="Q13" s="2888">
        <f t="shared" ref="Q13" si="97">L13/100</f>
        <v>1.1299999999999999E-2</v>
      </c>
      <c r="R13" s="2903"/>
      <c r="S13" s="2904">
        <f>B13/B14-1</f>
        <v>6.0000000000000053E-3</v>
      </c>
      <c r="T13" s="2905">
        <f>C13/C14-1</f>
        <v>3.7000000000000366E-3</v>
      </c>
      <c r="U13" s="2905">
        <f>E13/E14-1</f>
        <v>6.2999999999999723E-3</v>
      </c>
      <c r="V13" s="2905">
        <f>F13/F14-1</f>
        <v>1.1300000000000088E-2</v>
      </c>
      <c r="W13" s="2887"/>
      <c r="X13" s="2887">
        <f>ROUND(IF(项目基本情况!B8="出让",SUMPRODUCT(PRODUCT(1+N13:N$33)),SUMPRODUCT(PRODUCT(1+N13:N$32))),4)</f>
        <v>1.5189999999999999</v>
      </c>
      <c r="Y13" s="2887">
        <f>ROUND(IF(项目基本情况!B8="出让",SUMPRODUCT(PRODUCT(1+O13:O$33)),SUMPRODUCT(PRODUCT(1+O13:O$32))),4)</f>
        <v>1.3423</v>
      </c>
      <c r="Z13" s="2887">
        <f t="shared" ref="Z13" si="98">Y13</f>
        <v>1.3423</v>
      </c>
      <c r="AA13" s="2887">
        <f>ROUND(IF(项目基本情况!B8="出让",SUMPRODUCT(PRODUCT(1+P13:P$33)),SUMPRODUCT(PRODUCT(1+P13:P$32))),4)</f>
        <v>1.5782</v>
      </c>
      <c r="AB13" s="2887">
        <f>ROUND(IF(项目基本情况!B8="出让",SUMPRODUCT(PRODUCT(1+Q13:Q$33)),SUMPRODUCT(PRODUCT(1+Q13:Q$32))),4)</f>
        <v>1.3405</v>
      </c>
      <c r="AC13" s="2887"/>
      <c r="AD13" s="2888">
        <f>ROUND(AVERAGE(I13:I$33)/100,4)</f>
        <v>2.1600000000000001E-2</v>
      </c>
      <c r="AE13" s="2888">
        <f>ROUND(AVERAGE(J13:J$33)/100,4)</f>
        <v>1.5299999999999999E-2</v>
      </c>
      <c r="AF13" s="2888">
        <f t="shared" ref="AF13" si="99">AE13</f>
        <v>1.5299999999999999E-2</v>
      </c>
      <c r="AG13" s="2888">
        <f>ROUND(AVERAGE(K13:K$33)/100,4)</f>
        <v>2.3699999999999999E-2</v>
      </c>
      <c r="AH13" s="2888">
        <f>ROUND(AVERAGE(L13:L$33)/100,4)</f>
        <v>1.47E-2</v>
      </c>
    </row>
    <row r="14" spans="1:34" s="2906" customFormat="1">
      <c r="A14" s="2899" t="s">
        <v>2945</v>
      </c>
      <c r="B14" s="2910">
        <f t="shared" si="79"/>
        <v>464.37293017158942</v>
      </c>
      <c r="C14" s="2910">
        <f t="shared" ref="C14" si="100">C15*(1+O14)</f>
        <v>344.73679941385956</v>
      </c>
      <c r="D14" s="2910">
        <f t="shared" ref="D14" si="101">C14</f>
        <v>344.73679941385956</v>
      </c>
      <c r="E14" s="2910">
        <f t="shared" ref="E14" si="102">E15*(1+P14)</f>
        <v>663.2377795103107</v>
      </c>
      <c r="F14" s="2911">
        <f t="shared" ref="F14" si="103">F15*(1+Q14)</f>
        <v>304.75936311478398</v>
      </c>
      <c r="G14" s="3551">
        <v>2018</v>
      </c>
      <c r="H14" s="2908">
        <v>4</v>
      </c>
      <c r="I14" s="2908">
        <v>0.96</v>
      </c>
      <c r="J14" s="2908">
        <v>1.03</v>
      </c>
      <c r="K14" s="2908">
        <v>0.92</v>
      </c>
      <c r="L14" s="2909">
        <v>1.29</v>
      </c>
      <c r="M14" s="2887"/>
      <c r="N14" s="2902">
        <f t="shared" ref="N14" si="104">I14/100</f>
        <v>9.5999999999999992E-3</v>
      </c>
      <c r="O14" s="2888">
        <f t="shared" ref="O14" si="105">J14/100</f>
        <v>1.03E-2</v>
      </c>
      <c r="P14" s="2888">
        <f t="shared" ref="P14" si="106">K14/100</f>
        <v>9.1999999999999998E-3</v>
      </c>
      <c r="Q14" s="2888">
        <f t="shared" ref="Q14" si="107">L14/100</f>
        <v>1.29E-2</v>
      </c>
      <c r="R14" s="2903"/>
      <c r="S14" s="2912"/>
      <c r="T14" s="2913"/>
      <c r="U14" s="2913"/>
      <c r="V14" s="2913"/>
      <c r="W14" s="2887"/>
      <c r="X14" s="2887">
        <f>ROUND(SUMPRODUCT(PRODUCT(1+N14:N$32)),4)</f>
        <v>1.5099</v>
      </c>
      <c r="Y14" s="2887">
        <f>ROUND(SUMPRODUCT(PRODUCT(1+O14:O$32)),4)</f>
        <v>1.3372999999999999</v>
      </c>
      <c r="Z14" s="2887">
        <f t="shared" ref="Z14" si="108">Y14</f>
        <v>1.3372999999999999</v>
      </c>
      <c r="AA14" s="2887">
        <f>ROUND(SUMPRODUCT(PRODUCT(1+P14:P$32)),4)</f>
        <v>1.5683</v>
      </c>
      <c r="AB14" s="2887">
        <f>ROUND(SUMPRODUCT(PRODUCT(1+Q14:Q$32)),4)</f>
        <v>1.3255999999999999</v>
      </c>
      <c r="AC14" s="2887"/>
      <c r="AD14" s="2888">
        <f>ROUND(AVERAGE(I14:I$33)/100,4)</f>
        <v>2.24E-2</v>
      </c>
      <c r="AE14" s="2888">
        <f>ROUND(AVERAGE(J14:J$33)/100,4)</f>
        <v>1.5800000000000002E-2</v>
      </c>
      <c r="AF14" s="2888">
        <f t="shared" ref="AF14" si="109">AE14</f>
        <v>1.5800000000000002E-2</v>
      </c>
      <c r="AG14" s="2888">
        <f>ROUND(AVERAGE(K14:K$33)/100,4)</f>
        <v>2.4500000000000001E-2</v>
      </c>
      <c r="AH14" s="2888">
        <f>ROUND(AVERAGE(L14:L$33)/100,4)</f>
        <v>1.49E-2</v>
      </c>
    </row>
    <row r="15" spans="1:34" s="2906" customFormat="1" ht="14.45" customHeight="1">
      <c r="A15" s="2899" t="s">
        <v>2938</v>
      </c>
      <c r="B15" s="2900">
        <f t="shared" si="79"/>
        <v>459.95733971036987</v>
      </c>
      <c r="C15" s="2900">
        <f t="shared" ref="C15" si="110">C16*(1+O15)</f>
        <v>341.22221064422405</v>
      </c>
      <c r="D15" s="2900">
        <f t="shared" ref="D15" si="111">C15</f>
        <v>341.22221064422405</v>
      </c>
      <c r="E15" s="2900">
        <f t="shared" ref="E15" si="112">E16*(1+P15)</f>
        <v>657.19161663724799</v>
      </c>
      <c r="F15" s="2900">
        <f t="shared" ref="F15" si="113">F16*(1+Q15)</f>
        <v>300.87803644464805</v>
      </c>
      <c r="G15" s="3551"/>
      <c r="H15" s="2901">
        <v>3</v>
      </c>
      <c r="I15" s="2901">
        <v>1.51</v>
      </c>
      <c r="J15" s="2901">
        <v>1.41</v>
      </c>
      <c r="K15" s="2901">
        <v>1.52</v>
      </c>
      <c r="L15" s="2907">
        <v>1.74</v>
      </c>
      <c r="M15" s="2887"/>
      <c r="N15" s="2902">
        <f t="shared" ref="N15" si="114">I15/100</f>
        <v>1.5100000000000001E-2</v>
      </c>
      <c r="O15" s="2888">
        <f t="shared" ref="O15" si="115">J15/100</f>
        <v>1.41E-2</v>
      </c>
      <c r="P15" s="2888">
        <f t="shared" ref="P15" si="116">K15/100</f>
        <v>1.52E-2</v>
      </c>
      <c r="Q15" s="2888">
        <f t="shared" ref="Q15" si="117">L15/100</f>
        <v>1.7399999999999999E-2</v>
      </c>
      <c r="R15" s="2903"/>
      <c r="S15" s="2902"/>
      <c r="T15" s="2888"/>
      <c r="U15" s="2888"/>
      <c r="V15" s="2888"/>
      <c r="W15" s="2887"/>
      <c r="X15" s="2887">
        <f>ROUND(SUMPRODUCT(PRODUCT(1+N15:N$32)),4)</f>
        <v>1.4956</v>
      </c>
      <c r="Y15" s="2887">
        <f>ROUND(SUMPRODUCT(PRODUCT(1+O15:O$32)),4)</f>
        <v>1.3237000000000001</v>
      </c>
      <c r="Z15" s="2887">
        <f t="shared" ref="Z15" si="118">Y15</f>
        <v>1.3237000000000001</v>
      </c>
      <c r="AA15" s="2887">
        <f>ROUND(SUMPRODUCT(PRODUCT(1+P15:P$32)),4)</f>
        <v>1.554</v>
      </c>
      <c r="AB15" s="2887">
        <f>ROUND(SUMPRODUCT(PRODUCT(1+Q15:Q$32)),4)</f>
        <v>1.3087</v>
      </c>
      <c r="AC15" s="2887"/>
      <c r="AD15" s="2888">
        <f>ROUND(AVERAGE(I15:I$33)/100,4)</f>
        <v>2.3099999999999999E-2</v>
      </c>
      <c r="AE15" s="2888">
        <f>ROUND(AVERAGE(J15:J$33)/100,4)</f>
        <v>1.61E-2</v>
      </c>
      <c r="AF15" s="2888">
        <f t="shared" ref="AF15" si="119">AE15</f>
        <v>1.61E-2</v>
      </c>
      <c r="AG15" s="2888">
        <f>ROUND(AVERAGE(K15:K$33)/100,4)</f>
        <v>2.53E-2</v>
      </c>
      <c r="AH15" s="2888">
        <f>ROUND(AVERAGE(L15:L$33)/100,4)</f>
        <v>1.4999999999999999E-2</v>
      </c>
    </row>
    <row r="16" spans="1:34" s="2906" customFormat="1" ht="14.45" customHeight="1">
      <c r="A16" s="2899" t="s">
        <v>2939</v>
      </c>
      <c r="B16" s="2900">
        <f t="shared" si="79"/>
        <v>453.11529869999993</v>
      </c>
      <c r="C16" s="2900">
        <f t="shared" ref="C16" si="120">C17*(1+O16)</f>
        <v>336.47787264000004</v>
      </c>
      <c r="D16" s="2900">
        <f t="shared" ref="D16" si="121">C16</f>
        <v>336.47787264000004</v>
      </c>
      <c r="E16" s="2900">
        <f t="shared" ref="E16" si="122">E17*(1+P16)</f>
        <v>647.35186823999993</v>
      </c>
      <c r="F16" s="2900">
        <f t="shared" ref="F16" si="123">F17*(1+Q16)</f>
        <v>295.73229452000004</v>
      </c>
      <c r="G16" s="3551"/>
      <c r="H16" s="2914">
        <v>2</v>
      </c>
      <c r="I16" s="2914">
        <v>1.49</v>
      </c>
      <c r="J16" s="2914">
        <v>0.96</v>
      </c>
      <c r="K16" s="2914">
        <v>1.58</v>
      </c>
      <c r="L16" s="2915">
        <v>2.44</v>
      </c>
      <c r="M16" s="2887"/>
      <c r="N16" s="2902">
        <f t="shared" ref="N16" si="124">I16/100</f>
        <v>1.49E-2</v>
      </c>
      <c r="O16" s="2888">
        <f t="shared" ref="O16" si="125">J16/100</f>
        <v>9.5999999999999992E-3</v>
      </c>
      <c r="P16" s="2888">
        <f t="shared" ref="P16" si="126">K16/100</f>
        <v>1.5800000000000002E-2</v>
      </c>
      <c r="Q16" s="2888">
        <f t="shared" ref="Q16" si="127">L16/100</f>
        <v>2.4399999999999998E-2</v>
      </c>
      <c r="R16" s="2903"/>
      <c r="S16" s="2902"/>
      <c r="T16" s="2888"/>
      <c r="U16" s="2888"/>
      <c r="V16" s="2888"/>
      <c r="W16" s="2887"/>
      <c r="X16" s="2887">
        <f>ROUND(SUMPRODUCT(PRODUCT(1+N16:N$32)),4)</f>
        <v>1.4733000000000001</v>
      </c>
      <c r="Y16" s="2887">
        <f>ROUND(SUMPRODUCT(PRODUCT(1+O16:O$32)),4)</f>
        <v>1.3052999999999999</v>
      </c>
      <c r="Z16" s="2887">
        <f t="shared" ref="Z16" si="128">Y16</f>
        <v>1.3052999999999999</v>
      </c>
      <c r="AA16" s="2887">
        <f>ROUND(SUMPRODUCT(PRODUCT(1+P16:P$32)),4)</f>
        <v>1.5306999999999999</v>
      </c>
      <c r="AB16" s="2887">
        <f>ROUND(SUMPRODUCT(PRODUCT(1+Q16:Q$32)),4)</f>
        <v>1.2863</v>
      </c>
      <c r="AC16" s="2887"/>
      <c r="AD16" s="2888">
        <f>ROUND(AVERAGE(I16:I$33)/100,4)</f>
        <v>2.35E-2</v>
      </c>
      <c r="AE16" s="2888">
        <f>ROUND(AVERAGE(J16:J$33)/100,4)</f>
        <v>1.6199999999999999E-2</v>
      </c>
      <c r="AF16" s="2888">
        <f t="shared" ref="AF16" si="129">AE16</f>
        <v>1.6199999999999999E-2</v>
      </c>
      <c r="AG16" s="2888">
        <f>ROUND(AVERAGE(K16:K$33)/100,4)</f>
        <v>2.5899999999999999E-2</v>
      </c>
      <c r="AH16" s="2888">
        <f>ROUND(AVERAGE(L16:L$33)/100,4)</f>
        <v>1.49E-2</v>
      </c>
    </row>
    <row r="17" spans="1:34" s="2906" customFormat="1" ht="15" customHeight="1" thickBot="1">
      <c r="A17" s="2899" t="s">
        <v>2935</v>
      </c>
      <c r="B17" s="2900">
        <f t="shared" si="79"/>
        <v>446.46299999999997</v>
      </c>
      <c r="C17" s="2900">
        <f t="shared" ref="C17" si="130">C18*(1+O17)</f>
        <v>333.27840000000003</v>
      </c>
      <c r="D17" s="2900">
        <f t="shared" ref="D17:D22" si="131">C17</f>
        <v>333.27840000000003</v>
      </c>
      <c r="E17" s="2900">
        <f t="shared" ref="E17" si="132">E18*(1+P17)</f>
        <v>637.28279999999995</v>
      </c>
      <c r="F17" s="2900">
        <f t="shared" ref="F17" si="133">F18*(1+Q17)</f>
        <v>288.68830000000003</v>
      </c>
      <c r="G17" s="3557"/>
      <c r="H17" s="2901">
        <v>1</v>
      </c>
      <c r="I17" s="2901">
        <v>1.7</v>
      </c>
      <c r="J17" s="2901">
        <v>1.92</v>
      </c>
      <c r="K17" s="2901">
        <v>1.64</v>
      </c>
      <c r="L17" s="2907">
        <v>2.0099999999999998</v>
      </c>
      <c r="M17" s="2887"/>
      <c r="N17" s="2902">
        <f t="shared" ref="N17:N22" si="134">I17/100</f>
        <v>1.7000000000000001E-2</v>
      </c>
      <c r="O17" s="2888">
        <f t="shared" ref="O17" si="135">J17/100</f>
        <v>1.9199999999999998E-2</v>
      </c>
      <c r="P17" s="2888">
        <f t="shared" ref="P17" si="136">K17/100</f>
        <v>1.6399999999999998E-2</v>
      </c>
      <c r="Q17" s="2888">
        <f t="shared" ref="Q17" si="137">L17/100</f>
        <v>2.0099999999999996E-2</v>
      </c>
      <c r="R17" s="2903"/>
      <c r="S17" s="2904">
        <f>B17/B18-1</f>
        <v>1.6999999999999904E-2</v>
      </c>
      <c r="T17" s="2905">
        <f>C17/C18-1</f>
        <v>1.9200000000000106E-2</v>
      </c>
      <c r="U17" s="2905">
        <f>E17/E18-1</f>
        <v>1.639999999999997E-2</v>
      </c>
      <c r="V17" s="2905">
        <f>F17/F18-1</f>
        <v>2.0100000000000007E-2</v>
      </c>
      <c r="W17" s="2887"/>
      <c r="X17" s="2887">
        <f>ROUND(SUMPRODUCT(PRODUCT(1+N17:N$32)),4)</f>
        <v>1.4517</v>
      </c>
      <c r="Y17" s="2887">
        <f>ROUND(SUMPRODUCT(PRODUCT(1+O17:O$32)),4)</f>
        <v>1.2928999999999999</v>
      </c>
      <c r="Z17" s="2887">
        <f t="shared" ref="Z17" si="138">Y17</f>
        <v>1.2928999999999999</v>
      </c>
      <c r="AA17" s="2887">
        <f>ROUND(SUMPRODUCT(PRODUCT(1+P17:P$32)),4)</f>
        <v>1.5068999999999999</v>
      </c>
      <c r="AB17" s="2887">
        <f>ROUND(SUMPRODUCT(PRODUCT(1+Q17:Q$32)),4)</f>
        <v>1.2557</v>
      </c>
      <c r="AC17" s="2887"/>
      <c r="AD17" s="2888">
        <f>ROUND(AVERAGE(I17:I$33)/100,4)</f>
        <v>2.4E-2</v>
      </c>
      <c r="AE17" s="2888">
        <f>ROUND(AVERAGE(J17:J$33)/100,4)</f>
        <v>1.66E-2</v>
      </c>
      <c r="AF17" s="2888">
        <f t="shared" ref="AF17" si="139">AE17</f>
        <v>1.66E-2</v>
      </c>
      <c r="AG17" s="2888">
        <f>ROUND(AVERAGE(K17:K$33)/100,4)</f>
        <v>2.6499999999999999E-2</v>
      </c>
      <c r="AH17" s="2888">
        <f>ROUND(AVERAGE(L17:L$33)/100,4)</f>
        <v>1.43E-2</v>
      </c>
    </row>
    <row r="18" spans="1:34">
      <c r="A18" s="2899" t="s">
        <v>2927</v>
      </c>
      <c r="B18" s="2916">
        <v>439</v>
      </c>
      <c r="C18" s="2916">
        <v>327</v>
      </c>
      <c r="D18" s="2916">
        <f t="shared" si="131"/>
        <v>327</v>
      </c>
      <c r="E18" s="2916">
        <v>627</v>
      </c>
      <c r="F18" s="2917">
        <v>283</v>
      </c>
      <c r="G18" s="3556">
        <v>2017</v>
      </c>
      <c r="H18" s="2908">
        <v>4</v>
      </c>
      <c r="I18" s="2908">
        <v>1.71</v>
      </c>
      <c r="J18" s="2908">
        <v>1.78</v>
      </c>
      <c r="K18" s="2908">
        <v>1.71</v>
      </c>
      <c r="L18" s="2909">
        <v>1.43</v>
      </c>
      <c r="N18" s="2918">
        <f t="shared" si="134"/>
        <v>1.7100000000000001E-2</v>
      </c>
      <c r="O18" s="2919">
        <f t="shared" ref="O18" si="140">J18/100</f>
        <v>1.78E-2</v>
      </c>
      <c r="P18" s="2919">
        <f t="shared" ref="P18" si="141">K18/100</f>
        <v>1.7100000000000001E-2</v>
      </c>
      <c r="Q18" s="2919">
        <f t="shared" ref="Q18" si="142">L18/100</f>
        <v>1.43E-2</v>
      </c>
      <c r="R18" s="2903"/>
      <c r="S18" s="2912"/>
      <c r="T18" s="2913"/>
      <c r="U18" s="2913"/>
      <c r="V18" s="2913"/>
      <c r="X18" s="2887">
        <f>ROUND(SUMPRODUCT(PRODUCT(1+N18:N$32)),4)</f>
        <v>1.4274</v>
      </c>
      <c r="Y18" s="2887">
        <f>ROUND(SUMPRODUCT(PRODUCT(1+O18:O$32)),4)</f>
        <v>1.2685</v>
      </c>
      <c r="Z18" s="2887">
        <f t="shared" si="0"/>
        <v>1.2685</v>
      </c>
      <c r="AA18" s="2887">
        <f>ROUND(SUMPRODUCT(PRODUCT(1+P18:P$32)),4)</f>
        <v>1.4825999999999999</v>
      </c>
      <c r="AB18" s="2887">
        <f>ROUND(SUMPRODUCT(PRODUCT(1+Q18:Q$32)),4)</f>
        <v>1.2309000000000001</v>
      </c>
      <c r="AD18" s="2888">
        <f>ROUND(AVERAGE(I18:I$33)/100,4)</f>
        <v>2.4500000000000001E-2</v>
      </c>
      <c r="AE18" s="2888">
        <f>ROUND(AVERAGE(J18:J$33)/100,4)</f>
        <v>1.6500000000000001E-2</v>
      </c>
      <c r="AF18" s="2888">
        <f t="shared" si="1"/>
        <v>1.6500000000000001E-2</v>
      </c>
      <c r="AG18" s="2888">
        <f>ROUND(AVERAGE(K18:K$33)/100,4)</f>
        <v>2.7099999999999999E-2</v>
      </c>
      <c r="AH18" s="2888">
        <f>ROUND(AVERAGE(L18:L$33)/100,4)</f>
        <v>1.3899999999999999E-2</v>
      </c>
    </row>
    <row r="19" spans="1:34" s="2906" customFormat="1" ht="14.45" customHeight="1">
      <c r="A19" s="2899" t="s">
        <v>2930</v>
      </c>
      <c r="B19" s="2900">
        <f t="shared" ref="B19:C21" si="143">B20*(1+N19)</f>
        <v>431.80730811680002</v>
      </c>
      <c r="C19" s="2900">
        <f t="shared" si="143"/>
        <v>320.57880516480003</v>
      </c>
      <c r="D19" s="2900">
        <f t="shared" si="131"/>
        <v>320.57880516480003</v>
      </c>
      <c r="E19" s="2900">
        <f t="shared" ref="E19:F21" si="144">E20*(1+P19)</f>
        <v>615.96110553196797</v>
      </c>
      <c r="F19" s="2900">
        <f t="shared" si="144"/>
        <v>279.46777300108801</v>
      </c>
      <c r="G19" s="3551"/>
      <c r="H19" s="2901">
        <v>3</v>
      </c>
      <c r="I19" s="2901">
        <v>2.98</v>
      </c>
      <c r="J19" s="2901">
        <v>2.11</v>
      </c>
      <c r="K19" s="2901">
        <v>3.24</v>
      </c>
      <c r="L19" s="2907">
        <v>1.72</v>
      </c>
      <c r="M19" s="2887"/>
      <c r="N19" s="2902">
        <f t="shared" si="134"/>
        <v>2.98E-2</v>
      </c>
      <c r="O19" s="2920">
        <f t="shared" ref="O19:O20" si="145">J19/100</f>
        <v>2.1099999999999997E-2</v>
      </c>
      <c r="P19" s="2920">
        <f t="shared" ref="P19:P20" si="146">K19/100</f>
        <v>3.2400000000000005E-2</v>
      </c>
      <c r="Q19" s="2920">
        <f t="shared" ref="Q19:Q20" si="147">L19/100</f>
        <v>1.72E-2</v>
      </c>
      <c r="R19" s="2903"/>
      <c r="S19" s="2902"/>
      <c r="T19" s="2888"/>
      <c r="U19" s="2888"/>
      <c r="V19" s="2888"/>
      <c r="W19" s="2887"/>
      <c r="X19" s="2887">
        <f>ROUND(SUMPRODUCT(PRODUCT(1+N19:N$32)),4)</f>
        <v>1.4034</v>
      </c>
      <c r="Y19" s="2887">
        <f>ROUND(SUMPRODUCT(PRODUCT(1+O19:O$32)),4)</f>
        <v>1.2463</v>
      </c>
      <c r="Z19" s="2887">
        <f t="shared" si="0"/>
        <v>1.2463</v>
      </c>
      <c r="AA19" s="2887">
        <f>ROUND(SUMPRODUCT(PRODUCT(1+P19:P$32)),4)</f>
        <v>1.4577</v>
      </c>
      <c r="AB19" s="2887">
        <f>ROUND(SUMPRODUCT(PRODUCT(1+Q19:Q$32)),4)</f>
        <v>1.2136</v>
      </c>
      <c r="AC19" s="2887"/>
      <c r="AD19" s="2888">
        <f>ROUND(AVERAGE(I19:I$33)/100,4)</f>
        <v>2.4899999999999999E-2</v>
      </c>
      <c r="AE19" s="2888">
        <f>ROUND(AVERAGE(J19:J$33)/100,4)</f>
        <v>1.6400000000000001E-2</v>
      </c>
      <c r="AF19" s="2888">
        <f t="shared" si="1"/>
        <v>1.6400000000000001E-2</v>
      </c>
      <c r="AG19" s="2888">
        <f>ROUND(AVERAGE(K19:K$33)/100,4)</f>
        <v>2.7799999999999998E-2</v>
      </c>
      <c r="AH19" s="2888">
        <f>ROUND(AVERAGE(L19:L$33)/100,4)</f>
        <v>1.3899999999999999E-2</v>
      </c>
    </row>
    <row r="20" spans="1:34" s="2865" customFormat="1" ht="14.45" customHeight="1">
      <c r="A20" s="2899" t="s">
        <v>2561</v>
      </c>
      <c r="B20" s="2900">
        <f t="shared" si="143"/>
        <v>419.31181600000002</v>
      </c>
      <c r="C20" s="2900">
        <f t="shared" si="143"/>
        <v>313.95436800000004</v>
      </c>
      <c r="D20" s="2900">
        <f t="shared" si="131"/>
        <v>313.95436800000004</v>
      </c>
      <c r="E20" s="2900">
        <f t="shared" si="144"/>
        <v>596.63028431999999</v>
      </c>
      <c r="F20" s="2900">
        <f t="shared" si="144"/>
        <v>274.74220703999998</v>
      </c>
      <c r="G20" s="3551"/>
      <c r="H20" s="2914">
        <v>2</v>
      </c>
      <c r="I20" s="2914">
        <v>3.4</v>
      </c>
      <c r="J20" s="2914">
        <v>2</v>
      </c>
      <c r="K20" s="2914">
        <v>3.82</v>
      </c>
      <c r="L20" s="2915">
        <v>1.68</v>
      </c>
      <c r="N20" s="2902">
        <f t="shared" si="134"/>
        <v>3.4000000000000002E-2</v>
      </c>
      <c r="O20" s="2920">
        <f t="shared" si="145"/>
        <v>0.02</v>
      </c>
      <c r="P20" s="2920">
        <f t="shared" si="146"/>
        <v>3.8199999999999998E-2</v>
      </c>
      <c r="Q20" s="2920">
        <f t="shared" si="147"/>
        <v>1.6799999999999999E-2</v>
      </c>
      <c r="S20" s="2902"/>
      <c r="T20" s="2888"/>
      <c r="U20" s="2888"/>
      <c r="V20" s="2888"/>
      <c r="X20" s="2887">
        <f>ROUND(SUMPRODUCT(PRODUCT(1+N20:N$32)),4)</f>
        <v>1.3628</v>
      </c>
      <c r="Y20" s="2887">
        <f>ROUND(SUMPRODUCT(PRODUCT(1+O20:O$32)),4)</f>
        <v>1.2205999999999999</v>
      </c>
      <c r="Z20" s="2887">
        <f t="shared" si="0"/>
        <v>1.2205999999999999</v>
      </c>
      <c r="AA20" s="2887">
        <f>ROUND(SUMPRODUCT(PRODUCT(1+P20:P$32)),4)</f>
        <v>1.4118999999999999</v>
      </c>
      <c r="AB20" s="2887">
        <f>ROUND(SUMPRODUCT(PRODUCT(1+Q20:Q$32)),4)</f>
        <v>1.1930000000000001</v>
      </c>
      <c r="AD20" s="2888">
        <f>ROUND(AVERAGE(I20:I$33)/100,4)</f>
        <v>2.46E-2</v>
      </c>
      <c r="AE20" s="2888">
        <f>ROUND(AVERAGE(J20:J$33)/100,4)</f>
        <v>1.6E-2</v>
      </c>
      <c r="AF20" s="2888">
        <f t="shared" si="1"/>
        <v>1.6E-2</v>
      </c>
      <c r="AG20" s="2888">
        <f>ROUND(AVERAGE(K20:K$33)/100,4)</f>
        <v>2.75E-2</v>
      </c>
      <c r="AH20" s="2888">
        <f>ROUND(AVERAGE(L20:L$33)/100,4)</f>
        <v>1.37E-2</v>
      </c>
    </row>
    <row r="21" spans="1:34" s="2906" customFormat="1" ht="15" customHeight="1" thickBot="1">
      <c r="A21" s="2899" t="s">
        <v>2562</v>
      </c>
      <c r="B21" s="2900">
        <f t="shared" si="143"/>
        <v>405.524</v>
      </c>
      <c r="C21" s="2900">
        <f t="shared" si="143"/>
        <v>307.79840000000002</v>
      </c>
      <c r="D21" s="2900">
        <f t="shared" si="131"/>
        <v>307.79840000000002</v>
      </c>
      <c r="E21" s="2900">
        <f t="shared" si="144"/>
        <v>574.67759999999998</v>
      </c>
      <c r="F21" s="2900">
        <f t="shared" si="144"/>
        <v>270.20280000000002</v>
      </c>
      <c r="G21" s="3557"/>
      <c r="H21" s="2901">
        <v>1</v>
      </c>
      <c r="I21" s="2901">
        <v>3.45</v>
      </c>
      <c r="J21" s="2901">
        <v>1.92</v>
      </c>
      <c r="K21" s="2901">
        <v>3.92</v>
      </c>
      <c r="L21" s="2907">
        <v>1.58</v>
      </c>
      <c r="M21" s="2887"/>
      <c r="N21" s="2904">
        <f t="shared" si="134"/>
        <v>3.4500000000000003E-2</v>
      </c>
      <c r="O21" s="2905">
        <f t="shared" ref="O21" si="148">J21/100</f>
        <v>1.9199999999999998E-2</v>
      </c>
      <c r="P21" s="2905">
        <f t="shared" ref="P21" si="149">K21/100</f>
        <v>3.9199999999999999E-2</v>
      </c>
      <c r="Q21" s="2905">
        <f t="shared" ref="Q21" si="150">L21/100</f>
        <v>1.5800000000000002E-2</v>
      </c>
      <c r="R21" s="2903"/>
      <c r="S21" s="2904">
        <f>B21/B22-1</f>
        <v>3.4499999999999975E-2</v>
      </c>
      <c r="T21" s="2905">
        <f>C21/C22-1</f>
        <v>1.9200000000000106E-2</v>
      </c>
      <c r="U21" s="2905">
        <f>E21/E22-1</f>
        <v>3.9199999999999902E-2</v>
      </c>
      <c r="V21" s="2905">
        <f>F21/F22-1</f>
        <v>1.5800000000000036E-2</v>
      </c>
      <c r="W21" s="2887"/>
      <c r="X21" s="2887">
        <f>ROUND(SUMPRODUCT(PRODUCT(1+N21:N$32)),4)</f>
        <v>1.3180000000000001</v>
      </c>
      <c r="Y21" s="2887">
        <f>ROUND(SUMPRODUCT(PRODUCT(1+O21:O$32)),4)</f>
        <v>1.1966000000000001</v>
      </c>
      <c r="Z21" s="2887">
        <f t="shared" si="0"/>
        <v>1.1966000000000001</v>
      </c>
      <c r="AA21" s="2887">
        <f>ROUND(SUMPRODUCT(PRODUCT(1+P21:P$32)),4)</f>
        <v>1.36</v>
      </c>
      <c r="AB21" s="2887">
        <f>ROUND(SUMPRODUCT(PRODUCT(1+Q21:Q$32)),4)</f>
        <v>1.1733</v>
      </c>
      <c r="AC21" s="2887"/>
      <c r="AD21" s="2888">
        <f>ROUND(AVERAGE(I21:I$33)/100,4)</f>
        <v>2.3900000000000001E-2</v>
      </c>
      <c r="AE21" s="2888">
        <f>ROUND(AVERAGE(J21:J$33)/100,4)</f>
        <v>1.5699999999999999E-2</v>
      </c>
      <c r="AF21" s="2888">
        <f t="shared" si="1"/>
        <v>1.5699999999999999E-2</v>
      </c>
      <c r="AG21" s="2888">
        <f>ROUND(AVERAGE(K21:K$33)/100,4)</f>
        <v>2.6599999999999999E-2</v>
      </c>
      <c r="AH21" s="2888">
        <f>ROUND(AVERAGE(L21:L$33)/100,4)</f>
        <v>1.34E-2</v>
      </c>
    </row>
    <row r="22" spans="1:34">
      <c r="A22" s="2899" t="s">
        <v>961</v>
      </c>
      <c r="B22" s="2921">
        <v>392</v>
      </c>
      <c r="C22" s="2921">
        <v>302</v>
      </c>
      <c r="D22" s="2921">
        <f t="shared" si="131"/>
        <v>302</v>
      </c>
      <c r="E22" s="2921">
        <v>553</v>
      </c>
      <c r="F22" s="2922">
        <v>266</v>
      </c>
      <c r="G22" s="3556">
        <v>2016</v>
      </c>
      <c r="H22" s="2908">
        <v>4</v>
      </c>
      <c r="I22" s="2908">
        <v>4.5599999999999996</v>
      </c>
      <c r="J22" s="2908">
        <v>2.15</v>
      </c>
      <c r="K22" s="2908">
        <v>5.32</v>
      </c>
      <c r="L22" s="2909">
        <v>1.57</v>
      </c>
      <c r="N22" s="2902">
        <f t="shared" si="134"/>
        <v>4.5599999999999995E-2</v>
      </c>
      <c r="O22" s="2888">
        <f t="shared" ref="O22:Q37" si="151">J22/100</f>
        <v>2.1499999999999998E-2</v>
      </c>
      <c r="P22" s="2888">
        <f t="shared" si="151"/>
        <v>5.3200000000000004E-2</v>
      </c>
      <c r="Q22" s="2888">
        <f t="shared" si="151"/>
        <v>1.5700000000000002E-2</v>
      </c>
      <c r="R22" s="2903"/>
      <c r="S22" s="2912"/>
      <c r="T22" s="2913"/>
      <c r="U22" s="2913"/>
      <c r="V22" s="2913"/>
      <c r="X22" s="2887">
        <f>ROUND(SUMPRODUCT(PRODUCT(1+N22:N$32)),4)</f>
        <v>1.274</v>
      </c>
      <c r="Y22" s="2887">
        <f>ROUND(SUMPRODUCT(PRODUCT(1+O22:O$32)),4)</f>
        <v>1.1740999999999999</v>
      </c>
      <c r="Z22" s="2887">
        <f t="shared" si="0"/>
        <v>1.1740999999999999</v>
      </c>
      <c r="AA22" s="2887">
        <f>ROUND(SUMPRODUCT(PRODUCT(1+P22:P$32)),4)</f>
        <v>1.3087</v>
      </c>
      <c r="AB22" s="2887">
        <f>ROUND(SUMPRODUCT(PRODUCT(1+Q22:Q$32)),4)</f>
        <v>1.1551</v>
      </c>
      <c r="AD22" s="2888">
        <f>ROUND(AVERAGE(I22:I$33)/100,4)</f>
        <v>2.3E-2</v>
      </c>
      <c r="AE22" s="2888">
        <f>ROUND(AVERAGE(J22:J$33)/100,4)</f>
        <v>1.55E-2</v>
      </c>
      <c r="AF22" s="2888">
        <f t="shared" si="1"/>
        <v>1.55E-2</v>
      </c>
      <c r="AG22" s="2888">
        <f>ROUND(AVERAGE(K22:K$33)/100,4)</f>
        <v>2.5600000000000001E-2</v>
      </c>
      <c r="AH22" s="2888">
        <f>ROUND(AVERAGE(L22:L$33)/100,4)</f>
        <v>1.32E-2</v>
      </c>
    </row>
    <row r="23" spans="1:34">
      <c r="A23" s="2899" t="s">
        <v>960</v>
      </c>
      <c r="B23" s="2900">
        <f t="shared" ref="B23:C25" si="152">B22/(1+N22)</f>
        <v>374.90436113236416</v>
      </c>
      <c r="C23" s="2900">
        <f t="shared" si="152"/>
        <v>295.64366128242779</v>
      </c>
      <c r="D23" s="2900">
        <f t="shared" ref="D23:D82" si="153">C23</f>
        <v>295.64366128242779</v>
      </c>
      <c r="E23" s="2900">
        <f t="shared" ref="E23:F25" si="154">E22/(1+P22)</f>
        <v>525.06646410938095</v>
      </c>
      <c r="F23" s="2900">
        <f t="shared" si="154"/>
        <v>261.88835286009646</v>
      </c>
      <c r="G23" s="3551"/>
      <c r="H23" s="2901">
        <v>3</v>
      </c>
      <c r="I23" s="2901">
        <v>4.12</v>
      </c>
      <c r="J23" s="2901">
        <v>2</v>
      </c>
      <c r="K23" s="2901">
        <v>4.79</v>
      </c>
      <c r="L23" s="2907">
        <v>1.97</v>
      </c>
      <c r="N23" s="2902">
        <f t="shared" ref="N23:Q57" si="155">I23/100</f>
        <v>4.1200000000000001E-2</v>
      </c>
      <c r="O23" s="2888">
        <f t="shared" si="151"/>
        <v>0.02</v>
      </c>
      <c r="P23" s="2888">
        <f t="shared" si="151"/>
        <v>4.7899999999999998E-2</v>
      </c>
      <c r="Q23" s="2888">
        <f t="shared" si="151"/>
        <v>1.9699999999999999E-2</v>
      </c>
      <c r="R23" s="2903"/>
      <c r="S23" s="2902"/>
      <c r="T23" s="2888"/>
      <c r="U23" s="2888"/>
      <c r="V23" s="2888"/>
      <c r="X23" s="2887">
        <f>ROUND(SUMPRODUCT(PRODUCT(1+N23:N$32)),4)</f>
        <v>1.2184999999999999</v>
      </c>
      <c r="Y23" s="2887">
        <f>ROUND(SUMPRODUCT(PRODUCT(1+O23:O$32)),4)</f>
        <v>1.1494</v>
      </c>
      <c r="Z23" s="2887">
        <f t="shared" si="0"/>
        <v>1.1494</v>
      </c>
      <c r="AA23" s="2887">
        <f>ROUND(SUMPRODUCT(PRODUCT(1+P23:P$32)),4)</f>
        <v>1.2425999999999999</v>
      </c>
      <c r="AB23" s="2887">
        <f>ROUND(SUMPRODUCT(PRODUCT(1+Q23:Q$32)),4)</f>
        <v>1.1372</v>
      </c>
      <c r="AD23" s="2888">
        <f>ROUND(AVERAGE(I23:I$33)/100,4)</f>
        <v>2.0899999999999998E-2</v>
      </c>
      <c r="AE23" s="2888">
        <f>ROUND(AVERAGE(J23:J$33)/100,4)</f>
        <v>1.49E-2</v>
      </c>
      <c r="AF23" s="2888">
        <f t="shared" si="1"/>
        <v>1.49E-2</v>
      </c>
      <c r="AG23" s="2888">
        <f>ROUND(AVERAGE(K23:K$33)/100,4)</f>
        <v>2.3099999999999999E-2</v>
      </c>
      <c r="AH23" s="2888">
        <f>ROUND(AVERAGE(L23:L$33)/100,4)</f>
        <v>1.2999999999999999E-2</v>
      </c>
    </row>
    <row r="24" spans="1:34">
      <c r="A24" s="2899" t="s">
        <v>950</v>
      </c>
      <c r="B24" s="2900">
        <f t="shared" si="152"/>
        <v>360.06949782209392</v>
      </c>
      <c r="C24" s="2900">
        <f t="shared" si="152"/>
        <v>289.84672674747821</v>
      </c>
      <c r="D24" s="2900">
        <f t="shared" si="153"/>
        <v>289.84672674747821</v>
      </c>
      <c r="E24" s="2900">
        <f t="shared" si="154"/>
        <v>501.06543001181495</v>
      </c>
      <c r="F24" s="2900">
        <f t="shared" si="154"/>
        <v>256.82882500744967</v>
      </c>
      <c r="G24" s="3551"/>
      <c r="H24" s="2914">
        <v>2</v>
      </c>
      <c r="I24" s="2914">
        <v>3.85</v>
      </c>
      <c r="J24" s="2914">
        <v>1.95</v>
      </c>
      <c r="K24" s="2914">
        <v>4.4800000000000004</v>
      </c>
      <c r="L24" s="2915">
        <v>1.41</v>
      </c>
      <c r="N24" s="2902">
        <f t="shared" si="155"/>
        <v>3.85E-2</v>
      </c>
      <c r="O24" s="2888">
        <f t="shared" si="151"/>
        <v>1.95E-2</v>
      </c>
      <c r="P24" s="2888">
        <f t="shared" si="151"/>
        <v>4.4800000000000006E-2</v>
      </c>
      <c r="Q24" s="2888">
        <f t="shared" si="151"/>
        <v>1.41E-2</v>
      </c>
      <c r="R24" s="2903"/>
      <c r="S24" s="2902"/>
      <c r="T24" s="2888"/>
      <c r="U24" s="2888"/>
      <c r="V24" s="2888"/>
      <c r="X24" s="2887">
        <f>ROUND(SUMPRODUCT(PRODUCT(1+N24:N$32)),4)</f>
        <v>1.1702999999999999</v>
      </c>
      <c r="Y24" s="2887">
        <f>ROUND(SUMPRODUCT(PRODUCT(1+O24:O$32)),4)</f>
        <v>1.1269</v>
      </c>
      <c r="Z24" s="2887">
        <f t="shared" si="0"/>
        <v>1.1269</v>
      </c>
      <c r="AA24" s="2887">
        <f>ROUND(SUMPRODUCT(PRODUCT(1+P24:P$32)),4)</f>
        <v>1.1858</v>
      </c>
      <c r="AB24" s="2887">
        <f>ROUND(SUMPRODUCT(PRODUCT(1+Q24:Q$32)),4)</f>
        <v>1.1152</v>
      </c>
      <c r="AD24" s="2888">
        <f>ROUND(AVERAGE(I24:I$33)/100,4)</f>
        <v>1.89E-2</v>
      </c>
      <c r="AE24" s="2888">
        <f>ROUND(AVERAGE(J24:J$33)/100,4)</f>
        <v>1.44E-2</v>
      </c>
      <c r="AF24" s="2888">
        <f t="shared" si="1"/>
        <v>1.44E-2</v>
      </c>
      <c r="AG24" s="2888">
        <f>ROUND(AVERAGE(K24:K$33)/100,4)</f>
        <v>2.06E-2</v>
      </c>
      <c r="AH24" s="2888">
        <f>ROUND(AVERAGE(L24:L$33)/100,4)</f>
        <v>1.23E-2</v>
      </c>
    </row>
    <row r="25" spans="1:34" ht="13.5" thickBot="1">
      <c r="A25" s="2899" t="s">
        <v>959</v>
      </c>
      <c r="B25" s="2900">
        <f t="shared" si="152"/>
        <v>346.720748986128</v>
      </c>
      <c r="C25" s="2900">
        <f t="shared" si="152"/>
        <v>284.30282172386285</v>
      </c>
      <c r="D25" s="2900">
        <f t="shared" si="153"/>
        <v>284.30282172386285</v>
      </c>
      <c r="E25" s="2900">
        <f t="shared" si="154"/>
        <v>479.58023546306947</v>
      </c>
      <c r="F25" s="2900">
        <f t="shared" si="154"/>
        <v>253.25788877571213</v>
      </c>
      <c r="G25" s="3552"/>
      <c r="H25" s="2901">
        <v>1</v>
      </c>
      <c r="I25" s="2901">
        <v>4.09</v>
      </c>
      <c r="J25" s="2901">
        <v>2.93</v>
      </c>
      <c r="K25" s="2901">
        <v>4.54</v>
      </c>
      <c r="L25" s="2907">
        <v>1.48</v>
      </c>
      <c r="N25" s="2902">
        <f t="shared" si="155"/>
        <v>4.0899999999999999E-2</v>
      </c>
      <c r="O25" s="2888">
        <f t="shared" si="151"/>
        <v>2.9300000000000003E-2</v>
      </c>
      <c r="P25" s="2888">
        <f t="shared" si="151"/>
        <v>4.5400000000000003E-2</v>
      </c>
      <c r="Q25" s="2888">
        <f t="shared" si="151"/>
        <v>1.4800000000000001E-2</v>
      </c>
      <c r="R25" s="2903"/>
      <c r="S25" s="2904">
        <f>B25/B26-1</f>
        <v>4.1203450408792808E-2</v>
      </c>
      <c r="T25" s="2905">
        <f>C25/C26-1</f>
        <v>2.6363977342465095E-2</v>
      </c>
      <c r="U25" s="2905">
        <f>E25/E26-1</f>
        <v>4.4837114298626357E-2</v>
      </c>
      <c r="V25" s="2905">
        <f>F25/F26-1</f>
        <v>1.7099954922538574E-2</v>
      </c>
      <c r="X25" s="2887">
        <f>ROUND(SUMPRODUCT(PRODUCT(1+N25:N$32)),4)</f>
        <v>1.1269</v>
      </c>
      <c r="Y25" s="2887">
        <f>ROUND(SUMPRODUCT(PRODUCT(1+O25:O$32)),4)</f>
        <v>1.1052999999999999</v>
      </c>
      <c r="Z25" s="2887">
        <f t="shared" si="0"/>
        <v>1.1052999999999999</v>
      </c>
      <c r="AA25" s="2887">
        <f>ROUND(SUMPRODUCT(PRODUCT(1+P25:P$32)),4)</f>
        <v>1.1349</v>
      </c>
      <c r="AB25" s="2887">
        <f>ROUND(SUMPRODUCT(PRODUCT(1+Q25:Q$32)),4)</f>
        <v>1.0996999999999999</v>
      </c>
      <c r="AD25" s="2888">
        <f>ROUND(AVERAGE(I25:I$33)/100,4)</f>
        <v>1.67E-2</v>
      </c>
      <c r="AE25" s="2888">
        <f>ROUND(AVERAGE(J25:J$33)/100,4)</f>
        <v>1.38E-2</v>
      </c>
      <c r="AF25" s="2888">
        <f t="shared" si="1"/>
        <v>1.38E-2</v>
      </c>
      <c r="AG25" s="2888">
        <f>ROUND(AVERAGE(K25:K$33)/100,4)</f>
        <v>1.7899999999999999E-2</v>
      </c>
      <c r="AH25" s="2888">
        <f>ROUND(AVERAGE(L25:L$33)/100,4)</f>
        <v>1.21E-2</v>
      </c>
    </row>
    <row r="26" spans="1:34" ht="13.5" thickBot="1">
      <c r="A26" s="2899" t="s">
        <v>958</v>
      </c>
      <c r="B26" s="2921">
        <v>333</v>
      </c>
      <c r="C26" s="2921">
        <v>277</v>
      </c>
      <c r="D26" s="2921">
        <f t="shared" si="153"/>
        <v>277</v>
      </c>
      <c r="E26" s="2921">
        <v>459</v>
      </c>
      <c r="F26" s="2922">
        <v>249</v>
      </c>
      <c r="G26" s="3550">
        <v>2015</v>
      </c>
      <c r="H26" s="2923">
        <v>4</v>
      </c>
      <c r="I26" s="2923">
        <v>1.63</v>
      </c>
      <c r="J26" s="2923">
        <v>1.1100000000000001</v>
      </c>
      <c r="K26" s="2923">
        <v>1.77</v>
      </c>
      <c r="L26" s="2924">
        <v>1.89</v>
      </c>
      <c r="N26" s="2918">
        <f t="shared" si="155"/>
        <v>1.6299999999999999E-2</v>
      </c>
      <c r="O26" s="2919">
        <f t="shared" si="151"/>
        <v>1.11E-2</v>
      </c>
      <c r="P26" s="2919">
        <f t="shared" si="151"/>
        <v>1.77E-2</v>
      </c>
      <c r="Q26" s="2919">
        <f t="shared" si="151"/>
        <v>1.89E-2</v>
      </c>
      <c r="R26" s="2903"/>
      <c r="X26" s="2887">
        <f>ROUND(SUMPRODUCT(PRODUCT(1+N26:N$32)),4)</f>
        <v>1.0826</v>
      </c>
      <c r="Y26" s="2887">
        <f>ROUND(SUMPRODUCT(PRODUCT(1+O26:O$32)),4)</f>
        <v>1.0738000000000001</v>
      </c>
      <c r="Z26" s="2887">
        <f t="shared" si="0"/>
        <v>1.0738000000000001</v>
      </c>
      <c r="AA26" s="2887">
        <f>ROUND(SUMPRODUCT(PRODUCT(1+P26:P$32)),4)</f>
        <v>1.0855999999999999</v>
      </c>
      <c r="AB26" s="2887">
        <f>ROUND(SUMPRODUCT(PRODUCT(1+Q26:Q$32)),4)</f>
        <v>1.0837000000000001</v>
      </c>
      <c r="AD26" s="2888">
        <f>ROUND(AVERAGE(I26:I$33)/100,4)</f>
        <v>1.37E-2</v>
      </c>
      <c r="AE26" s="2888">
        <f>ROUND(AVERAGE(J26:J$33)/100,4)</f>
        <v>1.1900000000000001E-2</v>
      </c>
      <c r="AF26" s="2888">
        <f t="shared" si="1"/>
        <v>1.1900000000000001E-2</v>
      </c>
      <c r="AG26" s="2888">
        <f>ROUND(AVERAGE(K26:K$33)/100,4)</f>
        <v>1.4500000000000001E-2</v>
      </c>
      <c r="AH26" s="2888">
        <f>ROUND(AVERAGE(L26:L$33)/100,4)</f>
        <v>1.18E-2</v>
      </c>
    </row>
    <row r="27" spans="1:34">
      <c r="A27" s="2899" t="s">
        <v>957</v>
      </c>
      <c r="B27" s="2900">
        <f t="shared" ref="B27:C29" si="156">B26/(1+N26)</f>
        <v>327.65915576109415</v>
      </c>
      <c r="C27" s="2900">
        <f t="shared" si="156"/>
        <v>273.95905449510434</v>
      </c>
      <c r="D27" s="2900">
        <f t="shared" si="153"/>
        <v>273.95905449510434</v>
      </c>
      <c r="E27" s="2900">
        <f t="shared" ref="E27:F29" si="157">E26/(1+P26)</f>
        <v>451.01699911565294</v>
      </c>
      <c r="F27" s="2900">
        <f t="shared" si="157"/>
        <v>244.38119540681129</v>
      </c>
      <c r="G27" s="3551"/>
      <c r="H27" s="2926">
        <v>3</v>
      </c>
      <c r="I27" s="2926">
        <v>1.65</v>
      </c>
      <c r="J27" s="2926">
        <v>0.92</v>
      </c>
      <c r="K27" s="2926">
        <v>1.88</v>
      </c>
      <c r="L27" s="2927">
        <v>1.26</v>
      </c>
      <c r="N27" s="2902">
        <f t="shared" si="155"/>
        <v>1.6500000000000001E-2</v>
      </c>
      <c r="O27" s="2920">
        <f t="shared" si="151"/>
        <v>9.1999999999999998E-3</v>
      </c>
      <c r="P27" s="2920">
        <f t="shared" si="151"/>
        <v>1.8799999999999997E-2</v>
      </c>
      <c r="Q27" s="2920">
        <f t="shared" si="151"/>
        <v>1.26E-2</v>
      </c>
      <c r="R27" s="2903"/>
      <c r="S27" s="2902"/>
      <c r="T27" s="2888"/>
      <c r="U27" s="2888"/>
      <c r="V27" s="2888"/>
      <c r="X27" s="2887">
        <f>ROUND(SUMPRODUCT(PRODUCT(1+N27:N$32)),4)</f>
        <v>1.0651999999999999</v>
      </c>
      <c r="Y27" s="2887">
        <f>ROUND(SUMPRODUCT(PRODUCT(1+O27:O$32)),4)</f>
        <v>1.0621</v>
      </c>
      <c r="Z27" s="2887">
        <f t="shared" si="0"/>
        <v>1.0621</v>
      </c>
      <c r="AA27" s="2887">
        <f>ROUND(SUMPRODUCT(PRODUCT(1+P27:P$32)),4)</f>
        <v>1.0668</v>
      </c>
      <c r="AB27" s="2887">
        <f>ROUND(SUMPRODUCT(PRODUCT(1+Q27:Q$32)),4)</f>
        <v>1.0636000000000001</v>
      </c>
      <c r="AD27" s="2888">
        <f>ROUND(AVERAGE(I27:I$33)/100,4)</f>
        <v>1.3299999999999999E-2</v>
      </c>
      <c r="AE27" s="2888">
        <f>ROUND(AVERAGE(J27:J$33)/100,4)</f>
        <v>1.2E-2</v>
      </c>
      <c r="AF27" s="2888">
        <f t="shared" si="1"/>
        <v>1.2E-2</v>
      </c>
      <c r="AG27" s="2888">
        <f>ROUND(AVERAGE(K27:K$33)/100,4)</f>
        <v>1.4E-2</v>
      </c>
      <c r="AH27" s="2888">
        <f>ROUND(AVERAGE(L27:L$33)/100,4)</f>
        <v>1.0800000000000001E-2</v>
      </c>
    </row>
    <row r="28" spans="1:34">
      <c r="A28" s="2899" t="s">
        <v>956</v>
      </c>
      <c r="B28" s="2900">
        <f t="shared" si="156"/>
        <v>322.34053690220776</v>
      </c>
      <c r="C28" s="2900">
        <f t="shared" si="156"/>
        <v>271.46160770422546</v>
      </c>
      <c r="D28" s="2900">
        <f t="shared" si="153"/>
        <v>271.46160770422546</v>
      </c>
      <c r="E28" s="2900">
        <f t="shared" si="157"/>
        <v>442.69434542172456</v>
      </c>
      <c r="F28" s="2900">
        <f t="shared" si="157"/>
        <v>241.34030753190925</v>
      </c>
      <c r="G28" s="3551"/>
      <c r="H28" s="2914">
        <v>2</v>
      </c>
      <c r="I28" s="2914">
        <v>0.77</v>
      </c>
      <c r="J28" s="2914">
        <v>0.69</v>
      </c>
      <c r="K28" s="2914">
        <v>0.8</v>
      </c>
      <c r="L28" s="2915">
        <v>0.88</v>
      </c>
      <c r="N28" s="2902">
        <f t="shared" si="155"/>
        <v>7.7000000000000002E-3</v>
      </c>
      <c r="O28" s="2920">
        <f t="shared" si="151"/>
        <v>6.8999999999999999E-3</v>
      </c>
      <c r="P28" s="2920">
        <f t="shared" si="151"/>
        <v>8.0000000000000002E-3</v>
      </c>
      <c r="Q28" s="2920">
        <f t="shared" si="151"/>
        <v>8.8000000000000005E-3</v>
      </c>
      <c r="R28" s="2903"/>
      <c r="S28" s="2902"/>
      <c r="T28" s="2888"/>
      <c r="U28" s="2888"/>
      <c r="V28" s="2888"/>
      <c r="X28" s="2887">
        <f>ROUND(SUMPRODUCT(PRODUCT(1+N28:N$32)),4)</f>
        <v>1.048</v>
      </c>
      <c r="Y28" s="2887">
        <f>ROUND(SUMPRODUCT(PRODUCT(1+O28:O$32)),4)</f>
        <v>1.0524</v>
      </c>
      <c r="Z28" s="2887">
        <f t="shared" si="0"/>
        <v>1.0524</v>
      </c>
      <c r="AA28" s="2887">
        <f>ROUND(SUMPRODUCT(PRODUCT(1+P28:P$32)),4)</f>
        <v>1.0470999999999999</v>
      </c>
      <c r="AB28" s="2887">
        <f>ROUND(SUMPRODUCT(PRODUCT(1+Q28:Q$32)),4)</f>
        <v>1.0504</v>
      </c>
      <c r="AD28" s="2888">
        <f>ROUND(AVERAGE(I28:I$33)/100,4)</f>
        <v>1.2800000000000001E-2</v>
      </c>
      <c r="AE28" s="2888">
        <f>ROUND(AVERAGE(J28:J$33)/100,4)</f>
        <v>1.2500000000000001E-2</v>
      </c>
      <c r="AF28" s="2888">
        <f t="shared" si="1"/>
        <v>1.2500000000000001E-2</v>
      </c>
      <c r="AG28" s="2888">
        <f>ROUND(AVERAGE(K28:K$33)/100,4)</f>
        <v>1.32E-2</v>
      </c>
      <c r="AH28" s="2888">
        <f>ROUND(AVERAGE(L28:L$33)/100,4)</f>
        <v>1.0500000000000001E-2</v>
      </c>
    </row>
    <row r="29" spans="1:34">
      <c r="A29" s="2899" t="s">
        <v>955</v>
      </c>
      <c r="B29" s="2900">
        <f t="shared" si="156"/>
        <v>319.87748030386797</v>
      </c>
      <c r="C29" s="2900">
        <f t="shared" si="156"/>
        <v>269.60135833173649</v>
      </c>
      <c r="D29" s="2900">
        <f t="shared" si="153"/>
        <v>269.60135833173649</v>
      </c>
      <c r="E29" s="2900">
        <f t="shared" si="157"/>
        <v>439.18089823583784</v>
      </c>
      <c r="F29" s="2900">
        <f t="shared" si="157"/>
        <v>239.23503918706311</v>
      </c>
      <c r="G29" s="3552"/>
      <c r="H29" s="2901">
        <v>1</v>
      </c>
      <c r="I29" s="2901">
        <v>0.51</v>
      </c>
      <c r="J29" s="2901">
        <v>0.54</v>
      </c>
      <c r="K29" s="2901">
        <v>0.48</v>
      </c>
      <c r="L29" s="2907">
        <v>0.93</v>
      </c>
      <c r="N29" s="2904">
        <f t="shared" si="155"/>
        <v>5.1000000000000004E-3</v>
      </c>
      <c r="O29" s="2905">
        <f t="shared" si="151"/>
        <v>5.4000000000000003E-3</v>
      </c>
      <c r="P29" s="2905">
        <f t="shared" si="151"/>
        <v>4.7999999999999996E-3</v>
      </c>
      <c r="Q29" s="2905">
        <f t="shared" si="151"/>
        <v>9.300000000000001E-3</v>
      </c>
      <c r="R29" s="2903"/>
      <c r="S29" s="2904">
        <f>B29/B30-1</f>
        <v>5.9040261127922822E-3</v>
      </c>
      <c r="T29" s="2905">
        <f>C29/C30-1</f>
        <v>5.9752176557332781E-3</v>
      </c>
      <c r="U29" s="2905">
        <f>E29/E30-1</f>
        <v>4.9906138119859556E-3</v>
      </c>
      <c r="V29" s="2905">
        <f>F29/F30-1</f>
        <v>9.4305450930933787E-3</v>
      </c>
      <c r="X29" s="2887">
        <f>ROUND(SUMPRODUCT(PRODUCT(1+N29:N$32)),4)</f>
        <v>1.0399</v>
      </c>
      <c r="Y29" s="2887">
        <f>ROUND(SUMPRODUCT(PRODUCT(1+O29:O$32)),4)</f>
        <v>1.0451999999999999</v>
      </c>
      <c r="Z29" s="2887">
        <f t="shared" si="0"/>
        <v>1.0451999999999999</v>
      </c>
      <c r="AA29" s="2887">
        <f>ROUND(SUMPRODUCT(PRODUCT(1+P29:P$32)),4)</f>
        <v>1.0387999999999999</v>
      </c>
      <c r="AB29" s="2887">
        <f>ROUND(SUMPRODUCT(PRODUCT(1+Q29:Q$32)),4)</f>
        <v>1.0411999999999999</v>
      </c>
      <c r="AD29" s="2888">
        <f>ROUND(AVERAGE(I29:I$33)/100,4)</f>
        <v>1.38E-2</v>
      </c>
      <c r="AE29" s="2888">
        <f>ROUND(AVERAGE(J29:J$33)/100,4)</f>
        <v>1.3599999999999999E-2</v>
      </c>
      <c r="AF29" s="2888">
        <f t="shared" si="1"/>
        <v>1.3599999999999999E-2</v>
      </c>
      <c r="AG29" s="2888">
        <f>ROUND(AVERAGE(K29:K$33)/100,4)</f>
        <v>1.4200000000000001E-2</v>
      </c>
      <c r="AH29" s="2888">
        <f>ROUND(AVERAGE(L29:L$33)/100,4)</f>
        <v>1.0800000000000001E-2</v>
      </c>
    </row>
    <row r="30" spans="1:34" ht="13.5" thickBot="1">
      <c r="A30" s="2899" t="s">
        <v>954</v>
      </c>
      <c r="B30" s="2928">
        <v>318</v>
      </c>
      <c r="C30" s="2928">
        <v>268</v>
      </c>
      <c r="D30" s="2928">
        <f t="shared" si="153"/>
        <v>268</v>
      </c>
      <c r="E30" s="2928">
        <v>437</v>
      </c>
      <c r="F30" s="2929">
        <v>237</v>
      </c>
      <c r="G30" s="3550">
        <v>2014</v>
      </c>
      <c r="H30" s="2923">
        <v>4</v>
      </c>
      <c r="I30" s="2923">
        <v>0.21</v>
      </c>
      <c r="J30" s="2923">
        <v>0.41</v>
      </c>
      <c r="K30" s="2923">
        <v>0.12</v>
      </c>
      <c r="L30" s="2924">
        <v>0.89</v>
      </c>
      <c r="N30" s="2902">
        <f t="shared" si="155"/>
        <v>2.0999999999999999E-3</v>
      </c>
      <c r="O30" s="2888">
        <f t="shared" si="151"/>
        <v>4.0999999999999995E-3</v>
      </c>
      <c r="P30" s="2888">
        <f t="shared" si="151"/>
        <v>1.1999999999999999E-3</v>
      </c>
      <c r="Q30" s="2888">
        <f t="shared" si="151"/>
        <v>8.8999999999999999E-3</v>
      </c>
      <c r="R30" s="2903"/>
      <c r="S30" s="2912"/>
      <c r="T30" s="2913"/>
      <c r="U30" s="2913"/>
      <c r="V30" s="2913"/>
      <c r="X30" s="2887">
        <f>ROUND(SUMPRODUCT(PRODUCT(1+N30:N$32)),4)</f>
        <v>1.0347</v>
      </c>
      <c r="Y30" s="2887">
        <f>ROUND(SUMPRODUCT(PRODUCT(1+O30:O$32)),4)</f>
        <v>1.0395000000000001</v>
      </c>
      <c r="Z30" s="2887">
        <f t="shared" si="0"/>
        <v>1.0395000000000001</v>
      </c>
      <c r="AA30" s="2887">
        <f>ROUND(SUMPRODUCT(PRODUCT(1+P30:P$32)),4)</f>
        <v>1.0338000000000001</v>
      </c>
      <c r="AB30" s="2887">
        <f>ROUND(SUMPRODUCT(PRODUCT(1+Q30:Q$32)),4)</f>
        <v>1.0316000000000001</v>
      </c>
      <c r="AD30" s="2888">
        <f>ROUND(AVERAGE(I30:I$33)/100,4)</f>
        <v>1.6E-2</v>
      </c>
      <c r="AE30" s="2888">
        <f>ROUND(AVERAGE(J30:J$33)/100,4)</f>
        <v>1.5599999999999999E-2</v>
      </c>
      <c r="AF30" s="2888">
        <f t="shared" si="1"/>
        <v>1.5599999999999999E-2</v>
      </c>
      <c r="AG30" s="2888">
        <f>ROUND(AVERAGE(K30:K$33)/100,4)</f>
        <v>1.66E-2</v>
      </c>
      <c r="AH30" s="2888">
        <f>ROUND(AVERAGE(L30:L$33)/100,4)</f>
        <v>1.12E-2</v>
      </c>
    </row>
    <row r="31" spans="1:34">
      <c r="A31" s="2899" t="s">
        <v>953</v>
      </c>
      <c r="B31" s="2900">
        <f t="shared" ref="B31:C33" si="158">B30/(1+N30)</f>
        <v>317.33359944117353</v>
      </c>
      <c r="C31" s="2900">
        <f t="shared" si="158"/>
        <v>266.90568668459315</v>
      </c>
      <c r="D31" s="2900">
        <f t="shared" si="153"/>
        <v>266.90568668459315</v>
      </c>
      <c r="E31" s="2900">
        <f t="shared" ref="E31:F33" si="159">E30/(1+P30)</f>
        <v>436.47622852576905</v>
      </c>
      <c r="F31" s="2900">
        <f t="shared" si="159"/>
        <v>234.90930716622066</v>
      </c>
      <c r="G31" s="3551"/>
      <c r="H31" s="2930">
        <v>3</v>
      </c>
      <c r="I31" s="2930">
        <v>0.83</v>
      </c>
      <c r="J31" s="2930">
        <v>1.47</v>
      </c>
      <c r="K31" s="2930">
        <v>0.65</v>
      </c>
      <c r="L31" s="2931">
        <v>0.72</v>
      </c>
      <c r="N31" s="2902">
        <f t="shared" si="155"/>
        <v>8.3000000000000001E-3</v>
      </c>
      <c r="O31" s="2888">
        <f t="shared" si="151"/>
        <v>1.47E-2</v>
      </c>
      <c r="P31" s="2888">
        <f t="shared" si="151"/>
        <v>6.5000000000000006E-3</v>
      </c>
      <c r="Q31" s="2888">
        <f t="shared" si="151"/>
        <v>7.1999999999999998E-3</v>
      </c>
      <c r="R31" s="2903"/>
      <c r="S31" s="2902"/>
      <c r="T31" s="2888"/>
      <c r="U31" s="2888"/>
      <c r="V31" s="2888"/>
      <c r="X31" s="2887">
        <f>ROUND(SUMPRODUCT(PRODUCT(1+N31:N$32)),4)</f>
        <v>1.0325</v>
      </c>
      <c r="Y31" s="2887">
        <f>ROUND(SUMPRODUCT(PRODUCT(1+O31:O$32)),4)</f>
        <v>1.0353000000000001</v>
      </c>
      <c r="Z31" s="2887">
        <f t="shared" ref="Z31:Z32" si="160">Y31</f>
        <v>1.0353000000000001</v>
      </c>
      <c r="AA31" s="2887">
        <f>ROUND(SUMPRODUCT(PRODUCT(1+P31:P$32)),4)</f>
        <v>1.0326</v>
      </c>
      <c r="AB31" s="2887">
        <f>ROUND(SUMPRODUCT(PRODUCT(1+Q31:Q$32)),4)</f>
        <v>1.0225</v>
      </c>
      <c r="AD31" s="2888">
        <f>ROUND(AVERAGE(I31:I$33)/100,4)</f>
        <v>2.07E-2</v>
      </c>
      <c r="AE31" s="2888">
        <f>ROUND(AVERAGE(J31:J$33)/100,4)</f>
        <v>1.95E-2</v>
      </c>
      <c r="AF31" s="2888">
        <f t="shared" si="1"/>
        <v>1.95E-2</v>
      </c>
      <c r="AG31" s="2888">
        <f>ROUND(AVERAGE(K31:K$33)/100,4)</f>
        <v>2.1700000000000001E-2</v>
      </c>
      <c r="AH31" s="2888">
        <f>ROUND(AVERAGE(L31:L$33)/100,4)</f>
        <v>1.2E-2</v>
      </c>
    </row>
    <row r="32" spans="1:34" ht="13.5" thickBot="1">
      <c r="A32" s="2899" t="s">
        <v>952</v>
      </c>
      <c r="B32" s="2900">
        <f t="shared" si="158"/>
        <v>314.72141172386546</v>
      </c>
      <c r="C32" s="2900">
        <f t="shared" si="158"/>
        <v>263.03901319069001</v>
      </c>
      <c r="D32" s="2900">
        <f t="shared" si="153"/>
        <v>263.03901319069001</v>
      </c>
      <c r="E32" s="2900">
        <f t="shared" si="159"/>
        <v>433.65745506782821</v>
      </c>
      <c r="F32" s="2900">
        <f t="shared" si="159"/>
        <v>233.23005080045735</v>
      </c>
      <c r="G32" s="3551"/>
      <c r="H32" s="2923">
        <v>2</v>
      </c>
      <c r="I32" s="2923">
        <v>2.4</v>
      </c>
      <c r="J32" s="2923">
        <v>2.0299999999999998</v>
      </c>
      <c r="K32" s="2923">
        <v>2.59</v>
      </c>
      <c r="L32" s="2924">
        <v>1.52</v>
      </c>
      <c r="N32" s="2902">
        <f t="shared" si="155"/>
        <v>2.4E-2</v>
      </c>
      <c r="O32" s="2888">
        <f t="shared" si="151"/>
        <v>2.0299999999999999E-2</v>
      </c>
      <c r="P32" s="2888">
        <f t="shared" si="151"/>
        <v>2.5899999999999999E-2</v>
      </c>
      <c r="Q32" s="2888">
        <f t="shared" si="151"/>
        <v>1.52E-2</v>
      </c>
      <c r="R32" s="2903"/>
      <c r="S32" s="2902"/>
      <c r="T32" s="2888"/>
      <c r="U32" s="2888"/>
      <c r="V32" s="2888"/>
      <c r="X32" s="2887">
        <f>1+N32</f>
        <v>1.024</v>
      </c>
      <c r="Y32" s="2887">
        <f>1+O32</f>
        <v>1.0203</v>
      </c>
      <c r="Z32" s="2887">
        <f t="shared" si="160"/>
        <v>1.0203</v>
      </c>
      <c r="AA32" s="2887">
        <f>1+P32</f>
        <v>1.0259</v>
      </c>
      <c r="AB32" s="2887">
        <f>1+Q32</f>
        <v>1.0152000000000001</v>
      </c>
      <c r="AD32" s="2888">
        <f>ROUND(AVERAGE(I32:I$33)/100,4)</f>
        <v>2.69E-2</v>
      </c>
      <c r="AE32" s="2888">
        <f>ROUND(AVERAGE(J32:J$33)/100,4)</f>
        <v>2.1899999999999999E-2</v>
      </c>
      <c r="AF32" s="2888">
        <f t="shared" ref="AF32" si="161">AE32</f>
        <v>2.1899999999999999E-2</v>
      </c>
      <c r="AG32" s="2888">
        <f>ROUND(AVERAGE(K32:K$33)/100,4)</f>
        <v>2.9399999999999999E-2</v>
      </c>
      <c r="AH32" s="2888">
        <f>ROUND(AVERAGE(L32:L$33)/100,4)</f>
        <v>1.44E-2</v>
      </c>
    </row>
    <row r="33" spans="1:34" s="2936" customFormat="1" ht="13.5" thickBot="1">
      <c r="A33" s="2932" t="s">
        <v>951</v>
      </c>
      <c r="B33" s="2933">
        <f t="shared" si="158"/>
        <v>307.34512863658733</v>
      </c>
      <c r="C33" s="2933">
        <f t="shared" si="158"/>
        <v>257.80556031626975</v>
      </c>
      <c r="D33" s="2933">
        <f t="shared" si="153"/>
        <v>257.80556031626975</v>
      </c>
      <c r="E33" s="2933">
        <f t="shared" si="159"/>
        <v>422.70928459677179</v>
      </c>
      <c r="F33" s="2933">
        <f t="shared" si="159"/>
        <v>229.73803270336617</v>
      </c>
      <c r="G33" s="3552"/>
      <c r="H33" s="2934">
        <v>1</v>
      </c>
      <c r="I33" s="2934">
        <v>2.97</v>
      </c>
      <c r="J33" s="2934">
        <v>2.34</v>
      </c>
      <c r="K33" s="2934">
        <v>3.28</v>
      </c>
      <c r="L33" s="2935">
        <v>1.36</v>
      </c>
      <c r="N33" s="2937">
        <f t="shared" si="155"/>
        <v>2.9700000000000001E-2</v>
      </c>
      <c r="O33" s="2938">
        <f t="shared" si="151"/>
        <v>2.3399999999999997E-2</v>
      </c>
      <c r="P33" s="2938">
        <f t="shared" si="151"/>
        <v>3.2799999999999996E-2</v>
      </c>
      <c r="Q33" s="2938">
        <f t="shared" si="151"/>
        <v>1.3600000000000001E-2</v>
      </c>
      <c r="R33" s="2939"/>
      <c r="S33" s="2940">
        <f>B33/B34-1</f>
        <v>2.7910129219355539E-2</v>
      </c>
      <c r="T33" s="2941">
        <f>C33/C34-1</f>
        <v>2.3037937762975247E-2</v>
      </c>
      <c r="U33" s="2941">
        <f>E33/E34-1</f>
        <v>3.3519033243940788E-2</v>
      </c>
      <c r="V33" s="2941">
        <f>F33/F34-1</f>
        <v>1.2061818076502862E-2</v>
      </c>
      <c r="W33" s="2942" t="s">
        <v>2620</v>
      </c>
      <c r="X33" s="2943">
        <v>1</v>
      </c>
      <c r="Y33" s="2943">
        <v>1</v>
      </c>
      <c r="Z33" s="2943">
        <v>1</v>
      </c>
      <c r="AA33" s="2943">
        <v>1</v>
      </c>
      <c r="AB33" s="2943">
        <v>1</v>
      </c>
      <c r="AD33" s="2938">
        <f>I33/100</f>
        <v>2.9700000000000001E-2</v>
      </c>
      <c r="AE33" s="2938">
        <f>J33/100</f>
        <v>2.3399999999999997E-2</v>
      </c>
      <c r="AF33" s="2938">
        <f>AE33</f>
        <v>2.3399999999999997E-2</v>
      </c>
      <c r="AG33" s="2938">
        <f>K33/100</f>
        <v>3.2799999999999996E-2</v>
      </c>
      <c r="AH33" s="2938">
        <f>L33/100</f>
        <v>1.3600000000000001E-2</v>
      </c>
    </row>
    <row r="34" spans="1:34" ht="13.5" thickBot="1">
      <c r="A34" s="2899" t="s">
        <v>2563</v>
      </c>
      <c r="B34" s="2921">
        <v>299</v>
      </c>
      <c r="C34" s="2921">
        <v>252</v>
      </c>
      <c r="D34" s="2921">
        <f t="shared" si="153"/>
        <v>252</v>
      </c>
      <c r="E34" s="2921">
        <v>409</v>
      </c>
      <c r="F34" s="2922">
        <v>227</v>
      </c>
      <c r="G34" s="3553">
        <v>2013</v>
      </c>
      <c r="H34" s="2944">
        <v>4</v>
      </c>
      <c r="I34" s="2944">
        <v>1.83</v>
      </c>
      <c r="J34" s="2944">
        <v>1.68</v>
      </c>
      <c r="K34" s="2944">
        <v>1.97</v>
      </c>
      <c r="L34" s="2945">
        <v>0.87</v>
      </c>
      <c r="N34" s="2918">
        <f t="shared" si="155"/>
        <v>1.83E-2</v>
      </c>
      <c r="O34" s="2919">
        <f t="shared" si="151"/>
        <v>1.6799999999999999E-2</v>
      </c>
      <c r="P34" s="2919">
        <f t="shared" si="151"/>
        <v>1.9699999999999999E-2</v>
      </c>
      <c r="Q34" s="2919">
        <f t="shared" si="151"/>
        <v>8.6999999999999994E-3</v>
      </c>
      <c r="R34" s="2903"/>
      <c r="S34" s="2912"/>
      <c r="T34" s="2913"/>
      <c r="U34" s="2913"/>
      <c r="V34" s="2913"/>
      <c r="X34" s="2913"/>
      <c r="Y34" s="2913"/>
      <c r="Z34" s="2913"/>
    </row>
    <row r="35" spans="1:34">
      <c r="A35" s="2899" t="s">
        <v>2564</v>
      </c>
      <c r="B35" s="2900">
        <f t="shared" ref="B35:C37" si="162">B34/(1+N34)</f>
        <v>293.62663262299913</v>
      </c>
      <c r="C35" s="2900">
        <f t="shared" si="162"/>
        <v>247.83634933123525</v>
      </c>
      <c r="D35" s="2900">
        <f t="shared" si="153"/>
        <v>247.83634933123525</v>
      </c>
      <c r="E35" s="2900">
        <f t="shared" ref="E35:F37" si="163">E34/(1+P34)</f>
        <v>401.09836226341076</v>
      </c>
      <c r="F35" s="2900">
        <f t="shared" si="163"/>
        <v>225.04213343908003</v>
      </c>
      <c r="G35" s="3554"/>
      <c r="H35" s="2926">
        <v>3</v>
      </c>
      <c r="I35" s="2926">
        <v>1.86</v>
      </c>
      <c r="J35" s="2926">
        <v>1.72</v>
      </c>
      <c r="K35" s="2926">
        <v>1.98</v>
      </c>
      <c r="L35" s="2927">
        <v>0.88</v>
      </c>
      <c r="N35" s="2902">
        <f t="shared" si="155"/>
        <v>1.8600000000000002E-2</v>
      </c>
      <c r="O35" s="2920">
        <f t="shared" si="151"/>
        <v>1.72E-2</v>
      </c>
      <c r="P35" s="2920">
        <f t="shared" si="151"/>
        <v>1.9799999999999998E-2</v>
      </c>
      <c r="Q35" s="2920">
        <f t="shared" si="151"/>
        <v>8.8000000000000005E-3</v>
      </c>
      <c r="R35" s="2903"/>
      <c r="S35" s="2902"/>
      <c r="T35" s="2888"/>
      <c r="U35" s="2888"/>
      <c r="V35" s="2888"/>
    </row>
    <row r="36" spans="1:34">
      <c r="A36" s="2899" t="s">
        <v>2565</v>
      </c>
      <c r="B36" s="2900">
        <f t="shared" si="162"/>
        <v>288.2649053828776</v>
      </c>
      <c r="C36" s="2900">
        <f t="shared" si="162"/>
        <v>243.64564425013293</v>
      </c>
      <c r="D36" s="2900">
        <f t="shared" si="153"/>
        <v>243.64564425013293</v>
      </c>
      <c r="E36" s="2900">
        <f t="shared" si="163"/>
        <v>393.31080825986544</v>
      </c>
      <c r="F36" s="2900">
        <f t="shared" si="163"/>
        <v>223.07903790551154</v>
      </c>
      <c r="G36" s="3554"/>
      <c r="H36" s="2914">
        <v>2</v>
      </c>
      <c r="I36" s="2914">
        <v>2.04</v>
      </c>
      <c r="J36" s="2914">
        <v>2.33</v>
      </c>
      <c r="K36" s="2914">
        <v>2.0699999999999998</v>
      </c>
      <c r="L36" s="2915">
        <v>0.69</v>
      </c>
      <c r="N36" s="2902">
        <f t="shared" si="155"/>
        <v>2.0400000000000001E-2</v>
      </c>
      <c r="O36" s="2920">
        <f t="shared" si="151"/>
        <v>2.3300000000000001E-2</v>
      </c>
      <c r="P36" s="2920">
        <f t="shared" si="151"/>
        <v>2.07E-2</v>
      </c>
      <c r="Q36" s="2920">
        <f t="shared" si="151"/>
        <v>6.8999999999999999E-3</v>
      </c>
      <c r="R36" s="2903"/>
      <c r="S36" s="2902"/>
      <c r="T36" s="2888"/>
      <c r="U36" s="2888"/>
      <c r="V36" s="2888"/>
      <c r="X36" s="2946"/>
      <c r="Y36" s="2947"/>
    </row>
    <row r="37" spans="1:34">
      <c r="A37" s="2899" t="s">
        <v>2566</v>
      </c>
      <c r="B37" s="2900">
        <f t="shared" si="162"/>
        <v>282.50186729015837</v>
      </c>
      <c r="C37" s="2900">
        <f t="shared" si="162"/>
        <v>238.09796174155468</v>
      </c>
      <c r="D37" s="2900">
        <f t="shared" si="153"/>
        <v>238.09796174155468</v>
      </c>
      <c r="E37" s="2900">
        <f t="shared" si="163"/>
        <v>385.33438646014054</v>
      </c>
      <c r="F37" s="2900">
        <f t="shared" si="163"/>
        <v>221.55034055567739</v>
      </c>
      <c r="G37" s="3555"/>
      <c r="H37" s="2901">
        <v>1</v>
      </c>
      <c r="I37" s="2901">
        <v>1.67</v>
      </c>
      <c r="J37" s="2901">
        <v>1.31</v>
      </c>
      <c r="K37" s="2901">
        <v>1.85</v>
      </c>
      <c r="L37" s="2907">
        <v>0.96</v>
      </c>
      <c r="N37" s="2904">
        <f t="shared" si="155"/>
        <v>1.67E-2</v>
      </c>
      <c r="O37" s="2905">
        <f t="shared" si="151"/>
        <v>1.3100000000000001E-2</v>
      </c>
      <c r="P37" s="2905">
        <f t="shared" si="151"/>
        <v>1.8500000000000003E-2</v>
      </c>
      <c r="Q37" s="2905">
        <f t="shared" si="151"/>
        <v>9.5999999999999992E-3</v>
      </c>
      <c r="R37" s="2903"/>
      <c r="S37" s="2904">
        <f>B37/B38-1</f>
        <v>1.6193767230785472E-2</v>
      </c>
      <c r="T37" s="2905">
        <f>C37/C38-1</f>
        <v>1.7512657015190891E-2</v>
      </c>
      <c r="U37" s="2905">
        <f>E37/E38-1</f>
        <v>1.6713420739157048E-2</v>
      </c>
      <c r="V37" s="2905">
        <f>F37/F38-1</f>
        <v>7.0470025258062563E-3</v>
      </c>
      <c r="X37" s="2948"/>
      <c r="Y37" s="2888"/>
      <c r="Z37" s="2888"/>
    </row>
    <row r="38" spans="1:34" ht="13.5" thickBot="1">
      <c r="A38" s="2899" t="s">
        <v>2567</v>
      </c>
      <c r="B38" s="2949">
        <v>278</v>
      </c>
      <c r="C38" s="2949">
        <v>234</v>
      </c>
      <c r="D38" s="2949">
        <f t="shared" si="153"/>
        <v>234</v>
      </c>
      <c r="E38" s="2949">
        <v>379</v>
      </c>
      <c r="F38" s="2950">
        <v>220</v>
      </c>
      <c r="G38" s="3550">
        <v>2012</v>
      </c>
      <c r="H38" s="2923">
        <v>4</v>
      </c>
      <c r="I38" s="2923">
        <v>0.91</v>
      </c>
      <c r="J38" s="2923">
        <v>0.68</v>
      </c>
      <c r="K38" s="2923">
        <v>0.98</v>
      </c>
      <c r="L38" s="2924">
        <v>0.9</v>
      </c>
      <c r="N38" s="2902">
        <f t="shared" si="155"/>
        <v>9.1000000000000004E-3</v>
      </c>
      <c r="O38" s="2888">
        <f t="shared" si="155"/>
        <v>6.8000000000000005E-3</v>
      </c>
      <c r="P38" s="2888">
        <f t="shared" si="155"/>
        <v>9.7999999999999997E-3</v>
      </c>
      <c r="Q38" s="2888">
        <f t="shared" si="155"/>
        <v>9.0000000000000011E-3</v>
      </c>
      <c r="R38" s="2903"/>
      <c r="S38" s="2912"/>
      <c r="T38" s="2913"/>
      <c r="U38" s="2913"/>
      <c r="V38" s="2913"/>
      <c r="X38" s="2913"/>
      <c r="Y38" s="2913"/>
      <c r="Z38" s="2913"/>
    </row>
    <row r="39" spans="1:34">
      <c r="A39" s="2899" t="s">
        <v>2568</v>
      </c>
      <c r="B39" s="2900">
        <f>B38/(1+N38)</f>
        <v>275.49301357645425</v>
      </c>
      <c r="C39" s="2900">
        <f>C38/(1+O38)</f>
        <v>232.41954707985698</v>
      </c>
      <c r="D39" s="2900">
        <f t="shared" si="153"/>
        <v>232.41954707985698</v>
      </c>
      <c r="E39" s="2900">
        <f t="shared" ref="E39:F41" si="164">E38/(1+P38)</f>
        <v>375.32184591008121</v>
      </c>
      <c r="F39" s="2900">
        <f t="shared" si="164"/>
        <v>218.03766105054513</v>
      </c>
      <c r="G39" s="3551"/>
      <c r="H39" s="2926">
        <v>3</v>
      </c>
      <c r="I39" s="2926">
        <v>0.09</v>
      </c>
      <c r="J39" s="2926">
        <v>0.28999999999999998</v>
      </c>
      <c r="K39" s="2926">
        <v>-0.01</v>
      </c>
      <c r="L39" s="2927">
        <v>0.57999999999999996</v>
      </c>
      <c r="N39" s="2902">
        <f t="shared" si="155"/>
        <v>8.9999999999999998E-4</v>
      </c>
      <c r="O39" s="2888">
        <f t="shared" si="155"/>
        <v>2.8999999999999998E-3</v>
      </c>
      <c r="P39" s="2888">
        <f t="shared" si="155"/>
        <v>-1E-4</v>
      </c>
      <c r="Q39" s="2888">
        <f t="shared" si="155"/>
        <v>5.7999999999999996E-3</v>
      </c>
      <c r="R39" s="2903"/>
      <c r="S39" s="2902"/>
      <c r="T39" s="2888"/>
      <c r="U39" s="2888"/>
      <c r="V39" s="2888"/>
    </row>
    <row r="40" spans="1:34">
      <c r="A40" s="2899" t="s">
        <v>2569</v>
      </c>
      <c r="B40" s="2900">
        <f>B39/(1+N39)</f>
        <v>275.24529281292263</v>
      </c>
      <c r="C40" s="2900">
        <f>C39/(1+O39)</f>
        <v>231.74747938962707</v>
      </c>
      <c r="D40" s="2900">
        <f t="shared" si="153"/>
        <v>231.74747938962707</v>
      </c>
      <c r="E40" s="2900">
        <f t="shared" si="164"/>
        <v>375.35938184826603</v>
      </c>
      <c r="F40" s="2900">
        <f t="shared" si="164"/>
        <v>216.78033510692495</v>
      </c>
      <c r="G40" s="3551"/>
      <c r="H40" s="2914">
        <v>2</v>
      </c>
      <c r="I40" s="2914">
        <v>0.02</v>
      </c>
      <c r="J40" s="2914">
        <v>0.12</v>
      </c>
      <c r="K40" s="2914">
        <v>-0.08</v>
      </c>
      <c r="L40" s="2915">
        <v>1.24</v>
      </c>
      <c r="N40" s="2902">
        <f t="shared" si="155"/>
        <v>2.0000000000000001E-4</v>
      </c>
      <c r="O40" s="2888">
        <f t="shared" si="155"/>
        <v>1.1999999999999999E-3</v>
      </c>
      <c r="P40" s="2888">
        <f t="shared" si="155"/>
        <v>-8.0000000000000004E-4</v>
      </c>
      <c r="Q40" s="2888">
        <f t="shared" si="155"/>
        <v>1.24E-2</v>
      </c>
      <c r="R40" s="2903"/>
      <c r="S40" s="2902"/>
      <c r="T40" s="2888"/>
      <c r="U40" s="2888"/>
      <c r="V40" s="2888"/>
    </row>
    <row r="41" spans="1:34" ht="13.5" thickBot="1">
      <c r="A41" s="2899" t="s">
        <v>2570</v>
      </c>
      <c r="B41" s="2900">
        <f>B40/(1+N40)</f>
        <v>275.19025476197027</v>
      </c>
      <c r="C41" s="2951">
        <v>232</v>
      </c>
      <c r="D41" s="2951">
        <f t="shared" si="153"/>
        <v>232</v>
      </c>
      <c r="E41" s="2900">
        <f t="shared" si="164"/>
        <v>375.65990977608692</v>
      </c>
      <c r="F41" s="2900">
        <f t="shared" si="164"/>
        <v>214.12518283971252</v>
      </c>
      <c r="G41" s="3552"/>
      <c r="H41" s="2901">
        <v>1</v>
      </c>
      <c r="I41" s="2901">
        <v>0.02</v>
      </c>
      <c r="J41" s="2901">
        <v>0.13</v>
      </c>
      <c r="K41" s="2901">
        <v>-0.04</v>
      </c>
      <c r="L41" s="2907">
        <v>0.46</v>
      </c>
      <c r="N41" s="2902">
        <f t="shared" si="155"/>
        <v>2.0000000000000001E-4</v>
      </c>
      <c r="O41" s="2888">
        <f t="shared" si="155"/>
        <v>1.2999999999999999E-3</v>
      </c>
      <c r="P41" s="2888">
        <f t="shared" si="155"/>
        <v>-4.0000000000000002E-4</v>
      </c>
      <c r="Q41" s="2888">
        <f t="shared" si="155"/>
        <v>4.5999999999999999E-3</v>
      </c>
      <c r="R41" s="2903"/>
      <c r="S41" s="2904">
        <f>B41/B42-1</f>
        <v>6.9183549807361189E-4</v>
      </c>
      <c r="T41" s="2905">
        <f>C41/C42-1</f>
        <v>0</v>
      </c>
      <c r="U41" s="2905">
        <f>E41/E42-1</f>
        <v>-9.0449527636460303E-4</v>
      </c>
      <c r="V41" s="2905">
        <f>F41/F42-1</f>
        <v>5.2825485432512753E-3</v>
      </c>
      <c r="X41" s="2888"/>
      <c r="Y41" s="2888"/>
      <c r="Z41" s="2888"/>
    </row>
    <row r="42" spans="1:34" ht="13.5" thickBot="1">
      <c r="A42" s="2899" t="s">
        <v>2571</v>
      </c>
      <c r="B42" s="2921">
        <v>275</v>
      </c>
      <c r="C42" s="2921">
        <v>232</v>
      </c>
      <c r="D42" s="2921">
        <f t="shared" si="153"/>
        <v>232</v>
      </c>
      <c r="E42" s="2921">
        <v>376</v>
      </c>
      <c r="F42" s="2922">
        <v>213</v>
      </c>
      <c r="G42" s="3550">
        <v>2011</v>
      </c>
      <c r="H42" s="2923">
        <v>4</v>
      </c>
      <c r="I42" s="2923">
        <v>-0.2</v>
      </c>
      <c r="J42" s="2923">
        <v>0.04</v>
      </c>
      <c r="K42" s="2923">
        <v>-0.34</v>
      </c>
      <c r="L42" s="2924">
        <v>0.46</v>
      </c>
      <c r="N42" s="2918">
        <f t="shared" si="155"/>
        <v>-2E-3</v>
      </c>
      <c r="O42" s="2919">
        <f t="shared" si="155"/>
        <v>4.0000000000000002E-4</v>
      </c>
      <c r="P42" s="2919">
        <f t="shared" si="155"/>
        <v>-3.4000000000000002E-3</v>
      </c>
      <c r="Q42" s="2919">
        <f t="shared" si="155"/>
        <v>4.5999999999999999E-3</v>
      </c>
      <c r="R42" s="2903"/>
      <c r="S42" s="2912"/>
      <c r="T42" s="2913"/>
      <c r="U42" s="2913"/>
      <c r="V42" s="2913"/>
      <c r="X42" s="2913"/>
      <c r="Y42" s="2913"/>
      <c r="Z42" s="2913"/>
    </row>
    <row r="43" spans="1:34">
      <c r="A43" s="2899" t="s">
        <v>2572</v>
      </c>
      <c r="B43" s="2900">
        <f t="shared" ref="B43:C45" si="165">B42/(1+N42)</f>
        <v>275.55110220440883</v>
      </c>
      <c r="C43" s="2900">
        <f t="shared" si="165"/>
        <v>231.90723710515795</v>
      </c>
      <c r="D43" s="2900">
        <f t="shared" si="153"/>
        <v>231.90723710515795</v>
      </c>
      <c r="E43" s="2900">
        <f t="shared" ref="E43:F45" si="166">E42/(1+P42)</f>
        <v>377.28276138872161</v>
      </c>
      <c r="F43" s="2900">
        <f t="shared" si="166"/>
        <v>212.02468644236512</v>
      </c>
      <c r="G43" s="3551">
        <v>2011</v>
      </c>
      <c r="H43" s="2926">
        <v>3</v>
      </c>
      <c r="I43" s="2926">
        <v>0.13</v>
      </c>
      <c r="J43" s="2926">
        <v>0.75</v>
      </c>
      <c r="K43" s="2926">
        <v>-0.08</v>
      </c>
      <c r="L43" s="2927">
        <v>0.53</v>
      </c>
      <c r="N43" s="2902">
        <f t="shared" si="155"/>
        <v>1.2999999999999999E-3</v>
      </c>
      <c r="O43" s="2920">
        <f t="shared" si="155"/>
        <v>7.4999999999999997E-3</v>
      </c>
      <c r="P43" s="2920">
        <f t="shared" si="155"/>
        <v>-8.0000000000000004E-4</v>
      </c>
      <c r="Q43" s="2920">
        <f t="shared" si="155"/>
        <v>5.3E-3</v>
      </c>
      <c r="R43" s="2903"/>
      <c r="S43" s="2902"/>
      <c r="T43" s="2888"/>
      <c r="U43" s="2888"/>
      <c r="V43" s="2888"/>
    </row>
    <row r="44" spans="1:34">
      <c r="A44" s="2899" t="s">
        <v>2573</v>
      </c>
      <c r="B44" s="2900">
        <f t="shared" si="165"/>
        <v>275.19335084830601</v>
      </c>
      <c r="C44" s="2900">
        <f t="shared" si="165"/>
        <v>230.18088050139744</v>
      </c>
      <c r="D44" s="2900">
        <f t="shared" si="153"/>
        <v>230.18088050139744</v>
      </c>
      <c r="E44" s="2900">
        <f t="shared" si="166"/>
        <v>377.58482925212331</v>
      </c>
      <c r="F44" s="2900">
        <f t="shared" si="166"/>
        <v>210.90687997847917</v>
      </c>
      <c r="G44" s="3551">
        <v>2011</v>
      </c>
      <c r="H44" s="2914">
        <v>2</v>
      </c>
      <c r="I44" s="2914">
        <v>-0.4</v>
      </c>
      <c r="J44" s="2914">
        <v>0.17</v>
      </c>
      <c r="K44" s="2914">
        <v>-0.57999999999999996</v>
      </c>
      <c r="L44" s="2915">
        <v>-0.2</v>
      </c>
      <c r="N44" s="2902">
        <f t="shared" si="155"/>
        <v>-4.0000000000000001E-3</v>
      </c>
      <c r="O44" s="2920">
        <f t="shared" si="155"/>
        <v>1.7000000000000001E-3</v>
      </c>
      <c r="P44" s="2920">
        <f t="shared" si="155"/>
        <v>-5.7999999999999996E-3</v>
      </c>
      <c r="Q44" s="2920">
        <f t="shared" si="155"/>
        <v>-2E-3</v>
      </c>
      <c r="R44" s="2903"/>
      <c r="S44" s="2902"/>
      <c r="T44" s="2888"/>
      <c r="U44" s="2888"/>
      <c r="V44" s="2888"/>
    </row>
    <row r="45" spans="1:34" ht="13.5" thickBot="1">
      <c r="A45" s="2899" t="s">
        <v>2574</v>
      </c>
      <c r="B45" s="2900">
        <f t="shared" si="165"/>
        <v>276.29854502841971</v>
      </c>
      <c r="C45" s="2900">
        <f t="shared" si="165"/>
        <v>229.79023709833027</v>
      </c>
      <c r="D45" s="2900">
        <f t="shared" si="153"/>
        <v>229.79023709833027</v>
      </c>
      <c r="E45" s="2900">
        <f t="shared" si="166"/>
        <v>379.78759731655936</v>
      </c>
      <c r="F45" s="2900">
        <f t="shared" si="166"/>
        <v>211.32953905659235</v>
      </c>
      <c r="G45" s="3552">
        <v>2011</v>
      </c>
      <c r="H45" s="2901">
        <v>1</v>
      </c>
      <c r="I45" s="2901">
        <v>2.65</v>
      </c>
      <c r="J45" s="2901">
        <v>3.76</v>
      </c>
      <c r="K45" s="2901">
        <v>1.89</v>
      </c>
      <c r="L45" s="2907">
        <v>7.95</v>
      </c>
      <c r="N45" s="2904">
        <f t="shared" si="155"/>
        <v>2.6499999999999999E-2</v>
      </c>
      <c r="O45" s="2905">
        <f t="shared" si="155"/>
        <v>3.7599999999999995E-2</v>
      </c>
      <c r="P45" s="2905">
        <f t="shared" si="155"/>
        <v>1.89E-2</v>
      </c>
      <c r="Q45" s="2905">
        <f t="shared" si="155"/>
        <v>7.9500000000000001E-2</v>
      </c>
      <c r="R45" s="2903"/>
      <c r="S45" s="2904">
        <f>B45/B46-1</f>
        <v>2.713213765211786E-2</v>
      </c>
      <c r="T45" s="2905">
        <f>C45/C46-1</f>
        <v>3.9774828499231862E-2</v>
      </c>
      <c r="U45" s="2905">
        <f>E45/E46-1</f>
        <v>1.8197311840641772E-2</v>
      </c>
      <c r="V45" s="2905">
        <f>F45/F46-1</f>
        <v>7.8211933962205826E-2</v>
      </c>
      <c r="X45" s="2888"/>
      <c r="Y45" s="2888"/>
      <c r="Z45" s="2888"/>
    </row>
    <row r="46" spans="1:34" ht="13.5" thickBot="1">
      <c r="A46" s="2899" t="s">
        <v>2575</v>
      </c>
      <c r="B46" s="2921">
        <v>269</v>
      </c>
      <c r="C46" s="2921">
        <v>221</v>
      </c>
      <c r="D46" s="2921">
        <f t="shared" si="153"/>
        <v>221</v>
      </c>
      <c r="E46" s="2921">
        <v>373</v>
      </c>
      <c r="F46" s="2922">
        <v>196</v>
      </c>
      <c r="G46" s="3550">
        <v>2010</v>
      </c>
      <c r="H46" s="2923">
        <v>4</v>
      </c>
      <c r="I46" s="2923">
        <v>5.72</v>
      </c>
      <c r="J46" s="2923">
        <v>6.57</v>
      </c>
      <c r="K46" s="2923">
        <v>5.72</v>
      </c>
      <c r="L46" s="2924">
        <v>2.72</v>
      </c>
      <c r="N46" s="2902">
        <f t="shared" si="155"/>
        <v>5.7200000000000001E-2</v>
      </c>
      <c r="O46" s="2888">
        <f t="shared" si="155"/>
        <v>6.5700000000000008E-2</v>
      </c>
      <c r="P46" s="2888">
        <f t="shared" si="155"/>
        <v>5.7200000000000001E-2</v>
      </c>
      <c r="Q46" s="2888">
        <f t="shared" si="155"/>
        <v>2.7200000000000002E-2</v>
      </c>
      <c r="R46" s="2903"/>
      <c r="S46" s="2912"/>
      <c r="T46" s="2913"/>
      <c r="U46" s="2913"/>
      <c r="V46" s="2913"/>
      <c r="X46" s="2913"/>
      <c r="Y46" s="2913"/>
      <c r="Z46" s="2913"/>
    </row>
    <row r="47" spans="1:34">
      <c r="A47" s="2899" t="s">
        <v>2576</v>
      </c>
      <c r="B47" s="2900">
        <f t="shared" ref="B47:C49" si="167">B46/(1+N46)</f>
        <v>254.44570563753314</v>
      </c>
      <c r="C47" s="2900">
        <f t="shared" si="167"/>
        <v>207.37543398705074</v>
      </c>
      <c r="D47" s="2900">
        <f t="shared" si="153"/>
        <v>207.37543398705074</v>
      </c>
      <c r="E47" s="2900">
        <f t="shared" ref="E47:F49" si="168">E46/(1+P46)</f>
        <v>352.81876655315932</v>
      </c>
      <c r="F47" s="2900">
        <f t="shared" si="168"/>
        <v>190.809968847352</v>
      </c>
      <c r="G47" s="3551">
        <v>2010</v>
      </c>
      <c r="H47" s="2926">
        <v>3</v>
      </c>
      <c r="I47" s="2926">
        <v>4.7300000000000004</v>
      </c>
      <c r="J47" s="2926">
        <v>3.9</v>
      </c>
      <c r="K47" s="2926">
        <v>5.03</v>
      </c>
      <c r="L47" s="2927">
        <v>4.21</v>
      </c>
      <c r="N47" s="2902">
        <f t="shared" si="155"/>
        <v>4.7300000000000002E-2</v>
      </c>
      <c r="O47" s="2888">
        <f t="shared" si="155"/>
        <v>3.9E-2</v>
      </c>
      <c r="P47" s="2888">
        <f t="shared" si="155"/>
        <v>5.0300000000000004E-2</v>
      </c>
      <c r="Q47" s="2888">
        <f t="shared" si="155"/>
        <v>4.2099999999999999E-2</v>
      </c>
      <c r="R47" s="2903"/>
      <c r="S47" s="2902"/>
      <c r="T47" s="2888"/>
      <c r="U47" s="2888"/>
      <c r="V47" s="2888"/>
    </row>
    <row r="48" spans="1:34">
      <c r="A48" s="2899" t="s">
        <v>2577</v>
      </c>
      <c r="B48" s="2900">
        <f t="shared" si="167"/>
        <v>242.95398227588385</v>
      </c>
      <c r="C48" s="2900">
        <f t="shared" si="167"/>
        <v>199.59137053614126</v>
      </c>
      <c r="D48" s="2900">
        <f t="shared" si="153"/>
        <v>199.59137053614126</v>
      </c>
      <c r="E48" s="2900">
        <f t="shared" si="168"/>
        <v>335.92189522342125</v>
      </c>
      <c r="F48" s="2900">
        <f t="shared" si="168"/>
        <v>183.10139991109489</v>
      </c>
      <c r="G48" s="3551">
        <v>2010</v>
      </c>
      <c r="H48" s="2914">
        <v>2</v>
      </c>
      <c r="I48" s="2914">
        <v>4.6900000000000004</v>
      </c>
      <c r="J48" s="2914">
        <v>3.55</v>
      </c>
      <c r="K48" s="2914">
        <v>5.07</v>
      </c>
      <c r="L48" s="2915">
        <v>4.2300000000000004</v>
      </c>
      <c r="N48" s="2902">
        <f t="shared" si="155"/>
        <v>4.6900000000000004E-2</v>
      </c>
      <c r="O48" s="2888">
        <f t="shared" si="155"/>
        <v>3.5499999999999997E-2</v>
      </c>
      <c r="P48" s="2888">
        <f t="shared" si="155"/>
        <v>5.0700000000000002E-2</v>
      </c>
      <c r="Q48" s="2888">
        <f t="shared" si="155"/>
        <v>4.2300000000000004E-2</v>
      </c>
      <c r="R48" s="2903"/>
      <c r="S48" s="2902"/>
      <c r="T48" s="2888"/>
      <c r="U48" s="2888"/>
      <c r="V48" s="2888"/>
    </row>
    <row r="49" spans="1:26" ht="13.5" thickBot="1">
      <c r="A49" s="2899" t="s">
        <v>2578</v>
      </c>
      <c r="B49" s="2900">
        <f t="shared" si="167"/>
        <v>232.06990378821649</v>
      </c>
      <c r="C49" s="2900">
        <f t="shared" si="167"/>
        <v>192.74878854286936</v>
      </c>
      <c r="D49" s="2900">
        <f t="shared" si="153"/>
        <v>192.74878854286936</v>
      </c>
      <c r="E49" s="2900">
        <f t="shared" si="168"/>
        <v>319.71247284992984</v>
      </c>
      <c r="F49" s="2900">
        <f t="shared" si="168"/>
        <v>175.67053622862409</v>
      </c>
      <c r="G49" s="3552">
        <v>2010</v>
      </c>
      <c r="H49" s="2901">
        <v>1</v>
      </c>
      <c r="I49" s="2901">
        <v>5.4</v>
      </c>
      <c r="J49" s="2901">
        <v>3.2</v>
      </c>
      <c r="K49" s="2901">
        <v>6.16</v>
      </c>
      <c r="L49" s="2907">
        <v>4.51</v>
      </c>
      <c r="N49" s="2902">
        <f t="shared" si="155"/>
        <v>5.4000000000000006E-2</v>
      </c>
      <c r="O49" s="2888">
        <f t="shared" si="155"/>
        <v>3.2000000000000001E-2</v>
      </c>
      <c r="P49" s="2888">
        <f t="shared" si="155"/>
        <v>6.1600000000000002E-2</v>
      </c>
      <c r="Q49" s="2888">
        <f t="shared" si="155"/>
        <v>4.5100000000000001E-2</v>
      </c>
      <c r="R49" s="2903"/>
      <c r="S49" s="2904">
        <f>B49/B50-1</f>
        <v>5.4863199037347599E-2</v>
      </c>
      <c r="T49" s="2905">
        <f>C49/C50-1</f>
        <v>3.0742184721226584E-2</v>
      </c>
      <c r="U49" s="2905">
        <f>E49/E50-1</f>
        <v>6.2167683886810154E-2</v>
      </c>
      <c r="V49" s="2905">
        <f>F49/F50-1</f>
        <v>4.5657953741810031E-2</v>
      </c>
      <c r="X49" s="2888"/>
      <c r="Y49" s="2888"/>
      <c r="Z49" s="2888"/>
    </row>
    <row r="50" spans="1:26" ht="13.5" thickBot="1">
      <c r="A50" s="2899" t="s">
        <v>2579</v>
      </c>
      <c r="B50" s="2921">
        <v>220</v>
      </c>
      <c r="C50" s="2921">
        <v>187</v>
      </c>
      <c r="D50" s="2921">
        <f t="shared" si="153"/>
        <v>187</v>
      </c>
      <c r="E50" s="2921">
        <v>301</v>
      </c>
      <c r="F50" s="2922">
        <v>168</v>
      </c>
      <c r="G50" s="3550">
        <v>2009</v>
      </c>
      <c r="H50" s="2923">
        <v>4</v>
      </c>
      <c r="I50" s="2923">
        <v>2.2999999999999998</v>
      </c>
      <c r="J50" s="2923">
        <v>1.04</v>
      </c>
      <c r="K50" s="2923">
        <v>2.84</v>
      </c>
      <c r="L50" s="2924">
        <v>0.67</v>
      </c>
      <c r="N50" s="2918">
        <f t="shared" si="155"/>
        <v>2.3E-2</v>
      </c>
      <c r="O50" s="2919">
        <f t="shared" si="155"/>
        <v>1.04E-2</v>
      </c>
      <c r="P50" s="2919">
        <f t="shared" si="155"/>
        <v>2.8399999999999998E-2</v>
      </c>
      <c r="Q50" s="2919">
        <f t="shared" si="155"/>
        <v>6.7000000000000002E-3</v>
      </c>
      <c r="R50" s="2903"/>
      <c r="S50" s="2912"/>
      <c r="T50" s="2913"/>
      <c r="U50" s="2913"/>
      <c r="V50" s="2913"/>
      <c r="X50" s="2913"/>
      <c r="Y50" s="2913"/>
      <c r="Z50" s="2913"/>
    </row>
    <row r="51" spans="1:26">
      <c r="A51" s="2899" t="s">
        <v>2580</v>
      </c>
      <c r="B51" s="2900">
        <f t="shared" ref="B51:C53" si="169">B50/(1+N50)</f>
        <v>215.05376344086022</v>
      </c>
      <c r="C51" s="2900">
        <f t="shared" si="169"/>
        <v>185.0752177355503</v>
      </c>
      <c r="D51" s="2900">
        <f t="shared" si="153"/>
        <v>185.0752177355503</v>
      </c>
      <c r="E51" s="2900">
        <f t="shared" ref="E51:F53" si="170">E50/(1+P50)</f>
        <v>292.68767016725008</v>
      </c>
      <c r="F51" s="2900">
        <f t="shared" si="170"/>
        <v>166.88189132810174</v>
      </c>
      <c r="G51" s="3551">
        <v>2009</v>
      </c>
      <c r="H51" s="2926">
        <v>3</v>
      </c>
      <c r="I51" s="2926">
        <v>2.1</v>
      </c>
      <c r="J51" s="2926">
        <v>1.86</v>
      </c>
      <c r="K51" s="2926">
        <v>2.29</v>
      </c>
      <c r="L51" s="2927">
        <v>0.85</v>
      </c>
      <c r="N51" s="2902">
        <f t="shared" si="155"/>
        <v>2.1000000000000001E-2</v>
      </c>
      <c r="O51" s="2920">
        <f t="shared" si="155"/>
        <v>1.8600000000000002E-2</v>
      </c>
      <c r="P51" s="2920">
        <f t="shared" si="155"/>
        <v>2.29E-2</v>
      </c>
      <c r="Q51" s="2920">
        <f t="shared" si="155"/>
        <v>8.5000000000000006E-3</v>
      </c>
      <c r="R51" s="2903"/>
      <c r="S51" s="2902"/>
      <c r="T51" s="2888"/>
      <c r="U51" s="2888"/>
      <c r="V51" s="2888"/>
    </row>
    <row r="52" spans="1:26">
      <c r="A52" s="2899" t="s">
        <v>2581</v>
      </c>
      <c r="B52" s="2900">
        <f t="shared" si="169"/>
        <v>210.630522469011</v>
      </c>
      <c r="C52" s="2900">
        <f t="shared" si="169"/>
        <v>181.69567812247232</v>
      </c>
      <c r="D52" s="2900">
        <f t="shared" si="153"/>
        <v>181.69567812247232</v>
      </c>
      <c r="E52" s="2900">
        <f t="shared" si="170"/>
        <v>286.13517466736738</v>
      </c>
      <c r="F52" s="2900">
        <f t="shared" si="170"/>
        <v>165.47535084591149</v>
      </c>
      <c r="G52" s="3551">
        <v>2009</v>
      </c>
      <c r="H52" s="2914">
        <v>2</v>
      </c>
      <c r="I52" s="2914">
        <v>0.86</v>
      </c>
      <c r="J52" s="2914">
        <v>-1.1299999999999999</v>
      </c>
      <c r="K52" s="2914">
        <v>1.79</v>
      </c>
      <c r="L52" s="2915">
        <v>-2.0699999999999998</v>
      </c>
      <c r="N52" s="2902">
        <f t="shared" si="155"/>
        <v>8.6E-3</v>
      </c>
      <c r="O52" s="2920">
        <f t="shared" si="155"/>
        <v>-1.1299999999999999E-2</v>
      </c>
      <c r="P52" s="2920">
        <f t="shared" si="155"/>
        <v>1.7899999999999999E-2</v>
      </c>
      <c r="Q52" s="2920">
        <f t="shared" si="155"/>
        <v>-2.07E-2</v>
      </c>
      <c r="R52" s="2903"/>
      <c r="S52" s="2902"/>
      <c r="T52" s="2888"/>
      <c r="U52" s="2888"/>
      <c r="V52" s="2888"/>
    </row>
    <row r="53" spans="1:26">
      <c r="A53" s="2899" t="s">
        <v>2582</v>
      </c>
      <c r="B53" s="2900">
        <f t="shared" si="169"/>
        <v>208.83454537875372</v>
      </c>
      <c r="C53" s="2900">
        <f t="shared" si="169"/>
        <v>183.77230517090351</v>
      </c>
      <c r="D53" s="2900">
        <f t="shared" si="153"/>
        <v>183.77230517090351</v>
      </c>
      <c r="E53" s="2900">
        <f t="shared" si="170"/>
        <v>281.10342338870947</v>
      </c>
      <c r="F53" s="2900">
        <f t="shared" si="170"/>
        <v>168.97309388942256</v>
      </c>
      <c r="G53" s="3552">
        <v>2009</v>
      </c>
      <c r="H53" s="2901">
        <v>1</v>
      </c>
      <c r="I53" s="2901">
        <v>-2.64</v>
      </c>
      <c r="J53" s="2901">
        <v>-2.5299999999999998</v>
      </c>
      <c r="K53" s="2901">
        <v>-3.02</v>
      </c>
      <c r="L53" s="2907">
        <v>1.52</v>
      </c>
      <c r="N53" s="2904">
        <f t="shared" si="155"/>
        <v>-2.64E-2</v>
      </c>
      <c r="O53" s="2905">
        <f t="shared" si="155"/>
        <v>-2.53E-2</v>
      </c>
      <c r="P53" s="2905">
        <f t="shared" si="155"/>
        <v>-3.0200000000000001E-2</v>
      </c>
      <c r="Q53" s="2905">
        <f t="shared" si="155"/>
        <v>1.52E-2</v>
      </c>
      <c r="R53" s="2903"/>
      <c r="S53" s="2904">
        <f>B53/B54-1</f>
        <v>-2.4137638417038754E-2</v>
      </c>
      <c r="T53" s="2905">
        <f>C53/C54-1</f>
        <v>-2.248773845264096E-2</v>
      </c>
      <c r="U53" s="2905">
        <f>E53/E54-1</f>
        <v>-2.7323794502735366E-2</v>
      </c>
      <c r="V53" s="2905">
        <f>F53/F54-1</f>
        <v>1.7910204153148035E-2</v>
      </c>
      <c r="X53" s="2888"/>
      <c r="Y53" s="2888"/>
      <c r="Z53" s="2888"/>
    </row>
    <row r="54" spans="1:26" ht="13.5" thickBot="1">
      <c r="A54" s="2899" t="s">
        <v>2583</v>
      </c>
      <c r="B54" s="2949">
        <v>214</v>
      </c>
      <c r="C54" s="2949">
        <v>188</v>
      </c>
      <c r="D54" s="2949">
        <f t="shared" si="153"/>
        <v>188</v>
      </c>
      <c r="E54" s="2949">
        <v>289</v>
      </c>
      <c r="F54" s="2950">
        <v>166</v>
      </c>
      <c r="G54" s="3550">
        <v>2008</v>
      </c>
      <c r="H54" s="2923">
        <v>4</v>
      </c>
      <c r="I54" s="2923">
        <v>1.73</v>
      </c>
      <c r="J54" s="2923">
        <v>0.03</v>
      </c>
      <c r="K54" s="2923">
        <v>2.59</v>
      </c>
      <c r="L54" s="2924">
        <v>-1.66</v>
      </c>
      <c r="N54" s="2902">
        <f t="shared" si="155"/>
        <v>1.7299999999999999E-2</v>
      </c>
      <c r="O54" s="2888">
        <f t="shared" si="155"/>
        <v>2.9999999999999997E-4</v>
      </c>
      <c r="P54" s="2888">
        <f t="shared" si="155"/>
        <v>2.5899999999999999E-2</v>
      </c>
      <c r="Q54" s="2888">
        <f t="shared" si="155"/>
        <v>-1.66E-2</v>
      </c>
      <c r="R54" s="2903"/>
      <c r="S54" s="2912"/>
      <c r="T54" s="2913"/>
      <c r="U54" s="2913"/>
      <c r="V54" s="2913"/>
      <c r="X54" s="2913"/>
      <c r="Y54" s="2913"/>
      <c r="Z54" s="2913"/>
    </row>
    <row r="55" spans="1:26">
      <c r="A55" s="2899" t="s">
        <v>2584</v>
      </c>
      <c r="B55" s="2900">
        <f t="shared" ref="B55:C57" si="171">B54/(1+N54)</f>
        <v>210.36075887152265</v>
      </c>
      <c r="C55" s="2900">
        <f t="shared" si="171"/>
        <v>187.94361691492554</v>
      </c>
      <c r="D55" s="2900">
        <f t="shared" si="153"/>
        <v>187.94361691492554</v>
      </c>
      <c r="E55" s="2900">
        <f t="shared" ref="E55:F57" si="172">E54/(1+P54)</f>
        <v>281.70386977288234</v>
      </c>
      <c r="F55" s="2900">
        <f t="shared" si="172"/>
        <v>168.80211511083994</v>
      </c>
      <c r="G55" s="3551">
        <v>2008</v>
      </c>
      <c r="H55" s="2926">
        <v>3</v>
      </c>
      <c r="I55" s="2926">
        <v>1.96</v>
      </c>
      <c r="J55" s="2926">
        <v>2.36</v>
      </c>
      <c r="K55" s="2926">
        <v>1.82</v>
      </c>
      <c r="L55" s="2927">
        <v>2.2200000000000002</v>
      </c>
      <c r="N55" s="2902">
        <f t="shared" si="155"/>
        <v>1.9599999999999999E-2</v>
      </c>
      <c r="O55" s="2888">
        <f t="shared" si="155"/>
        <v>2.3599999999999999E-2</v>
      </c>
      <c r="P55" s="2888">
        <f t="shared" si="155"/>
        <v>1.8200000000000001E-2</v>
      </c>
      <c r="Q55" s="2888">
        <f t="shared" si="155"/>
        <v>2.2200000000000001E-2</v>
      </c>
      <c r="R55" s="2903"/>
      <c r="S55" s="2902"/>
      <c r="T55" s="2888"/>
      <c r="U55" s="2888"/>
      <c r="V55" s="2888"/>
    </row>
    <row r="56" spans="1:26">
      <c r="A56" s="2899" t="s">
        <v>2585</v>
      </c>
      <c r="B56" s="2900">
        <f t="shared" si="171"/>
        <v>206.31694671589116</v>
      </c>
      <c r="C56" s="2900">
        <f t="shared" si="171"/>
        <v>183.61041121036101</v>
      </c>
      <c r="D56" s="2900">
        <f t="shared" si="153"/>
        <v>183.61041121036101</v>
      </c>
      <c r="E56" s="2900">
        <f t="shared" si="172"/>
        <v>276.66850301795557</v>
      </c>
      <c r="F56" s="2900">
        <f t="shared" si="172"/>
        <v>165.1360938278614</v>
      </c>
      <c r="G56" s="3551">
        <v>2008</v>
      </c>
      <c r="H56" s="2914">
        <v>2</v>
      </c>
      <c r="I56" s="2914">
        <v>4.93</v>
      </c>
      <c r="J56" s="2914">
        <v>7.38</v>
      </c>
      <c r="K56" s="2914">
        <v>3.98</v>
      </c>
      <c r="L56" s="2915">
        <v>6.86</v>
      </c>
      <c r="N56" s="2902">
        <f t="shared" si="155"/>
        <v>4.9299999999999997E-2</v>
      </c>
      <c r="O56" s="2888">
        <f t="shared" si="155"/>
        <v>7.3800000000000004E-2</v>
      </c>
      <c r="P56" s="2888">
        <f t="shared" si="155"/>
        <v>3.9800000000000002E-2</v>
      </c>
      <c r="Q56" s="2888">
        <f t="shared" si="155"/>
        <v>6.8600000000000008E-2</v>
      </c>
      <c r="R56" s="2903"/>
      <c r="S56" s="2902"/>
      <c r="T56" s="2888"/>
      <c r="U56" s="2888"/>
      <c r="V56" s="2888"/>
    </row>
    <row r="57" spans="1:26" s="2955" customFormat="1" ht="13.5" thickBot="1">
      <c r="A57" s="2899" t="s">
        <v>2586</v>
      </c>
      <c r="B57" s="2952">
        <f t="shared" si="171"/>
        <v>196.62341248059772</v>
      </c>
      <c r="C57" s="2952">
        <f t="shared" si="171"/>
        <v>170.99125648199012</v>
      </c>
      <c r="D57" s="2952">
        <f t="shared" si="153"/>
        <v>170.99125648199012</v>
      </c>
      <c r="E57" s="2952">
        <f t="shared" si="172"/>
        <v>266.07857570490052</v>
      </c>
      <c r="F57" s="2952">
        <f t="shared" si="172"/>
        <v>154.53499328828505</v>
      </c>
      <c r="G57" s="3552">
        <v>2008</v>
      </c>
      <c r="H57" s="2953">
        <v>1</v>
      </c>
      <c r="I57" s="2953">
        <v>4.1399999999999997</v>
      </c>
      <c r="J57" s="2953">
        <v>3.45</v>
      </c>
      <c r="K57" s="2953">
        <v>4.95</v>
      </c>
      <c r="L57" s="2954">
        <v>4.82</v>
      </c>
      <c r="N57" s="2956">
        <f t="shared" si="155"/>
        <v>4.1399999999999999E-2</v>
      </c>
      <c r="O57" s="2957">
        <f t="shared" si="155"/>
        <v>3.4500000000000003E-2</v>
      </c>
      <c r="P57" s="2957">
        <f t="shared" si="155"/>
        <v>4.9500000000000002E-2</v>
      </c>
      <c r="Q57" s="2957">
        <f t="shared" si="155"/>
        <v>4.82E-2</v>
      </c>
      <c r="R57" s="2958"/>
      <c r="S57" s="2956">
        <f>B57/B58-1</f>
        <v>4.5869215322328349E-2</v>
      </c>
      <c r="T57" s="2957">
        <f>C57/C58-1</f>
        <v>3.6310645345394743E-2</v>
      </c>
      <c r="U57" s="2957">
        <f>E57/E58-1</f>
        <v>4.7553447657088688E-2</v>
      </c>
      <c r="V57" s="2957">
        <f>F57/F58-1</f>
        <v>4.4155360055980086E-2</v>
      </c>
      <c r="X57" s="2957"/>
      <c r="Y57" s="2957"/>
      <c r="Z57" s="2957"/>
    </row>
    <row r="58" spans="1:26" ht="13.5" thickBot="1">
      <c r="A58" s="2899" t="s">
        <v>2587</v>
      </c>
      <c r="B58" s="2921">
        <v>188</v>
      </c>
      <c r="C58" s="2921">
        <v>165</v>
      </c>
      <c r="D58" s="2921">
        <f t="shared" si="153"/>
        <v>165</v>
      </c>
      <c r="E58" s="2921">
        <v>254</v>
      </c>
      <c r="F58" s="2922">
        <v>148</v>
      </c>
      <c r="G58" s="3550">
        <v>2007</v>
      </c>
      <c r="H58" s="2959">
        <v>4</v>
      </c>
      <c r="I58" s="2959">
        <v>5.51</v>
      </c>
      <c r="J58" s="2959">
        <v>4.8899999999999997</v>
      </c>
      <c r="K58" s="2959">
        <v>6.43</v>
      </c>
      <c r="L58" s="2960">
        <v>5.36</v>
      </c>
      <c r="N58" s="2961">
        <f t="shared" ref="N58:O61" si="173">B58/B59-1</f>
        <v>4.1339718365245526E-2</v>
      </c>
      <c r="O58" s="2962">
        <f t="shared" si="173"/>
        <v>4.0324492593776018E-2</v>
      </c>
      <c r="P58" s="2962">
        <f t="shared" ref="P58:Q61" si="174">E58/E59-1</f>
        <v>6.1625555347990968E-2</v>
      </c>
      <c r="Q58" s="2962">
        <f t="shared" si="174"/>
        <v>4.6757569250590603E-2</v>
      </c>
      <c r="R58" s="2903"/>
      <c r="S58" s="2912"/>
      <c r="T58" s="2913"/>
      <c r="U58" s="2913"/>
      <c r="V58" s="2913"/>
      <c r="X58" s="2913"/>
      <c r="Y58" s="2913"/>
      <c r="Z58" s="2913"/>
    </row>
    <row r="59" spans="1:26">
      <c r="A59" s="2899" t="s">
        <v>2588</v>
      </c>
      <c r="B59" s="2900">
        <f t="shared" ref="B59:C61" si="175">B60+(B$58-B$62)*I59/SUM(I$58:I$61)</f>
        <v>180.5366651097618</v>
      </c>
      <c r="C59" s="2900">
        <f t="shared" si="175"/>
        <v>158.60435967302453</v>
      </c>
      <c r="D59" s="2900">
        <f t="shared" si="153"/>
        <v>158.60435967302453</v>
      </c>
      <c r="E59" s="2900">
        <f t="shared" ref="E59:F61" si="176">E60+(E$58-E$62)*K59/SUM(K$58:K$61)</f>
        <v>239.25573260785075</v>
      </c>
      <c r="F59" s="2900">
        <f t="shared" si="176"/>
        <v>141.38899430740037</v>
      </c>
      <c r="G59" s="3551">
        <v>2007</v>
      </c>
      <c r="H59" s="2926">
        <v>3</v>
      </c>
      <c r="I59" s="2926">
        <v>8.65</v>
      </c>
      <c r="J59" s="2926">
        <v>8.06</v>
      </c>
      <c r="K59" s="2926">
        <v>9.94</v>
      </c>
      <c r="L59" s="2927">
        <v>5.8</v>
      </c>
      <c r="N59" s="2961">
        <f t="shared" si="173"/>
        <v>6.940217571740015E-2</v>
      </c>
      <c r="O59" s="2962">
        <f t="shared" si="173"/>
        <v>7.1197482471153428E-2</v>
      </c>
      <c r="P59" s="2962">
        <f t="shared" si="174"/>
        <v>0.10529679922579582</v>
      </c>
      <c r="Q59" s="2962">
        <f t="shared" si="174"/>
        <v>5.3292245059512133E-2</v>
      </c>
      <c r="R59" s="2903"/>
      <c r="S59" s="2902"/>
      <c r="T59" s="2888"/>
      <c r="U59" s="2888"/>
      <c r="V59" s="2888"/>
      <c r="X59" s="2963"/>
      <c r="Y59" s="2963"/>
      <c r="Z59" s="2963"/>
    </row>
    <row r="60" spans="1:26">
      <c r="A60" s="2899" t="s">
        <v>2589</v>
      </c>
      <c r="B60" s="2900">
        <f t="shared" si="175"/>
        <v>168.82017748715555</v>
      </c>
      <c r="C60" s="2900">
        <f t="shared" si="175"/>
        <v>148.06267029972753</v>
      </c>
      <c r="D60" s="2900">
        <f t="shared" si="153"/>
        <v>148.06267029972753</v>
      </c>
      <c r="E60" s="2900">
        <f t="shared" si="176"/>
        <v>216.46288379323747</v>
      </c>
      <c r="F60" s="2900">
        <f t="shared" si="176"/>
        <v>134.23529411764704</v>
      </c>
      <c r="G60" s="3551">
        <v>2007</v>
      </c>
      <c r="H60" s="2914">
        <v>2</v>
      </c>
      <c r="I60" s="2914">
        <v>3.67</v>
      </c>
      <c r="J60" s="2914">
        <v>2.3199999999999998</v>
      </c>
      <c r="K60" s="2914">
        <v>5.0199999999999996</v>
      </c>
      <c r="L60" s="2915">
        <v>6.71</v>
      </c>
      <c r="N60" s="2961">
        <f t="shared" si="173"/>
        <v>3.0339138143848032E-2</v>
      </c>
      <c r="O60" s="2962">
        <f t="shared" si="173"/>
        <v>2.0922341588790472E-2</v>
      </c>
      <c r="P60" s="2962">
        <f t="shared" si="174"/>
        <v>5.6164796592717003E-2</v>
      </c>
      <c r="Q60" s="2962">
        <f t="shared" si="174"/>
        <v>6.5704536723887319E-2</v>
      </c>
      <c r="R60" s="2903"/>
      <c r="S60" s="2902"/>
      <c r="T60" s="2888"/>
      <c r="U60" s="2888"/>
      <c r="V60" s="2888"/>
      <c r="X60" s="2963"/>
      <c r="Y60" s="2963"/>
      <c r="Z60" s="2963"/>
    </row>
    <row r="61" spans="1:26">
      <c r="A61" s="2899" t="s">
        <v>2590</v>
      </c>
      <c r="B61" s="2900">
        <f t="shared" si="175"/>
        <v>163.84913591779542</v>
      </c>
      <c r="C61" s="2900">
        <f t="shared" si="175"/>
        <v>145.0283378746594</v>
      </c>
      <c r="D61" s="2900">
        <f t="shared" si="153"/>
        <v>145.0283378746594</v>
      </c>
      <c r="E61" s="2900">
        <f t="shared" si="176"/>
        <v>204.95180722891567</v>
      </c>
      <c r="F61" s="2900">
        <f t="shared" si="176"/>
        <v>125.95920303605313</v>
      </c>
      <c r="G61" s="3552">
        <v>2007</v>
      </c>
      <c r="H61" s="2901">
        <v>1</v>
      </c>
      <c r="I61" s="2901">
        <v>3.58</v>
      </c>
      <c r="J61" s="2901">
        <v>3.08</v>
      </c>
      <c r="K61" s="2901">
        <v>4.34</v>
      </c>
      <c r="L61" s="2907">
        <v>3.21</v>
      </c>
      <c r="N61" s="2964">
        <f t="shared" si="173"/>
        <v>3.0497710174814063E-2</v>
      </c>
      <c r="O61" s="2965">
        <f t="shared" si="173"/>
        <v>2.8569772160704998E-2</v>
      </c>
      <c r="P61" s="2965">
        <f t="shared" si="174"/>
        <v>5.1034908866234296E-2</v>
      </c>
      <c r="Q61" s="2965">
        <f t="shared" si="174"/>
        <v>3.245248390207478E-2</v>
      </c>
      <c r="R61" s="2903"/>
      <c r="S61" s="2904">
        <f>B61/B62-1</f>
        <v>3.0497710174814063E-2</v>
      </c>
      <c r="T61" s="2905">
        <f>C61/C62-1</f>
        <v>2.8569772160704998E-2</v>
      </c>
      <c r="U61" s="2905">
        <f>E61/E62-1</f>
        <v>5.1034908866234296E-2</v>
      </c>
      <c r="V61" s="2905">
        <f>F61/F62-1</f>
        <v>3.245248390207478E-2</v>
      </c>
      <c r="X61" s="2963"/>
      <c r="Y61" s="2963"/>
      <c r="Z61" s="2963"/>
    </row>
    <row r="62" spans="1:26" ht="13.5" thickBot="1">
      <c r="A62" s="2899" t="s">
        <v>2591</v>
      </c>
      <c r="B62" s="2928">
        <v>159</v>
      </c>
      <c r="C62" s="2928">
        <v>141</v>
      </c>
      <c r="D62" s="2928">
        <f t="shared" si="153"/>
        <v>141</v>
      </c>
      <c r="E62" s="2928">
        <v>195</v>
      </c>
      <c r="F62" s="2929">
        <v>122</v>
      </c>
      <c r="G62" s="3550">
        <v>2006</v>
      </c>
      <c r="H62" s="2923">
        <v>4</v>
      </c>
      <c r="I62" s="2923">
        <v>3.79</v>
      </c>
      <c r="J62" s="2923">
        <v>2.21</v>
      </c>
      <c r="K62" s="2923">
        <v>5.65</v>
      </c>
      <c r="L62" s="2924">
        <v>5.41</v>
      </c>
      <c r="N62" s="2961">
        <f t="shared" ref="N62:O65" si="177">I62/SUM(I$62:I$65)*(B$62/B$66-1)</f>
        <v>7.245466462748526E-2</v>
      </c>
      <c r="O62" s="2962">
        <f t="shared" si="177"/>
        <v>2.3237230038062766E-2</v>
      </c>
      <c r="P62" s="2962">
        <f t="shared" ref="P62:Q65" si="178">K62/SUM(K$62:K$65)*(E$62/E$66-1)</f>
        <v>0.16146893866323722</v>
      </c>
      <c r="Q62" s="2962">
        <f t="shared" si="178"/>
        <v>5.0755230321793784E-2</v>
      </c>
      <c r="R62" s="2903"/>
      <c r="S62" s="2912"/>
      <c r="T62" s="2913"/>
      <c r="U62" s="2913"/>
      <c r="V62" s="2913"/>
      <c r="X62" s="2963"/>
      <c r="Y62" s="2963"/>
      <c r="Z62" s="2963"/>
    </row>
    <row r="63" spans="1:26">
      <c r="A63" s="2899" t="s">
        <v>2592</v>
      </c>
      <c r="B63" s="2900">
        <f t="shared" ref="B63:C65" si="179">B64+(B$62-B$66)*I63/SUM(I$62:I$65)</f>
        <v>149.00125628140702</v>
      </c>
      <c r="C63" s="2900">
        <f t="shared" si="179"/>
        <v>137.95592286501378</v>
      </c>
      <c r="D63" s="2900">
        <f t="shared" si="153"/>
        <v>137.95592286501378</v>
      </c>
      <c r="E63" s="2900">
        <f t="shared" ref="E63:F65" si="180">E64+(E$62-E$66)*K63/SUM(K$62:K$65)</f>
        <v>169.97231450719823</v>
      </c>
      <c r="F63" s="2900">
        <f t="shared" si="180"/>
        <v>116.21390374331551</v>
      </c>
      <c r="G63" s="3551">
        <v>2006</v>
      </c>
      <c r="H63" s="2926">
        <v>3</v>
      </c>
      <c r="I63" s="2926">
        <v>0.92</v>
      </c>
      <c r="J63" s="2926">
        <v>1.08</v>
      </c>
      <c r="K63" s="2926">
        <v>0.73</v>
      </c>
      <c r="L63" s="2927">
        <v>1.08</v>
      </c>
      <c r="N63" s="2961">
        <f t="shared" si="177"/>
        <v>1.7587939698492462E-2</v>
      </c>
      <c r="O63" s="2962">
        <f t="shared" si="177"/>
        <v>1.1355750425840628E-2</v>
      </c>
      <c r="P63" s="2962">
        <f t="shared" si="178"/>
        <v>2.0862358446754544E-2</v>
      </c>
      <c r="Q63" s="2962">
        <f t="shared" si="178"/>
        <v>1.0132282578103011E-2</v>
      </c>
      <c r="R63" s="2903"/>
      <c r="S63" s="2902"/>
      <c r="T63" s="2888"/>
      <c r="U63" s="2888"/>
      <c r="V63" s="2888"/>
      <c r="X63" s="2963"/>
      <c r="Y63" s="2963"/>
      <c r="Z63" s="2963"/>
    </row>
    <row r="64" spans="1:26">
      <c r="A64" s="2899" t="s">
        <v>2593</v>
      </c>
      <c r="B64" s="2900">
        <f t="shared" si="179"/>
        <v>146.57412060301507</v>
      </c>
      <c r="C64" s="2900">
        <f t="shared" si="179"/>
        <v>136.46831955922866</v>
      </c>
      <c r="D64" s="2900">
        <f t="shared" si="153"/>
        <v>136.46831955922866</v>
      </c>
      <c r="E64" s="2900">
        <f t="shared" si="180"/>
        <v>166.73864894795128</v>
      </c>
      <c r="F64" s="2900">
        <f t="shared" si="180"/>
        <v>115.05882352941177</v>
      </c>
      <c r="G64" s="3551">
        <v>2006</v>
      </c>
      <c r="H64" s="2914">
        <v>2</v>
      </c>
      <c r="I64" s="2914">
        <v>0.96</v>
      </c>
      <c r="J64" s="2914">
        <v>0.25</v>
      </c>
      <c r="K64" s="2914">
        <v>1.9</v>
      </c>
      <c r="L64" s="2915">
        <v>0.95</v>
      </c>
      <c r="N64" s="2961">
        <f t="shared" si="177"/>
        <v>1.8352632728861701E-2</v>
      </c>
      <c r="O64" s="2962">
        <f t="shared" si="177"/>
        <v>2.6286459319075526E-3</v>
      </c>
      <c r="P64" s="2962">
        <f t="shared" si="178"/>
        <v>5.4299289107991269E-2</v>
      </c>
      <c r="Q64" s="2962">
        <f t="shared" si="178"/>
        <v>8.9126559714794995E-3</v>
      </c>
      <c r="R64" s="2903"/>
      <c r="S64" s="2902"/>
      <c r="T64" s="2888"/>
      <c r="U64" s="2888"/>
      <c r="V64" s="2888"/>
      <c r="X64" s="2963"/>
      <c r="Y64" s="2963"/>
      <c r="Z64" s="2963"/>
    </row>
    <row r="65" spans="1:26">
      <c r="A65" s="2899" t="s">
        <v>2594</v>
      </c>
      <c r="B65" s="2900">
        <f t="shared" si="179"/>
        <v>144.04145728643215</v>
      </c>
      <c r="C65" s="2900">
        <f t="shared" si="179"/>
        <v>136.12396694214877</v>
      </c>
      <c r="D65" s="2900">
        <f t="shared" si="153"/>
        <v>136.12396694214877</v>
      </c>
      <c r="E65" s="2900">
        <f t="shared" si="180"/>
        <v>158.32225913621264</v>
      </c>
      <c r="F65" s="2900">
        <f t="shared" si="180"/>
        <v>114.04278074866311</v>
      </c>
      <c r="G65" s="3552">
        <v>2006</v>
      </c>
      <c r="H65" s="2901">
        <v>1</v>
      </c>
      <c r="I65" s="2901">
        <v>2.29</v>
      </c>
      <c r="J65" s="2901">
        <v>3.72</v>
      </c>
      <c r="K65" s="2901">
        <v>0.75</v>
      </c>
      <c r="L65" s="2907">
        <v>0.04</v>
      </c>
      <c r="N65" s="2964">
        <f t="shared" si="177"/>
        <v>4.3778675988638847E-2</v>
      </c>
      <c r="O65" s="2965">
        <f t="shared" si="177"/>
        <v>3.9114251466784385E-2</v>
      </c>
      <c r="P65" s="2965">
        <f t="shared" si="178"/>
        <v>2.1433929911049188E-2</v>
      </c>
      <c r="Q65" s="2965">
        <f t="shared" si="178"/>
        <v>3.7526972511492629E-4</v>
      </c>
      <c r="R65" s="2903"/>
      <c r="S65" s="2904">
        <f>B65/B66-1</f>
        <v>4.3778675988638716E-2</v>
      </c>
      <c r="T65" s="2905">
        <f>C65/C66-1</f>
        <v>3.91142514667846E-2</v>
      </c>
      <c r="U65" s="2905">
        <f>E65/E66-1</f>
        <v>2.143392991104931E-2</v>
      </c>
      <c r="V65" s="2905">
        <f>F65/F66-1</f>
        <v>3.7526972511492396E-4</v>
      </c>
      <c r="X65" s="2963"/>
      <c r="Y65" s="2963"/>
      <c r="Z65" s="2963"/>
    </row>
    <row r="66" spans="1:26" ht="13.5" thickBot="1">
      <c r="A66" s="2899" t="s">
        <v>2595</v>
      </c>
      <c r="B66" s="2928">
        <v>138</v>
      </c>
      <c r="C66" s="2928">
        <v>131</v>
      </c>
      <c r="D66" s="2928">
        <f t="shared" si="153"/>
        <v>131</v>
      </c>
      <c r="E66" s="2928">
        <v>155</v>
      </c>
      <c r="F66" s="2929">
        <v>114</v>
      </c>
      <c r="G66" s="3550">
        <v>2005</v>
      </c>
      <c r="H66" s="2923">
        <v>4</v>
      </c>
      <c r="I66" s="2923">
        <v>3.29</v>
      </c>
      <c r="J66" s="2923">
        <v>1.44</v>
      </c>
      <c r="K66" s="2923">
        <v>0.66</v>
      </c>
      <c r="L66" s="2924">
        <v>7.78</v>
      </c>
      <c r="N66" s="2961">
        <f t="shared" ref="N66:O69" si="181">I66/SUM(I$66:I$69)*(B$66/B$70-1)</f>
        <v>9.9404603216919935E-2</v>
      </c>
      <c r="O66" s="2962">
        <f t="shared" si="181"/>
        <v>4.7636550760861554E-2</v>
      </c>
      <c r="P66" s="2962">
        <f t="shared" ref="P66:Q69" si="182">K66/SUM(K$66:K$69)*(E$66/E$70-1)</f>
        <v>8.3756345177664976E-2</v>
      </c>
      <c r="Q66" s="2962">
        <f t="shared" si="182"/>
        <v>5.2148766661559584E-2</v>
      </c>
      <c r="R66" s="2903"/>
      <c r="S66" s="2912"/>
      <c r="T66" s="2913"/>
      <c r="U66" s="2913"/>
      <c r="V66" s="2913"/>
      <c r="X66" s="2963"/>
      <c r="Y66" s="2963"/>
      <c r="Z66" s="2963"/>
    </row>
    <row r="67" spans="1:26">
      <c r="A67" s="2899" t="s">
        <v>2596</v>
      </c>
      <c r="B67" s="2900">
        <f t="shared" ref="B67:C69" si="183">B68+(B$66-B$70)*I67/SUM(I$66:I$69)</f>
        <v>125.9720430107527</v>
      </c>
      <c r="C67" s="2900">
        <f t="shared" si="183"/>
        <v>125.1883408071749</v>
      </c>
      <c r="D67" s="2900">
        <f t="shared" si="153"/>
        <v>125.1883408071749</v>
      </c>
      <c r="E67" s="2900">
        <f t="shared" ref="E67:F69" si="184">E68+(E$66-E$70)*K67/SUM(K$66:K$69)</f>
        <v>144.61421319796952</v>
      </c>
      <c r="F67" s="2900">
        <f t="shared" si="184"/>
        <v>108.42008196721311</v>
      </c>
      <c r="G67" s="3551">
        <v>2005</v>
      </c>
      <c r="H67" s="2926">
        <v>3</v>
      </c>
      <c r="I67" s="2926">
        <v>0.46</v>
      </c>
      <c r="J67" s="2926">
        <v>0.32</v>
      </c>
      <c r="K67" s="2926">
        <v>0.42</v>
      </c>
      <c r="L67" s="2927">
        <v>0.64</v>
      </c>
      <c r="N67" s="2961">
        <f t="shared" si="181"/>
        <v>1.3898515951301874E-2</v>
      </c>
      <c r="O67" s="2962">
        <f t="shared" si="181"/>
        <v>1.0585900169080346E-2</v>
      </c>
      <c r="P67" s="2962">
        <f t="shared" si="182"/>
        <v>5.3299492385786795E-2</v>
      </c>
      <c r="Q67" s="2962">
        <f t="shared" si="182"/>
        <v>4.2898728359123568E-3</v>
      </c>
      <c r="R67" s="2903"/>
      <c r="S67" s="2902"/>
      <c r="T67" s="2888"/>
      <c r="U67" s="2888"/>
      <c r="V67" s="2888"/>
      <c r="X67" s="2963"/>
      <c r="Y67" s="2963"/>
      <c r="Z67" s="2963"/>
    </row>
    <row r="68" spans="1:26">
      <c r="A68" s="2899" t="s">
        <v>2597</v>
      </c>
      <c r="B68" s="2900">
        <f t="shared" si="183"/>
        <v>124.29032258064517</v>
      </c>
      <c r="C68" s="2900">
        <f t="shared" si="183"/>
        <v>123.8968609865471</v>
      </c>
      <c r="D68" s="2900">
        <f t="shared" si="153"/>
        <v>123.8968609865471</v>
      </c>
      <c r="E68" s="2900">
        <f t="shared" si="184"/>
        <v>138.00507614213197</v>
      </c>
      <c r="F68" s="2900">
        <f t="shared" si="184"/>
        <v>107.96106557377048</v>
      </c>
      <c r="G68" s="3551">
        <v>2005</v>
      </c>
      <c r="H68" s="2914">
        <v>2</v>
      </c>
      <c r="I68" s="2914">
        <v>0.47</v>
      </c>
      <c r="J68" s="2914">
        <v>0.1</v>
      </c>
      <c r="K68" s="2914">
        <v>0.52</v>
      </c>
      <c r="L68" s="2915">
        <v>0.79</v>
      </c>
      <c r="N68" s="2961">
        <f t="shared" si="181"/>
        <v>1.420065760241713E-2</v>
      </c>
      <c r="O68" s="2962">
        <f t="shared" si="181"/>
        <v>3.3080938028376083E-3</v>
      </c>
      <c r="P68" s="2962">
        <f t="shared" si="182"/>
        <v>6.598984771573603E-2</v>
      </c>
      <c r="Q68" s="2962">
        <f t="shared" si="182"/>
        <v>5.2953117818293153E-3</v>
      </c>
      <c r="R68" s="2903"/>
      <c r="S68" s="2902"/>
      <c r="T68" s="2888"/>
      <c r="U68" s="2888"/>
      <c r="V68" s="2888"/>
      <c r="X68" s="2963"/>
      <c r="Y68" s="2963"/>
      <c r="Z68" s="2963"/>
    </row>
    <row r="69" spans="1:26">
      <c r="A69" s="2899" t="s">
        <v>2598</v>
      </c>
      <c r="B69" s="2900">
        <f t="shared" si="183"/>
        <v>122.57204301075269</v>
      </c>
      <c r="C69" s="2900">
        <f t="shared" si="183"/>
        <v>123.4932735426009</v>
      </c>
      <c r="D69" s="2900">
        <f t="shared" si="153"/>
        <v>123.4932735426009</v>
      </c>
      <c r="E69" s="2900">
        <f t="shared" si="184"/>
        <v>129.82233502538071</v>
      </c>
      <c r="F69" s="2900">
        <f t="shared" si="184"/>
        <v>107.39446721311475</v>
      </c>
      <c r="G69" s="3552">
        <v>2005</v>
      </c>
      <c r="H69" s="2901">
        <v>1</v>
      </c>
      <c r="I69" s="2901">
        <v>0.43</v>
      </c>
      <c r="J69" s="2901">
        <v>0.37</v>
      </c>
      <c r="K69" s="2901">
        <v>0.37</v>
      </c>
      <c r="L69" s="2907">
        <v>0.55000000000000004</v>
      </c>
      <c r="N69" s="2964">
        <f t="shared" si="181"/>
        <v>1.2992090997956099E-2</v>
      </c>
      <c r="O69" s="2965">
        <f t="shared" si="181"/>
        <v>1.2239947070499151E-2</v>
      </c>
      <c r="P69" s="2965">
        <f t="shared" si="182"/>
        <v>4.6954314720812178E-2</v>
      </c>
      <c r="Q69" s="2965">
        <f t="shared" si="182"/>
        <v>3.6866094683621815E-3</v>
      </c>
      <c r="R69" s="2903"/>
      <c r="S69" s="2904">
        <f>B69/B70-1</f>
        <v>1.2992090997956174E-2</v>
      </c>
      <c r="T69" s="2905">
        <f>C69/C70-1</f>
        <v>1.2239947070499246E-2</v>
      </c>
      <c r="U69" s="2905">
        <f>E69/E70-1</f>
        <v>4.695431472081224E-2</v>
      </c>
      <c r="V69" s="2905">
        <f>F69/F70-1</f>
        <v>3.6866094683620787E-3</v>
      </c>
      <c r="X69" s="2963"/>
      <c r="Y69" s="2963"/>
      <c r="Z69" s="2963"/>
    </row>
    <row r="70" spans="1:26" ht="13.5" thickBot="1">
      <c r="A70" s="2899" t="s">
        <v>2599</v>
      </c>
      <c r="B70" s="2949">
        <v>121</v>
      </c>
      <c r="C70" s="2949">
        <v>122</v>
      </c>
      <c r="D70" s="2949">
        <f t="shared" si="153"/>
        <v>122</v>
      </c>
      <c r="E70" s="2949">
        <v>124</v>
      </c>
      <c r="F70" s="2950">
        <v>107</v>
      </c>
      <c r="G70" s="3550">
        <v>2004</v>
      </c>
      <c r="H70" s="2923">
        <v>4</v>
      </c>
      <c r="I70" s="2923">
        <v>0.33</v>
      </c>
      <c r="J70" s="2923">
        <v>0.5</v>
      </c>
      <c r="K70" s="2923">
        <v>0.5</v>
      </c>
      <c r="L70" s="2924">
        <v>0</v>
      </c>
      <c r="N70" s="2961">
        <f t="shared" ref="N70:O73" si="185">I70/SUM(I$70:I$73)*(B$70/B$74-1)</f>
        <v>1.3391770148526898E-2</v>
      </c>
      <c r="O70" s="2962">
        <f t="shared" si="185"/>
        <v>1.063264221158958E-2</v>
      </c>
      <c r="P70" s="2962">
        <f t="shared" ref="P70:Q73" si="186">K70/SUM(K$70:K$73)*(E$70/E$74-1)</f>
        <v>2.2244466688911134E-2</v>
      </c>
      <c r="Q70" s="2962">
        <f t="shared" si="186"/>
        <v>0</v>
      </c>
      <c r="R70" s="2903"/>
      <c r="S70" s="2912"/>
      <c r="T70" s="2913"/>
      <c r="U70" s="2913"/>
      <c r="V70" s="2913"/>
      <c r="X70" s="2963"/>
      <c r="Y70" s="2963"/>
      <c r="Z70" s="2963"/>
    </row>
    <row r="71" spans="1:26">
      <c r="A71" s="2899" t="s">
        <v>2600</v>
      </c>
      <c r="B71" s="2900">
        <f t="shared" ref="B71:C73" si="187">B72+(B$70-B$74)*I71/SUM(I$70:I$73)</f>
        <v>119.51351351351352</v>
      </c>
      <c r="C71" s="2900">
        <f t="shared" si="187"/>
        <v>120.7878787878788</v>
      </c>
      <c r="D71" s="2900">
        <f t="shared" si="153"/>
        <v>120.7878787878788</v>
      </c>
      <c r="E71" s="2900">
        <f t="shared" ref="E71:F73" si="188">E72+(E$70-E$74)*K71/SUM(K$70:K$73)</f>
        <v>121.5975975975976</v>
      </c>
      <c r="F71" s="2900">
        <f t="shared" si="188"/>
        <v>107</v>
      </c>
      <c r="G71" s="3551">
        <v>2004</v>
      </c>
      <c r="H71" s="2926">
        <v>3</v>
      </c>
      <c r="I71" s="2926">
        <v>0.56000000000000005</v>
      </c>
      <c r="J71" s="2926">
        <v>0.8</v>
      </c>
      <c r="K71" s="2926">
        <v>0.83</v>
      </c>
      <c r="L71" s="2927">
        <v>0.06</v>
      </c>
      <c r="N71" s="2961">
        <f t="shared" si="185"/>
        <v>2.2725428130833527E-2</v>
      </c>
      <c r="O71" s="2962">
        <f t="shared" si="185"/>
        <v>1.7012227538543329E-2</v>
      </c>
      <c r="P71" s="2962">
        <f t="shared" si="186"/>
        <v>3.6925814703592477E-2</v>
      </c>
      <c r="Q71" s="2962">
        <f t="shared" si="186"/>
        <v>2.8846153846153744E-2</v>
      </c>
      <c r="R71" s="2903"/>
      <c r="S71" s="2902"/>
      <c r="T71" s="2888"/>
      <c r="U71" s="2888"/>
      <c r="V71" s="2888"/>
      <c r="X71" s="2963"/>
      <c r="Y71" s="2963"/>
      <c r="Z71" s="2963"/>
    </row>
    <row r="72" spans="1:26">
      <c r="A72" s="2899" t="s">
        <v>2601</v>
      </c>
      <c r="B72" s="2900">
        <f t="shared" si="187"/>
        <v>116.99099099099099</v>
      </c>
      <c r="C72" s="2900">
        <f t="shared" si="187"/>
        <v>118.84848484848486</v>
      </c>
      <c r="D72" s="2900">
        <f t="shared" si="153"/>
        <v>118.84848484848486</v>
      </c>
      <c r="E72" s="2900">
        <f t="shared" si="188"/>
        <v>117.60960960960961</v>
      </c>
      <c r="F72" s="2900">
        <f t="shared" si="188"/>
        <v>104</v>
      </c>
      <c r="G72" s="3551">
        <v>2004</v>
      </c>
      <c r="H72" s="2914">
        <v>2</v>
      </c>
      <c r="I72" s="2914">
        <v>1</v>
      </c>
      <c r="J72" s="2914">
        <v>1.5</v>
      </c>
      <c r="K72" s="2914">
        <v>1.5</v>
      </c>
      <c r="L72" s="2915">
        <v>0</v>
      </c>
      <c r="N72" s="2961">
        <f t="shared" si="185"/>
        <v>4.0581121662202721E-2</v>
      </c>
      <c r="O72" s="2962">
        <f t="shared" si="185"/>
        <v>3.1897926634768738E-2</v>
      </c>
      <c r="P72" s="2962">
        <f t="shared" si="186"/>
        <v>6.6733400066733395E-2</v>
      </c>
      <c r="Q72" s="2962">
        <f t="shared" si="186"/>
        <v>0</v>
      </c>
      <c r="R72" s="2903"/>
      <c r="S72" s="2902"/>
      <c r="T72" s="2888"/>
      <c r="U72" s="2888"/>
      <c r="V72" s="2888"/>
      <c r="X72" s="2963"/>
      <c r="Y72" s="2963"/>
      <c r="Z72" s="2963"/>
    </row>
    <row r="73" spans="1:26" s="2955" customFormat="1" ht="13.5" thickBot="1">
      <c r="A73" s="2899" t="s">
        <v>2602</v>
      </c>
      <c r="B73" s="2952">
        <f t="shared" si="187"/>
        <v>112.48648648648648</v>
      </c>
      <c r="C73" s="2952">
        <f t="shared" si="187"/>
        <v>115.21212121212122</v>
      </c>
      <c r="D73" s="2952">
        <f t="shared" si="153"/>
        <v>115.21212121212122</v>
      </c>
      <c r="E73" s="2952">
        <f t="shared" si="188"/>
        <v>110.4024024024024</v>
      </c>
      <c r="F73" s="2952">
        <f t="shared" si="188"/>
        <v>104</v>
      </c>
      <c r="G73" s="3552">
        <v>2004</v>
      </c>
      <c r="H73" s="2953">
        <v>1</v>
      </c>
      <c r="I73" s="2953">
        <v>0.33</v>
      </c>
      <c r="J73" s="2953">
        <v>0.5</v>
      </c>
      <c r="K73" s="2953">
        <v>0.5</v>
      </c>
      <c r="L73" s="2954">
        <v>0</v>
      </c>
      <c r="N73" s="2966">
        <f t="shared" si="185"/>
        <v>1.3391770148526898E-2</v>
      </c>
      <c r="O73" s="2967">
        <f t="shared" si="185"/>
        <v>1.063264221158958E-2</v>
      </c>
      <c r="P73" s="2967">
        <f t="shared" si="186"/>
        <v>2.2244466688911134E-2</v>
      </c>
      <c r="Q73" s="2967">
        <f t="shared" si="186"/>
        <v>0</v>
      </c>
      <c r="R73" s="2958"/>
      <c r="S73" s="2956">
        <f>B73/B74-1</f>
        <v>1.3391770148526883E-2</v>
      </c>
      <c r="T73" s="2957">
        <f>C73/C74-1</f>
        <v>1.063264221158966E-2</v>
      </c>
      <c r="U73" s="2957">
        <f>E73/E74-1</f>
        <v>2.2244466688911224E-2</v>
      </c>
      <c r="V73" s="2957">
        <f>F73/F74-1</f>
        <v>0</v>
      </c>
      <c r="X73" s="2968"/>
      <c r="Y73" s="2968"/>
      <c r="Z73" s="2968"/>
    </row>
    <row r="74" spans="1:26" ht="13.5" thickBot="1">
      <c r="A74" s="2899" t="s">
        <v>2603</v>
      </c>
      <c r="B74" s="2969">
        <v>111</v>
      </c>
      <c r="C74" s="2969">
        <v>114</v>
      </c>
      <c r="D74" s="2969">
        <f t="shared" si="153"/>
        <v>114</v>
      </c>
      <c r="E74" s="2969">
        <v>108</v>
      </c>
      <c r="F74" s="2970">
        <v>104</v>
      </c>
      <c r="G74" s="3550">
        <v>2003</v>
      </c>
      <c r="H74" s="2959">
        <v>4</v>
      </c>
      <c r="I74" s="2971"/>
      <c r="J74" s="2971"/>
      <c r="K74" s="2971"/>
      <c r="L74" s="2971"/>
      <c r="N74" s="2972"/>
      <c r="O74" s="2971"/>
      <c r="P74" s="2971"/>
      <c r="Q74" s="2971"/>
      <c r="S74" s="2972"/>
      <c r="T74" s="2971"/>
      <c r="U74" s="2971"/>
      <c r="V74" s="2971"/>
      <c r="X74" s="2963"/>
      <c r="Y74" s="2963"/>
      <c r="Z74" s="2963"/>
    </row>
    <row r="75" spans="1:26">
      <c r="A75" s="2899" t="s">
        <v>2604</v>
      </c>
      <c r="B75" s="2973">
        <f t="shared" ref="B75:C77" si="189">B76+(B$74-B$78)/4</f>
        <v>109.75</v>
      </c>
      <c r="C75" s="2973">
        <f t="shared" si="189"/>
        <v>112.25</v>
      </c>
      <c r="D75" s="2973">
        <f t="shared" si="153"/>
        <v>112.25</v>
      </c>
      <c r="E75" s="2973">
        <f t="shared" ref="E75:F77" si="190">E76+(E$74-E$78)/4</f>
        <v>107.25</v>
      </c>
      <c r="F75" s="2973">
        <f t="shared" si="190"/>
        <v>103.5</v>
      </c>
      <c r="G75" s="3551">
        <v>2003</v>
      </c>
      <c r="H75" s="2926">
        <v>3</v>
      </c>
      <c r="I75" s="2971"/>
      <c r="J75" s="2971"/>
      <c r="K75" s="2971"/>
      <c r="L75" s="2971"/>
      <c r="X75" s="2963"/>
      <c r="Y75" s="2963"/>
      <c r="Z75" s="2963"/>
    </row>
    <row r="76" spans="1:26">
      <c r="A76" s="2899" t="s">
        <v>2605</v>
      </c>
      <c r="B76" s="2973">
        <f t="shared" si="189"/>
        <v>108.5</v>
      </c>
      <c r="C76" s="2973">
        <f t="shared" si="189"/>
        <v>110.5</v>
      </c>
      <c r="D76" s="2973">
        <f t="shared" si="153"/>
        <v>110.5</v>
      </c>
      <c r="E76" s="2973">
        <f t="shared" si="190"/>
        <v>106.5</v>
      </c>
      <c r="F76" s="2973">
        <f t="shared" si="190"/>
        <v>103</v>
      </c>
      <c r="G76" s="3551">
        <v>2003</v>
      </c>
      <c r="H76" s="2914">
        <v>2</v>
      </c>
      <c r="I76" s="2971"/>
      <c r="J76" s="2971"/>
      <c r="K76" s="2971"/>
      <c r="L76" s="2971"/>
      <c r="X76" s="2963"/>
      <c r="Y76" s="2963"/>
      <c r="Z76" s="2963"/>
    </row>
    <row r="77" spans="1:26" ht="13.5" thickBot="1">
      <c r="A77" s="2899" t="s">
        <v>2606</v>
      </c>
      <c r="B77" s="2973">
        <f t="shared" si="189"/>
        <v>107.25</v>
      </c>
      <c r="C77" s="2973">
        <f t="shared" si="189"/>
        <v>108.75</v>
      </c>
      <c r="D77" s="2973">
        <f t="shared" si="153"/>
        <v>108.75</v>
      </c>
      <c r="E77" s="2973">
        <f t="shared" si="190"/>
        <v>105.75</v>
      </c>
      <c r="F77" s="2973">
        <f t="shared" si="190"/>
        <v>102.5</v>
      </c>
      <c r="G77" s="3552">
        <v>2003</v>
      </c>
      <c r="H77" s="2974">
        <v>1</v>
      </c>
      <c r="I77" s="2971"/>
      <c r="J77" s="2971"/>
      <c r="K77" s="2971"/>
      <c r="L77" s="2971"/>
      <c r="S77" s="2902"/>
      <c r="T77" s="2888"/>
      <c r="U77" s="2888"/>
      <c r="X77" s="2963"/>
      <c r="Y77" s="2963"/>
      <c r="Z77" s="2963"/>
    </row>
    <row r="78" spans="1:26" ht="13.5" thickBot="1">
      <c r="A78" s="2899" t="s">
        <v>2607</v>
      </c>
      <c r="B78" s="2975">
        <v>106</v>
      </c>
      <c r="C78" s="2975">
        <v>107</v>
      </c>
      <c r="D78" s="2975">
        <f t="shared" si="153"/>
        <v>107</v>
      </c>
      <c r="E78" s="2975">
        <v>105</v>
      </c>
      <c r="F78" s="2976">
        <v>102</v>
      </c>
      <c r="G78" s="3550">
        <v>2002</v>
      </c>
      <c r="H78" s="2923">
        <v>4</v>
      </c>
      <c r="I78" s="2971"/>
      <c r="J78" s="2971"/>
      <c r="K78" s="2971"/>
      <c r="L78" s="2971"/>
      <c r="N78" s="2972"/>
      <c r="O78" s="2971"/>
      <c r="P78" s="2971"/>
      <c r="Q78" s="2971"/>
      <c r="S78" s="2972"/>
      <c r="T78" s="2971"/>
      <c r="U78" s="2971"/>
      <c r="V78" s="2971"/>
      <c r="X78" s="2963"/>
      <c r="Y78" s="2963"/>
      <c r="Z78" s="2963"/>
    </row>
    <row r="79" spans="1:26">
      <c r="A79" s="2899" t="s">
        <v>2608</v>
      </c>
      <c r="B79" s="2973">
        <f t="shared" ref="B79:C81" si="191">B80+(B$78-B$82)/4</f>
        <v>105</v>
      </c>
      <c r="C79" s="2973">
        <f t="shared" si="191"/>
        <v>106</v>
      </c>
      <c r="D79" s="2973">
        <f t="shared" si="153"/>
        <v>106</v>
      </c>
      <c r="E79" s="2973">
        <f t="shared" ref="E79:F81" si="192">E80+(E$78-E$82)/4</f>
        <v>104.5</v>
      </c>
      <c r="F79" s="2973">
        <f t="shared" si="192"/>
        <v>101.5</v>
      </c>
      <c r="G79" s="3551">
        <v>2002</v>
      </c>
      <c r="H79" s="2926">
        <v>3</v>
      </c>
      <c r="I79" s="2971"/>
      <c r="J79" s="2971"/>
      <c r="K79" s="2971"/>
      <c r="L79" s="2971"/>
      <c r="X79" s="2963"/>
      <c r="Y79" s="2963"/>
      <c r="Z79" s="2963"/>
    </row>
    <row r="80" spans="1:26">
      <c r="A80" s="2899" t="s">
        <v>2609</v>
      </c>
      <c r="B80" s="2973">
        <f t="shared" si="191"/>
        <v>104</v>
      </c>
      <c r="C80" s="2973">
        <f t="shared" si="191"/>
        <v>105</v>
      </c>
      <c r="D80" s="2973">
        <f t="shared" si="153"/>
        <v>105</v>
      </c>
      <c r="E80" s="2973">
        <f t="shared" si="192"/>
        <v>104</v>
      </c>
      <c r="F80" s="2973">
        <f t="shared" si="192"/>
        <v>101</v>
      </c>
      <c r="G80" s="3551">
        <v>2002</v>
      </c>
      <c r="H80" s="2914">
        <v>2</v>
      </c>
      <c r="I80" s="2971"/>
      <c r="J80" s="2971"/>
      <c r="K80" s="2971"/>
      <c r="L80" s="2971"/>
      <c r="X80" s="2963"/>
      <c r="Y80" s="2963"/>
      <c r="Z80" s="2963"/>
    </row>
    <row r="81" spans="1:26" s="2936" customFormat="1" ht="13.5" thickBot="1">
      <c r="A81" s="2932" t="s">
        <v>2610</v>
      </c>
      <c r="B81" s="2939">
        <f t="shared" si="191"/>
        <v>103</v>
      </c>
      <c r="C81" s="2939">
        <f t="shared" si="191"/>
        <v>104</v>
      </c>
      <c r="D81" s="2939">
        <f t="shared" si="153"/>
        <v>104</v>
      </c>
      <c r="E81" s="2939">
        <f t="shared" si="192"/>
        <v>103.5</v>
      </c>
      <c r="F81" s="2939">
        <f t="shared" si="192"/>
        <v>100.5</v>
      </c>
      <c r="G81" s="3552">
        <v>2002</v>
      </c>
      <c r="H81" s="2977">
        <v>1</v>
      </c>
      <c r="I81" s="2978"/>
      <c r="J81" s="2978"/>
      <c r="K81" s="2978"/>
      <c r="L81" s="2978"/>
      <c r="N81" s="2979"/>
      <c r="S81" s="2979"/>
      <c r="X81" s="2980"/>
      <c r="Y81" s="2980"/>
      <c r="Z81" s="2980"/>
    </row>
    <row r="82" spans="1:26" ht="13.5" thickBot="1">
      <c r="B82" s="2981">
        <v>102</v>
      </c>
      <c r="C82" s="2982">
        <v>103</v>
      </c>
      <c r="D82" s="2982">
        <f t="shared" si="153"/>
        <v>103</v>
      </c>
      <c r="E82" s="2982">
        <v>103</v>
      </c>
      <c r="F82" s="2983">
        <v>100</v>
      </c>
      <c r="I82" s="2971"/>
      <c r="J82" s="2971"/>
      <c r="K82" s="2971"/>
      <c r="L82" s="2971"/>
      <c r="N82" s="2972"/>
      <c r="O82" s="2971"/>
      <c r="P82" s="2971"/>
      <c r="Q82" s="2971"/>
      <c r="S82" s="2972"/>
      <c r="T82" s="2971"/>
      <c r="U82" s="2971"/>
      <c r="V82" s="2971"/>
      <c r="X82" s="2913"/>
      <c r="Y82" s="2913"/>
      <c r="Z82" s="2913"/>
    </row>
    <row r="84" spans="1:26" s="2985" customFormat="1">
      <c r="A84" s="2984" t="s">
        <v>2611</v>
      </c>
      <c r="G84" s="2986"/>
      <c r="N84" s="2986"/>
      <c r="S84" s="2986"/>
    </row>
    <row r="85" spans="1:26" s="2985" customFormat="1">
      <c r="A85" s="2985" t="s">
        <v>2612</v>
      </c>
      <c r="G85" s="2986"/>
      <c r="N85" s="2986"/>
      <c r="S85" s="2986"/>
    </row>
    <row r="86" spans="1:26" s="2985" customFormat="1">
      <c r="A86" s="2985" t="s">
        <v>2613</v>
      </c>
      <c r="G86" s="2986"/>
      <c r="I86" s="2987"/>
      <c r="J86" s="2987"/>
      <c r="K86" s="2987"/>
      <c r="L86" s="2987"/>
      <c r="N86" s="2988"/>
      <c r="O86" s="2987"/>
      <c r="P86" s="2987"/>
      <c r="Q86" s="2987"/>
      <c r="S86" s="2988"/>
      <c r="T86" s="2987"/>
      <c r="U86" s="2987"/>
      <c r="V86" s="2987"/>
    </row>
    <row r="87" spans="1:26" s="2985" customFormat="1">
      <c r="A87" s="2985" t="s">
        <v>2614</v>
      </c>
      <c r="G87" s="2986"/>
      <c r="N87" s="2986"/>
      <c r="S87" s="2986"/>
    </row>
    <row r="94" spans="1:26" ht="13.5" thickBot="1"/>
    <row r="95" spans="1:26">
      <c r="G95" s="2887"/>
      <c r="S95" s="2989" t="s">
        <v>2615</v>
      </c>
      <c r="T95" s="2990" t="s">
        <v>2616</v>
      </c>
      <c r="U95" s="2990" t="s">
        <v>2617</v>
      </c>
      <c r="V95" s="2990" t="s">
        <v>2618</v>
      </c>
    </row>
    <row r="96" spans="1:26">
      <c r="G96" s="2887"/>
      <c r="N96" s="2912"/>
      <c r="O96" s="2913"/>
      <c r="P96" s="2913"/>
      <c r="Q96" s="2913"/>
      <c r="S96" s="2991">
        <v>2006</v>
      </c>
      <c r="T96" s="2992">
        <v>15.1</v>
      </c>
      <c r="U96" s="2992">
        <v>7.43</v>
      </c>
      <c r="V96" s="2992">
        <v>26.26</v>
      </c>
    </row>
    <row r="97" spans="7:22">
      <c r="G97" s="2887"/>
      <c r="N97" s="2912"/>
      <c r="O97" s="2913"/>
      <c r="P97" s="2913"/>
      <c r="Q97" s="2913"/>
      <c r="S97" s="2993">
        <v>2005</v>
      </c>
      <c r="T97" s="2994">
        <v>13.9</v>
      </c>
      <c r="U97" s="2994">
        <v>7.49</v>
      </c>
      <c r="V97" s="2994">
        <v>24.92</v>
      </c>
    </row>
    <row r="98" spans="7:22">
      <c r="G98" s="2887"/>
      <c r="N98" s="2912"/>
      <c r="O98" s="2913"/>
      <c r="P98" s="2913"/>
      <c r="Q98" s="2913"/>
      <c r="S98" s="2991">
        <v>2004</v>
      </c>
      <c r="T98" s="2992">
        <v>9.48</v>
      </c>
      <c r="U98" s="2992">
        <v>7.2</v>
      </c>
      <c r="V98" s="2992">
        <v>14.68</v>
      </c>
    </row>
    <row r="99" spans="7:22">
      <c r="G99" s="2887"/>
      <c r="N99" s="2912"/>
      <c r="O99" s="2913"/>
      <c r="P99" s="2913"/>
      <c r="Q99" s="2913"/>
      <c r="S99" s="2993">
        <v>2003</v>
      </c>
      <c r="T99" s="2994">
        <v>4.5</v>
      </c>
      <c r="U99" s="2994">
        <v>6.12</v>
      </c>
      <c r="V99" s="2994">
        <v>2.34</v>
      </c>
    </row>
    <row r="100" spans="7:22" ht="13.5" thickBot="1">
      <c r="G100" s="2887"/>
      <c r="N100" s="2912"/>
      <c r="O100" s="2913"/>
      <c r="P100" s="2913"/>
      <c r="Q100" s="2913"/>
      <c r="S100" s="2995">
        <v>2002</v>
      </c>
      <c r="T100" s="2996">
        <v>3.59</v>
      </c>
      <c r="U100" s="2996">
        <v>4.54</v>
      </c>
      <c r="V100" s="2996">
        <v>2.5499999999999998</v>
      </c>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row r="116" spans="7:19">
      <c r="G116" s="2887"/>
      <c r="N116" s="2912"/>
      <c r="O116" s="2913"/>
      <c r="P116" s="2913"/>
      <c r="Q116" s="2913"/>
      <c r="S116" s="2887"/>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E49" sqref="E49"/>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2911</v>
      </c>
      <c r="B1" s="3245"/>
      <c r="C1" s="3245"/>
      <c r="D1" s="3245"/>
      <c r="E1" s="3245"/>
      <c r="F1" s="3245"/>
      <c r="G1" s="3246"/>
      <c r="H1" s="3246"/>
      <c r="I1" s="3246"/>
      <c r="J1" s="3246"/>
      <c r="K1" s="3246"/>
      <c r="L1" s="3246"/>
      <c r="M1" s="3246"/>
      <c r="N1" s="3246"/>
    </row>
    <row r="2" spans="1:14" ht="14.25">
      <c r="A2" s="3251" t="s">
        <v>2906</v>
      </c>
      <c r="B2" s="3256">
        <f ca="1">SUMIF(B7:B14,"&lt;&gt;#ref!",B7:B14)</f>
        <v>0</v>
      </c>
      <c r="C2" s="3251" t="s">
        <v>2907</v>
      </c>
      <c r="D2" s="3248"/>
      <c r="E2" s="3248"/>
      <c r="F2" s="3248"/>
      <c r="G2" s="3246"/>
      <c r="H2" s="3246"/>
      <c r="I2" s="3246"/>
      <c r="J2" s="3246"/>
      <c r="K2" s="3246"/>
      <c r="L2" s="3246"/>
      <c r="M2" s="3246"/>
      <c r="N2" s="3246"/>
    </row>
    <row r="3" spans="1:14" ht="14.25">
      <c r="A3" s="3251" t="s">
        <v>2936</v>
      </c>
      <c r="B3" s="3256" t="e">
        <f ca="1">ROUND(B2*10000/E3,0)</f>
        <v>#DIV/0!</v>
      </c>
      <c r="C3" s="3251" t="s">
        <v>2067</v>
      </c>
      <c r="D3" s="3251" t="s">
        <v>2908</v>
      </c>
      <c r="E3" s="3249">
        <f ca="1">SUMIF(E7:E14,"&lt;&gt;#ref!",E7:E14)</f>
        <v>0</v>
      </c>
      <c r="F3" s="3248"/>
      <c r="G3" s="3246"/>
      <c r="H3" s="3246"/>
      <c r="I3" s="3246"/>
      <c r="J3" s="3246"/>
      <c r="K3" s="3246"/>
      <c r="L3" s="3246"/>
      <c r="M3" s="3246"/>
      <c r="N3" s="3246"/>
    </row>
    <row r="4" spans="1:14" ht="14.25">
      <c r="A4" s="3251" t="s">
        <v>2914</v>
      </c>
      <c r="B4" s="3256" t="e">
        <f ca="1">ROUND(B2*10000/E4,0)</f>
        <v>#DIV/0!</v>
      </c>
      <c r="C4" s="3251" t="s">
        <v>2067</v>
      </c>
      <c r="D4" s="3251" t="s">
        <v>2915</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2912</v>
      </c>
      <c r="B6" s="3251" t="s">
        <v>2909</v>
      </c>
      <c r="C6" s="2791"/>
      <c r="D6" s="3248"/>
      <c r="E6" s="3251" t="s">
        <v>2910</v>
      </c>
      <c r="F6" s="3251" t="s">
        <v>2913</v>
      </c>
      <c r="G6" s="3246"/>
      <c r="H6" s="3246"/>
      <c r="I6" s="3246"/>
      <c r="J6" s="3246"/>
      <c r="K6" s="3246"/>
      <c r="L6" s="3246"/>
      <c r="M6" s="3246"/>
      <c r="N6" s="3246"/>
    </row>
    <row r="7" spans="1:14" ht="14.25">
      <c r="A7" s="3254"/>
      <c r="B7" s="3256" t="e">
        <f ca="1">SUMIF(INDIRECT("'"&amp;A7&amp;"'"&amp;"!A:A"),"总价",INDIRECT("'"&amp;A7&amp;"'"&amp;"!B:B"))</f>
        <v>#REF!</v>
      </c>
      <c r="C7" s="3251" t="s">
        <v>2907</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2907</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2907</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2907</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2907</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2907</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2907</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2907</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E49" sqref="E49"/>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-2</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59" t="s">
        <v>2444</v>
      </c>
      <c r="C8" s="1741">
        <f ca="1">ROUND(F8*F10*F9*(1-F11)/10000,0)</f>
        <v>0</v>
      </c>
      <c r="D8" s="1738" t="s">
        <v>2515</v>
      </c>
      <c r="E8" s="61" t="s">
        <v>631</v>
      </c>
      <c r="F8" s="775">
        <f ca="1">INDIRECT("'数据-取费表'!u"&amp;$G$1)</f>
        <v>0</v>
      </c>
      <c r="G8" s="1527"/>
      <c r="H8" s="2358" t="s">
        <v>1815</v>
      </c>
      <c r="I8" s="3559" t="s">
        <v>2444</v>
      </c>
      <c r="J8" s="773">
        <f ca="1">ROUND(M8*M10*M9*(1-M11)/10000,0)</f>
        <v>0</v>
      </c>
      <c r="K8" s="339" t="s">
        <v>2515</v>
      </c>
      <c r="L8" s="774" t="s">
        <v>1729</v>
      </c>
      <c r="M8" s="775">
        <f ca="1">INDIRECT("'数据-取费表'!z"&amp;$G$1)</f>
        <v>0</v>
      </c>
    </row>
    <row r="9" spans="1:25" ht="18" customHeight="1">
      <c r="A9" s="2354"/>
      <c r="B9" s="3560"/>
      <c r="C9" s="1742"/>
      <c r="D9" s="1739"/>
      <c r="E9" s="61" t="s">
        <v>632</v>
      </c>
      <c r="F9" s="775">
        <f ca="1">IF(INDIRECT("'数据-取费表'!ah"&amp;$G$1)="",INDIRECT("'数据-取费表'!k"&amp;$G$1),INDIRECT("'数据-取费表'!ah"&amp;$G$1))</f>
        <v>0</v>
      </c>
      <c r="G9" s="1527"/>
      <c r="H9" s="2343"/>
      <c r="I9" s="3560"/>
      <c r="J9" s="778"/>
      <c r="K9" s="779"/>
      <c r="L9" s="774" t="s">
        <v>1730</v>
      </c>
      <c r="M9" s="775">
        <f ca="1">F9</f>
        <v>0</v>
      </c>
    </row>
    <row r="10" spans="1:25" ht="18" customHeight="1">
      <c r="A10" s="2347"/>
      <c r="B10" s="3561"/>
      <c r="C10" s="1742"/>
      <c r="D10" s="1739"/>
      <c r="E10" s="61" t="s">
        <v>633</v>
      </c>
      <c r="F10" s="775">
        <f ca="1">INDIRECT("'数据-取费表'!ai"&amp;$G$1)</f>
        <v>0</v>
      </c>
      <c r="G10" s="1527"/>
      <c r="H10" s="2343"/>
      <c r="I10" s="3561"/>
      <c r="J10" s="778"/>
      <c r="K10" s="779"/>
      <c r="L10" s="774" t="s">
        <v>1731</v>
      </c>
      <c r="M10" s="775">
        <f ca="1">INDIRECT("'数据-取费表'!ai"&amp;$G$1)</f>
        <v>0</v>
      </c>
    </row>
    <row r="11" spans="1:25" ht="18" customHeight="1">
      <c r="A11" s="776"/>
      <c r="B11" s="3562"/>
      <c r="C11" s="1742"/>
      <c r="D11" s="1739"/>
      <c r="E11" s="61" t="s">
        <v>634</v>
      </c>
      <c r="F11" s="784">
        <f ca="1">INDIRECT("'数据-取费表'!w"&amp;$G$1)</f>
        <v>0</v>
      </c>
      <c r="G11" s="1527"/>
      <c r="H11" s="2359"/>
      <c r="I11" s="3561"/>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2933</v>
      </c>
      <c r="E12" s="2352" t="s">
        <v>2445</v>
      </c>
      <c r="F12" s="2466"/>
      <c r="G12" s="1527"/>
      <c r="H12" s="2415" t="s">
        <v>1816</v>
      </c>
      <c r="I12" s="2420" t="s">
        <v>2440</v>
      </c>
      <c r="J12" s="773">
        <f ca="1">ROUND(IF(M12="押一",J8/12*M13,IF(M12="押二",J8/12*2*M13,IF(M12="押三",J8/12*3*M13,J13*M13))),0)</f>
        <v>0</v>
      </c>
      <c r="K12" s="2355" t="s">
        <v>2933</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0.02</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5.6500000000000002E-2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0.03</v>
      </c>
      <c r="G22" s="1528"/>
      <c r="H22" s="1748" t="s">
        <v>1841</v>
      </c>
      <c r="I22" s="1738" t="s">
        <v>662</v>
      </c>
      <c r="J22" s="54">
        <f ca="1">ROUND(M22*M23/10000,0)</f>
        <v>0</v>
      </c>
      <c r="K22" s="803" t="s">
        <v>663</v>
      </c>
      <c r="L22" s="774" t="s">
        <v>664</v>
      </c>
      <c r="M22" s="632">
        <f>'数据-取费表'!B52</f>
        <v>6</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0.03</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1.2999999999999999E-3</v>
      </c>
      <c r="D26" s="2424" t="str">
        <f>IF(F25&lt;=1,"销售费用×利率×(建设周期÷2)","销售费用×((1+利率)^(建设周期÷2)-1)")</f>
        <v>销售费用×((1+利率)^(建设周期÷2)-1)</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2801</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5.3800000000000001E-2</v>
      </c>
      <c r="D30" s="801" t="s">
        <v>703</v>
      </c>
      <c r="E30" s="774" t="s">
        <v>643</v>
      </c>
      <c r="F30" s="799">
        <f>'数据-取费表'!B41</f>
        <v>5.6500000000000002E-2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6"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7" t="s">
        <v>2990</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5.6500000000000002E-2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6</v>
      </c>
      <c r="G36" s="1946"/>
      <c r="H36" s="1949"/>
      <c r="I36" s="3558"/>
      <c r="J36" s="1963"/>
      <c r="K36" s="1964"/>
      <c r="L36" s="1963"/>
      <c r="M36" s="1963"/>
    </row>
    <row r="37" spans="1:18" ht="18" customHeight="1">
      <c r="A37" s="804"/>
      <c r="B37" s="783"/>
      <c r="C37" s="69"/>
      <c r="D37" s="805"/>
      <c r="E37" s="774" t="s">
        <v>668</v>
      </c>
      <c r="F37" s="775">
        <f ca="1">INDIRECT("'数据-取费表'!r"&amp;$G$1)</f>
        <v>0</v>
      </c>
      <c r="G37" s="1946"/>
      <c r="H37" s="1949"/>
      <c r="I37" s="3558"/>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2922</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2925</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2937</v>
      </c>
      <c r="J54" s="2859">
        <f ca="1">IF(M48="住宅",MAX(J52,L49-'数据-取费表'!B20),MIN(J52,L49-'数据-取费表'!B20))</f>
        <v>-2</v>
      </c>
      <c r="K54" s="3563"/>
      <c r="L54" s="3564"/>
      <c r="O54" s="2257" t="s">
        <v>2373</v>
      </c>
      <c r="P54" s="2255" t="s">
        <v>2374</v>
      </c>
      <c r="Q54" s="2256">
        <f ca="1">J54</f>
        <v>-2</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2905</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昆仑信托有限责任公司：</v>
      </c>
    </row>
    <row r="4" spans="1:4" ht="37.5">
      <c r="A4" s="1707" t="str">
        <f>"受贵公司委托，我公司对"&amp;项目基本情况!K2&amp;项目基本情况!B9&amp;"进行了预评估。"</f>
        <v>受贵公司委托，我公司对山东省潍坊市青州市弥河流域二宗住宅用地出让国有建设用地使用权抵押价格进行了预评估。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州市城市建设投资开发有限公司使用的、位于山东省潍坊市青州市弥河流域二宗住宅用地出让国有建设用地使用权。根据《国有土地使用证》[]，估价对象（分摊）出让国有建设用地使用权面积为248287.39平方米。根据《建设工程规划许可证》[]、《出让合同》[]，估价对象规划建筑面积为494091.91平方米。</v>
      </c>
    </row>
    <row r="7" spans="1:4" ht="56.25">
      <c r="A7" s="1711" t="s">
        <v>2727</v>
      </c>
    </row>
    <row r="8" spans="1:4" ht="18.75">
      <c r="A8" s="1710" t="s">
        <v>1897</v>
      </c>
    </row>
    <row r="9" spans="1:4" ht="93.75">
      <c r="A9" s="1712" t="str">
        <f>IF(项目基本情况!B8="抵押",IF(项目基本情况!B5=项目基本情况!B6,定义!C51,定义!B51),定义!D51)</f>
        <v>潍坊水务投资有限责任公司拟使用山东省潍坊市青州市弥河流域二宗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2021年3月18日（评估专业人员勘察现场之日）</v>
      </c>
    </row>
    <row r="12" spans="1:4" ht="18.75">
      <c r="A12" s="1713" t="s">
        <v>2014</v>
      </c>
    </row>
    <row r="13" spans="1:4" ht="18.75">
      <c r="A13" s="1707" t="s">
        <v>2904</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根据《国有土地使用证》[]，估价对象（分摊）出让国有建设用地使用权面积为248287.39平方米。根据《建设工程规划许可证》[]、《出让合同》[]，估价对象规划建筑面积为494091.91平方米。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本次估价对象为出让国有建设用地使用权，《国有土地使用证》[]证载土地终止日期为住宅2078年12月19日、商业2048年12月19日。截至估价期日，出让国有建设用地使用权剩余土地使用年限为。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93.75">
      <c r="A25" s="1707" t="str">
        <f>定义!C53</f>
        <v>本次估价的“出让国有建设用地使用权价格”是指在估价对象土地所有权为国家所有，使用权性质为出让，在公开市场条件下、于估价期日2021年3月18日，在规划利用条件下、设定土地开发程度为红线外“七通”、宗地内场地平整，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IF(项目基本情况!B9="市场价格","——",IF(项目基本情况!E9="——","",定义!C57))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C48" sqref="C48"/>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t="s">
        <v>914</v>
      </c>
      <c r="E1" s="2010"/>
      <c r="F1" s="2525" t="s">
        <v>3185</v>
      </c>
      <c r="G1" s="1532" t="s">
        <v>715</v>
      </c>
      <c r="H1" s="500"/>
      <c r="I1" s="500"/>
      <c r="J1" s="500"/>
      <c r="K1" s="501"/>
      <c r="L1" s="3209"/>
      <c r="M1" s="3210"/>
      <c r="N1" s="3210"/>
      <c r="O1" s="3210"/>
      <c r="P1" s="1500"/>
      <c r="Q1" s="1500"/>
      <c r="R1" s="1500"/>
      <c r="S1" s="1500"/>
      <c r="T1" s="1500"/>
      <c r="U1" s="1500"/>
      <c r="V1" s="1500"/>
      <c r="W1" s="1500"/>
      <c r="X1" s="1500"/>
      <c r="Y1" s="1500"/>
      <c r="Z1" s="1500"/>
      <c r="AA1" s="1500"/>
      <c r="AB1" s="1500"/>
      <c r="AC1" s="1501"/>
    </row>
    <row r="2" spans="1:29" s="1315" customFormat="1" ht="28.5" customHeight="1">
      <c r="A2" s="417" t="s">
        <v>461</v>
      </c>
      <c r="B2" s="2467">
        <f>ROUND(B3*D3/10000,0)</f>
        <v>329609</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f>C49</f>
        <v>6671</v>
      </c>
      <c r="C3" s="841" t="s">
        <v>716</v>
      </c>
      <c r="D3" s="840">
        <f>SUMIF('数据-汇总表'!$C19:$C33,D1,'数据-汇总表'!$E19:$E33)</f>
        <v>494091.91</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9" t="s">
        <v>516</v>
      </c>
      <c r="D4" s="3490"/>
      <c r="E4" s="3515" t="s">
        <v>517</v>
      </c>
      <c r="F4" s="3516"/>
      <c r="G4" s="3489" t="s">
        <v>518</v>
      </c>
      <c r="H4" s="3490"/>
      <c r="I4" s="3489" t="s">
        <v>519</v>
      </c>
      <c r="J4" s="3490"/>
      <c r="K4" s="842" t="s">
        <v>520</v>
      </c>
      <c r="L4" s="2016"/>
      <c r="M4" s="2017"/>
      <c r="N4" s="2017"/>
      <c r="O4" s="2017"/>
      <c r="P4" s="3491" t="s">
        <v>521</v>
      </c>
      <c r="Q4" s="3492"/>
      <c r="R4" s="3477" t="s">
        <v>517</v>
      </c>
      <c r="S4" s="3478"/>
      <c r="T4" s="3477" t="s">
        <v>518</v>
      </c>
      <c r="U4" s="3478"/>
      <c r="V4" s="3497" t="s">
        <v>519</v>
      </c>
      <c r="W4" s="3497"/>
      <c r="X4" s="1502"/>
      <c r="Y4" s="3477" t="s">
        <v>521</v>
      </c>
      <c r="Z4" s="3478"/>
      <c r="AA4" s="3472" t="s">
        <v>517</v>
      </c>
      <c r="AB4" s="3472" t="s">
        <v>518</v>
      </c>
      <c r="AC4" s="3472" t="s">
        <v>519</v>
      </c>
    </row>
    <row r="5" spans="1:29" ht="32.25" customHeight="1">
      <c r="A5" s="509"/>
      <c r="B5" s="510"/>
      <c r="C5" s="3502" t="str">
        <f>项目基本情况!F10</f>
        <v>潍坊市青州市弥河流域二宗住宅用地</v>
      </c>
      <c r="D5" s="3501"/>
      <c r="E5" s="3565" t="s">
        <v>3179</v>
      </c>
      <c r="F5" s="3518"/>
      <c r="G5" s="3500" t="s">
        <v>3186</v>
      </c>
      <c r="H5" s="3501"/>
      <c r="I5" s="3566" t="s">
        <v>3198</v>
      </c>
      <c r="J5" s="3501"/>
      <c r="K5" s="843"/>
      <c r="L5" s="2016"/>
      <c r="M5" s="2017"/>
      <c r="N5" s="2017"/>
      <c r="O5" s="2017"/>
      <c r="P5" s="3493"/>
      <c r="Q5" s="3494"/>
      <c r="R5" s="3479"/>
      <c r="S5" s="3480"/>
      <c r="T5" s="3479"/>
      <c r="U5" s="3480"/>
      <c r="V5" s="3497"/>
      <c r="W5" s="3497"/>
      <c r="X5" s="1502"/>
      <c r="Y5" s="3479"/>
      <c r="Z5" s="3480"/>
      <c r="AA5" s="3473"/>
      <c r="AB5" s="3473"/>
      <c r="AC5" s="3473"/>
    </row>
    <row r="6" spans="1:29" ht="15.75" thickBot="1">
      <c r="A6" s="511"/>
      <c r="B6" s="512"/>
      <c r="C6" s="3498" t="s">
        <v>2896</v>
      </c>
      <c r="D6" s="3499"/>
      <c r="E6" s="3519" t="s">
        <v>2896</v>
      </c>
      <c r="F6" s="3520"/>
      <c r="G6" s="3498" t="s">
        <v>2896</v>
      </c>
      <c r="H6" s="3499"/>
      <c r="I6" s="3498" t="s">
        <v>2896</v>
      </c>
      <c r="J6" s="3499"/>
      <c r="K6" s="843" t="s">
        <v>522</v>
      </c>
      <c r="L6" s="2016"/>
      <c r="M6" s="2017"/>
      <c r="N6" s="2017"/>
      <c r="O6" s="2017"/>
      <c r="P6" s="3495"/>
      <c r="Q6" s="3496"/>
      <c r="R6" s="3479"/>
      <c r="S6" s="3480"/>
      <c r="T6" s="3481"/>
      <c r="U6" s="3482"/>
      <c r="V6" s="3497"/>
      <c r="W6" s="3497"/>
      <c r="X6" s="1502"/>
      <c r="Y6" s="3481"/>
      <c r="Z6" s="3482"/>
      <c r="AA6" s="3474"/>
      <c r="AB6" s="3474"/>
      <c r="AC6" s="3474"/>
    </row>
    <row r="7" spans="1:29" s="1203" customFormat="1" ht="15.75" thickBot="1">
      <c r="A7" s="2630"/>
      <c r="B7" s="2637" t="s">
        <v>523</v>
      </c>
      <c r="C7" s="513">
        <f>'数据-取费表'!B2</f>
        <v>44273</v>
      </c>
      <c r="D7" s="514">
        <v>100</v>
      </c>
      <c r="E7" s="515">
        <v>44166</v>
      </c>
      <c r="F7" s="516">
        <f>SUMIF(58:58,YEAR(E7)&amp;"-"&amp;MONTH(E7),59:59)</f>
        <v>99.5</v>
      </c>
      <c r="G7" s="517">
        <v>44056</v>
      </c>
      <c r="H7" s="514">
        <f>SUMIF(58:58,YEAR(G7)&amp;"-"&amp;MONTH(G7),59:59)</f>
        <v>99</v>
      </c>
      <c r="I7" s="517">
        <v>44056</v>
      </c>
      <c r="J7" s="514">
        <f>SUMIF(58:58,YEAR(I7)&amp;"-"&amp;MONTH(I7),59:59)</f>
        <v>99</v>
      </c>
      <c r="K7" s="844"/>
      <c r="L7" s="2018"/>
      <c r="M7" s="2019"/>
      <c r="N7" s="2019"/>
      <c r="O7" s="2019"/>
      <c r="P7" s="3475" t="s">
        <v>524</v>
      </c>
      <c r="Q7" s="3484"/>
      <c r="R7" s="1503" t="s">
        <v>13</v>
      </c>
      <c r="S7" s="1504">
        <f t="shared" ref="S7:S15" si="0">F7</f>
        <v>99.5</v>
      </c>
      <c r="T7" s="1503" t="s">
        <v>13</v>
      </c>
      <c r="U7" s="1504">
        <f t="shared" ref="U7:U15" si="1">H7</f>
        <v>99</v>
      </c>
      <c r="V7" s="1503" t="s">
        <v>13</v>
      </c>
      <c r="W7" s="1504">
        <f t="shared" ref="W7:W15" si="2">J7</f>
        <v>99</v>
      </c>
      <c r="X7" s="1505"/>
      <c r="Y7" s="3475" t="s">
        <v>524</v>
      </c>
      <c r="Z7" s="3476"/>
      <c r="AA7" s="1506">
        <f>D7/F7</f>
        <v>1.0050251256281406</v>
      </c>
      <c r="AB7" s="1506">
        <f>D7/H7</f>
        <v>1.0101010101010102</v>
      </c>
      <c r="AC7" s="1506">
        <f>D7/J7</f>
        <v>1.0101010101010102</v>
      </c>
    </row>
    <row r="8" spans="1:29" s="1203" customFormat="1" ht="15.75" thickBot="1">
      <c r="A8" s="2631"/>
      <c r="B8" s="2638" t="s">
        <v>525</v>
      </c>
      <c r="C8" s="519" t="s">
        <v>570</v>
      </c>
      <c r="D8" s="514">
        <v>100</v>
      </c>
      <c r="E8" s="845" t="s">
        <v>3180</v>
      </c>
      <c r="F8" s="516">
        <f>SUMIF(61:61,E8,62:62)-SUMIF(61:61,C8,62:62)+100</f>
        <v>100</v>
      </c>
      <c r="G8" s="845" t="s">
        <v>3180</v>
      </c>
      <c r="H8" s="514">
        <f>SUMIF(61:61,G8,62:62)-SUMIF(61:61,C8,62:62)+100</f>
        <v>100</v>
      </c>
      <c r="I8" s="845" t="s">
        <v>3180</v>
      </c>
      <c r="J8" s="514">
        <f>SUMIF(61:61,I8,62:62)-SUMIF(61:61,C8,62:62)+100</f>
        <v>100</v>
      </c>
      <c r="K8" s="844"/>
      <c r="L8" s="2018"/>
      <c r="M8" s="2019"/>
      <c r="N8" s="2019"/>
      <c r="O8" s="2019"/>
      <c r="P8" s="3475" t="s">
        <v>527</v>
      </c>
      <c r="Q8" s="3476"/>
      <c r="R8" s="1503" t="s">
        <v>13</v>
      </c>
      <c r="S8" s="1504">
        <f t="shared" si="0"/>
        <v>100</v>
      </c>
      <c r="T8" s="1503" t="s">
        <v>13</v>
      </c>
      <c r="U8" s="1504">
        <f t="shared" si="1"/>
        <v>100</v>
      </c>
      <c r="V8" s="1503" t="s">
        <v>13</v>
      </c>
      <c r="W8" s="1504">
        <f t="shared" si="2"/>
        <v>100</v>
      </c>
      <c r="X8" s="1505"/>
      <c r="Y8" s="3475" t="s">
        <v>527</v>
      </c>
      <c r="Z8" s="3476"/>
      <c r="AA8" s="1506">
        <f t="shared" ref="AA8:AA46" si="3">D8/F8</f>
        <v>1</v>
      </c>
      <c r="AB8" s="1506">
        <f t="shared" ref="AB8:AB46" si="4">D8/H8</f>
        <v>1</v>
      </c>
      <c r="AC8" s="1506">
        <f t="shared" ref="AC8:AC46" si="5">D8/J8</f>
        <v>1</v>
      </c>
    </row>
    <row r="9" spans="1:29" s="1203" customFormat="1" ht="15">
      <c r="A9" s="2632"/>
      <c r="B9" s="2639" t="s">
        <v>2736</v>
      </c>
      <c r="C9" s="3288" t="s">
        <v>3181</v>
      </c>
      <c r="D9" s="252">
        <v>100</v>
      </c>
      <c r="E9" s="847" t="s">
        <v>914</v>
      </c>
      <c r="F9" s="848">
        <f>SUMIF(63:63,E9,64:64)-SUMIF(63:63,C9,64:64)+100</f>
        <v>100</v>
      </c>
      <c r="G9" s="847" t="s">
        <v>914</v>
      </c>
      <c r="H9" s="252">
        <f>SUMIF(63:63,G9,64:64)-SUMIF(63:63,C9,64:64)+100</f>
        <v>100</v>
      </c>
      <c r="I9" s="847" t="s">
        <v>914</v>
      </c>
      <c r="J9" s="252">
        <f>SUMIF(63:63,I9,64:64)-SUMIF(63:63,C9,64:64)+100</f>
        <v>100</v>
      </c>
      <c r="K9" s="844"/>
      <c r="L9" s="2018"/>
      <c r="M9" s="2019"/>
      <c r="N9" s="2019"/>
      <c r="O9" s="2020"/>
      <c r="P9" s="3483" t="s">
        <v>529</v>
      </c>
      <c r="Q9" s="1134" t="str">
        <f t="shared" ref="Q9:Q15" si="6">B9</f>
        <v>用途</v>
      </c>
      <c r="R9" s="1503" t="s">
        <v>8</v>
      </c>
      <c r="S9" s="1504">
        <f t="shared" si="0"/>
        <v>100</v>
      </c>
      <c r="T9" s="1503" t="s">
        <v>8</v>
      </c>
      <c r="U9" s="1504">
        <f t="shared" si="1"/>
        <v>100</v>
      </c>
      <c r="V9" s="1503" t="s">
        <v>8</v>
      </c>
      <c r="W9" s="1504">
        <f t="shared" si="2"/>
        <v>100</v>
      </c>
      <c r="X9" s="1505"/>
      <c r="Y9" s="3434" t="s">
        <v>530</v>
      </c>
      <c r="Z9" s="1133" t="str">
        <f t="shared" ref="Z9:Z15" si="7">Q9</f>
        <v>用途</v>
      </c>
      <c r="AA9" s="1506">
        <f t="shared" si="3"/>
        <v>1</v>
      </c>
      <c r="AB9" s="1506">
        <f t="shared" si="4"/>
        <v>1</v>
      </c>
      <c r="AC9" s="1506">
        <f t="shared" si="5"/>
        <v>1</v>
      </c>
    </row>
    <row r="10" spans="1:29" s="1292" customFormat="1" ht="27">
      <c r="A10" s="2633"/>
      <c r="B10" s="2638" t="s">
        <v>2737</v>
      </c>
      <c r="C10" s="850" t="s">
        <v>3182</v>
      </c>
      <c r="D10" s="253">
        <v>100</v>
      </c>
      <c r="E10" s="851" t="s">
        <v>3183</v>
      </c>
      <c r="F10" s="852">
        <f>SUMIF(65:65,E10,66:66)-SUMIF(65:65,C10,66:66)+100</f>
        <v>102</v>
      </c>
      <c r="G10" s="851" t="s">
        <v>3183</v>
      </c>
      <c r="H10" s="253">
        <f>SUMIF(65:65,G10,66:66)-SUMIF(65:65,C10,66:66)+100</f>
        <v>102</v>
      </c>
      <c r="I10" s="851" t="s">
        <v>3183</v>
      </c>
      <c r="J10" s="253">
        <f>SUMIF(65:65,I10,66:66)-SUMIF(65:65,C10,66:66)+100</f>
        <v>102</v>
      </c>
      <c r="K10" s="853">
        <v>2</v>
      </c>
      <c r="L10" s="2021"/>
      <c r="M10" s="2060"/>
      <c r="N10" s="2060"/>
      <c r="O10" s="2022"/>
      <c r="P10" s="3483"/>
      <c r="Q10" s="1134" t="str">
        <f t="shared" si="6"/>
        <v>土地使用年限（年）</v>
      </c>
      <c r="R10" s="1503" t="s">
        <v>8</v>
      </c>
      <c r="S10" s="1504">
        <f t="shared" si="0"/>
        <v>102</v>
      </c>
      <c r="T10" s="1503" t="s">
        <v>8</v>
      </c>
      <c r="U10" s="1504">
        <f t="shared" si="1"/>
        <v>102</v>
      </c>
      <c r="V10" s="1503" t="s">
        <v>8</v>
      </c>
      <c r="W10" s="1504">
        <f t="shared" si="2"/>
        <v>102</v>
      </c>
      <c r="X10" s="1505"/>
      <c r="Y10" s="3434"/>
      <c r="Z10" s="1133" t="str">
        <f t="shared" si="7"/>
        <v>土地使用年限（年）</v>
      </c>
      <c r="AA10" s="1506">
        <f t="shared" si="3"/>
        <v>0.98039215686274506</v>
      </c>
      <c r="AB10" s="1506">
        <f t="shared" si="4"/>
        <v>0.98039215686274506</v>
      </c>
      <c r="AC10" s="1506">
        <f t="shared" si="5"/>
        <v>0.98039215686274506</v>
      </c>
    </row>
    <row r="11" spans="1:29" ht="15.75" thickBot="1">
      <c r="A11" s="2634"/>
      <c r="B11" s="2638" t="s">
        <v>2738</v>
      </c>
      <c r="C11" s="527"/>
      <c r="D11" s="253">
        <v>100</v>
      </c>
      <c r="E11" s="528"/>
      <c r="F11" s="852">
        <f>LOOKUP(E11,68:68,69:69)-LOOKUP(C11,68:68,69:69)+100</f>
        <v>100</v>
      </c>
      <c r="G11" s="528"/>
      <c r="H11" s="253">
        <f>LOOKUP(G11,68:68,69:69)-LOOKUP(C11,68:68,69:69)+100</f>
        <v>100</v>
      </c>
      <c r="I11" s="528"/>
      <c r="J11" s="253">
        <f>LOOKUP(I11,68:68,69:69)-LOOKUP(C11,68:68,69:69)+100</f>
        <v>100</v>
      </c>
      <c r="K11" s="853"/>
      <c r="L11" s="2023"/>
      <c r="M11" s="2017"/>
      <c r="N11" s="2017"/>
      <c r="O11" s="2024"/>
      <c r="P11" s="3483"/>
      <c r="Q11" s="1134" t="str">
        <f t="shared" si="6"/>
        <v>容积率</v>
      </c>
      <c r="R11" s="1503" t="s">
        <v>11</v>
      </c>
      <c r="S11" s="1504">
        <f t="shared" si="0"/>
        <v>100</v>
      </c>
      <c r="T11" s="1503" t="s">
        <v>11</v>
      </c>
      <c r="U11" s="1504">
        <f t="shared" si="1"/>
        <v>100</v>
      </c>
      <c r="V11" s="1503" t="s">
        <v>11</v>
      </c>
      <c r="W11" s="1504">
        <f t="shared" si="2"/>
        <v>100</v>
      </c>
      <c r="X11" s="1505"/>
      <c r="Y11" s="3434"/>
      <c r="Z11" s="1133" t="str">
        <f t="shared" si="7"/>
        <v>容积率</v>
      </c>
      <c r="AA11" s="1506">
        <f t="shared" si="3"/>
        <v>1</v>
      </c>
      <c r="AB11" s="1506">
        <f t="shared" si="4"/>
        <v>1</v>
      </c>
      <c r="AC11" s="1506">
        <f t="shared" si="5"/>
        <v>1</v>
      </c>
    </row>
    <row r="12" spans="1:29" s="1203" customFormat="1" ht="15" hidden="1">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83"/>
      <c r="Q12" s="1134">
        <f t="shared" si="6"/>
        <v>111</v>
      </c>
      <c r="R12" s="1503" t="s">
        <v>11</v>
      </c>
      <c r="S12" s="1504">
        <f t="shared" si="0"/>
        <v>100</v>
      </c>
      <c r="T12" s="1503" t="s">
        <v>11</v>
      </c>
      <c r="U12" s="1504">
        <f t="shared" si="1"/>
        <v>100</v>
      </c>
      <c r="V12" s="1503" t="s">
        <v>11</v>
      </c>
      <c r="W12" s="1504">
        <f t="shared" si="2"/>
        <v>100</v>
      </c>
      <c r="X12" s="1505"/>
      <c r="Y12" s="3434"/>
      <c r="Z12" s="1133">
        <f t="shared" si="7"/>
        <v>111</v>
      </c>
      <c r="AA12" s="1506">
        <f>D12/F12</f>
        <v>1</v>
      </c>
      <c r="AB12" s="1506">
        <f>D12/H12</f>
        <v>1</v>
      </c>
      <c r="AC12" s="1506">
        <f>D12/J12</f>
        <v>1</v>
      </c>
    </row>
    <row r="13" spans="1:29" ht="15" hidden="1">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83"/>
      <c r="Q13" s="1134">
        <f t="shared" si="6"/>
        <v>111</v>
      </c>
      <c r="R13" s="1503" t="s">
        <v>11</v>
      </c>
      <c r="S13" s="1504">
        <f t="shared" si="0"/>
        <v>100</v>
      </c>
      <c r="T13" s="1503" t="s">
        <v>11</v>
      </c>
      <c r="U13" s="1504">
        <f t="shared" si="1"/>
        <v>100</v>
      </c>
      <c r="V13" s="1503" t="s">
        <v>11</v>
      </c>
      <c r="W13" s="1504">
        <f t="shared" si="2"/>
        <v>100</v>
      </c>
      <c r="X13" s="1505"/>
      <c r="Y13" s="3434"/>
      <c r="Z13" s="1133">
        <f t="shared" si="7"/>
        <v>111</v>
      </c>
      <c r="AA13" s="1506">
        <f t="shared" si="3"/>
        <v>1</v>
      </c>
      <c r="AB13" s="1506">
        <f t="shared" si="4"/>
        <v>1</v>
      </c>
      <c r="AC13" s="1506">
        <f t="shared" si="5"/>
        <v>1</v>
      </c>
    </row>
    <row r="14" spans="1:29" ht="15.75" hidden="1"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83"/>
      <c r="Q14" s="1134">
        <f t="shared" si="6"/>
        <v>111</v>
      </c>
      <c r="R14" s="1503" t="s">
        <v>11</v>
      </c>
      <c r="S14" s="1504">
        <f t="shared" si="0"/>
        <v>100</v>
      </c>
      <c r="T14" s="1503" t="s">
        <v>11</v>
      </c>
      <c r="U14" s="1504">
        <f t="shared" si="1"/>
        <v>100</v>
      </c>
      <c r="V14" s="1503" t="s">
        <v>11</v>
      </c>
      <c r="W14" s="1504">
        <f t="shared" si="2"/>
        <v>100</v>
      </c>
      <c r="X14" s="1505"/>
      <c r="Y14" s="3434"/>
      <c r="Z14" s="1133">
        <f t="shared" si="7"/>
        <v>111</v>
      </c>
      <c r="AA14" s="1506">
        <f t="shared" si="3"/>
        <v>1</v>
      </c>
      <c r="AB14" s="1506">
        <f t="shared" si="4"/>
        <v>1</v>
      </c>
      <c r="AC14" s="1506">
        <f t="shared" si="5"/>
        <v>1</v>
      </c>
    </row>
    <row r="15" spans="1:29" ht="15">
      <c r="A15" s="2628" t="s">
        <v>2734</v>
      </c>
      <c r="B15" s="164" t="s">
        <v>295</v>
      </c>
      <c r="C15" s="856" t="str">
        <f>估价对象房地状况!C3</f>
        <v>较差</v>
      </c>
      <c r="D15" s="543">
        <v>100</v>
      </c>
      <c r="E15" s="3289" t="s">
        <v>3184</v>
      </c>
      <c r="F15" s="545">
        <f>SUMIF(76:76,E16,77:77)-SUMIF(76:76,C16,77:77)+100</f>
        <v>104</v>
      </c>
      <c r="G15" s="3292" t="s">
        <v>3193</v>
      </c>
      <c r="H15" s="543">
        <f>SUMIF(76:76,G16,77:77)-SUMIF(76:76,C16,77:77)+100</f>
        <v>102</v>
      </c>
      <c r="I15" s="3292" t="s">
        <v>3193</v>
      </c>
      <c r="J15" s="543">
        <f>SUMIF(76:76,I16,77:77)-SUMIF(76:76,C16,77:77)+100</f>
        <v>102</v>
      </c>
      <c r="K15" s="857">
        <v>2</v>
      </c>
      <c r="L15" s="2025"/>
      <c r="M15" s="2017"/>
      <c r="N15" s="2017"/>
      <c r="O15" s="2024"/>
      <c r="P15" s="3485" t="s">
        <v>534</v>
      </c>
      <c r="Q15" s="1507" t="str">
        <f t="shared" si="6"/>
        <v>居住社区成熟度</v>
      </c>
      <c r="R15" s="1508" t="s">
        <v>11</v>
      </c>
      <c r="S15" s="1509">
        <f t="shared" si="0"/>
        <v>104</v>
      </c>
      <c r="T15" s="1508" t="s">
        <v>11</v>
      </c>
      <c r="U15" s="1509">
        <f t="shared" si="1"/>
        <v>102</v>
      </c>
      <c r="V15" s="1508" t="s">
        <v>11</v>
      </c>
      <c r="W15" s="1509">
        <f t="shared" si="2"/>
        <v>102</v>
      </c>
      <c r="X15" s="1502"/>
      <c r="Y15" s="3485" t="s">
        <v>534</v>
      </c>
      <c r="Z15" s="1510" t="str">
        <f t="shared" si="7"/>
        <v>居住社区成熟度</v>
      </c>
      <c r="AA15" s="1511">
        <f t="shared" si="3"/>
        <v>0.96153846153846156</v>
      </c>
      <c r="AB15" s="1511">
        <f t="shared" si="4"/>
        <v>0.98039215686274506</v>
      </c>
      <c r="AC15" s="1511">
        <f t="shared" si="5"/>
        <v>0.98039215686274506</v>
      </c>
    </row>
    <row r="16" spans="1:29" ht="15.75" thickBot="1">
      <c r="A16" s="526"/>
      <c r="B16" s="858"/>
      <c r="C16" s="570" t="s">
        <v>3025</v>
      </c>
      <c r="D16" s="549"/>
      <c r="E16" s="550" t="s">
        <v>3032</v>
      </c>
      <c r="F16" s="551"/>
      <c r="G16" s="552" t="s">
        <v>3027</v>
      </c>
      <c r="H16" s="553"/>
      <c r="I16" s="550" t="s">
        <v>3027</v>
      </c>
      <c r="J16" s="549"/>
      <c r="K16" s="859"/>
      <c r="L16" s="2025"/>
      <c r="M16" s="2017"/>
      <c r="N16" s="2017"/>
      <c r="O16" s="2024"/>
      <c r="P16" s="3486"/>
      <c r="Q16" s="1507"/>
      <c r="R16" s="1508"/>
      <c r="S16" s="1509"/>
      <c r="T16" s="1508"/>
      <c r="U16" s="1509"/>
      <c r="V16" s="1508"/>
      <c r="W16" s="1509"/>
      <c r="X16" s="1502"/>
      <c r="Y16" s="3486"/>
      <c r="Z16" s="1510"/>
      <c r="AA16" s="1511">
        <v>1</v>
      </c>
      <c r="AB16" s="1511">
        <v>1</v>
      </c>
      <c r="AC16" s="1511">
        <v>1</v>
      </c>
    </row>
    <row r="17" spans="1:29" ht="15">
      <c r="A17" s="526"/>
      <c r="B17" s="860" t="s">
        <v>296</v>
      </c>
      <c r="C17" s="861" t="str">
        <f>估价对象房地状况!C6</f>
        <v>一般</v>
      </c>
      <c r="D17" s="553">
        <v>100</v>
      </c>
      <c r="E17" s="3289" t="s">
        <v>3184</v>
      </c>
      <c r="F17" s="557">
        <f>SUMIF(78:78,E18,79:79)-SUMIF(78:78,C18,79:79)+100</f>
        <v>102</v>
      </c>
      <c r="G17" s="3292" t="s">
        <v>3193</v>
      </c>
      <c r="H17" s="559">
        <f>SUMIF(78:78,G18,79:79)-SUMIF(78:78,C18,79:79)+100</f>
        <v>100</v>
      </c>
      <c r="I17" s="3292" t="s">
        <v>3193</v>
      </c>
      <c r="J17" s="559">
        <f>SUMIF(78:78,I18,79:79)-SUMIF(78:78,C18,79:79)+100</f>
        <v>100</v>
      </c>
      <c r="K17" s="857">
        <v>2</v>
      </c>
      <c r="L17" s="2025"/>
      <c r="M17" s="2017"/>
      <c r="N17" s="2017"/>
      <c r="O17" s="2024"/>
      <c r="P17" s="3486"/>
      <c r="Q17" s="1507" t="str">
        <f>B17</f>
        <v>交通便捷度</v>
      </c>
      <c r="R17" s="1508" t="s">
        <v>11</v>
      </c>
      <c r="S17" s="1509">
        <f>F17</f>
        <v>102</v>
      </c>
      <c r="T17" s="1508" t="s">
        <v>11</v>
      </c>
      <c r="U17" s="1509">
        <f>H17</f>
        <v>100</v>
      </c>
      <c r="V17" s="1508" t="s">
        <v>11</v>
      </c>
      <c r="W17" s="1509">
        <f>J17</f>
        <v>100</v>
      </c>
      <c r="X17" s="1502"/>
      <c r="Y17" s="3486"/>
      <c r="Z17" s="1510" t="str">
        <f>Q17</f>
        <v>交通便捷度</v>
      </c>
      <c r="AA17" s="1511">
        <f t="shared" si="3"/>
        <v>0.98039215686274506</v>
      </c>
      <c r="AB17" s="1511">
        <f t="shared" si="4"/>
        <v>1</v>
      </c>
      <c r="AC17" s="1511">
        <f t="shared" si="5"/>
        <v>1</v>
      </c>
    </row>
    <row r="18" spans="1:29" ht="15.75" thickBot="1">
      <c r="A18" s="526"/>
      <c r="B18" s="589"/>
      <c r="C18" s="862" t="s">
        <v>3027</v>
      </c>
      <c r="D18" s="553"/>
      <c r="E18" s="550" t="s">
        <v>3032</v>
      </c>
      <c r="F18" s="557"/>
      <c r="G18" s="563" t="s">
        <v>3027</v>
      </c>
      <c r="H18" s="549"/>
      <c r="I18" s="562" t="s">
        <v>3027</v>
      </c>
      <c r="J18" s="549"/>
      <c r="K18" s="859"/>
      <c r="L18" s="2025"/>
      <c r="M18" s="2017"/>
      <c r="N18" s="2017"/>
      <c r="O18" s="2024"/>
      <c r="P18" s="3486"/>
      <c r="Q18" s="1507"/>
      <c r="R18" s="1508"/>
      <c r="S18" s="1509"/>
      <c r="T18" s="1508"/>
      <c r="U18" s="1509"/>
      <c r="V18" s="1508"/>
      <c r="W18" s="1509"/>
      <c r="X18" s="1502"/>
      <c r="Y18" s="3486"/>
      <c r="Z18" s="1510"/>
      <c r="AA18" s="1511">
        <v>1</v>
      </c>
      <c r="AB18" s="1511">
        <v>1</v>
      </c>
      <c r="AC18" s="1511">
        <v>1</v>
      </c>
    </row>
    <row r="19" spans="1:29" ht="15">
      <c r="A19" s="526"/>
      <c r="B19" s="2445" t="s">
        <v>2527</v>
      </c>
      <c r="C19" s="861" t="str">
        <f>估价对象房地状况!C7</f>
        <v>较差</v>
      </c>
      <c r="D19" s="559">
        <v>100</v>
      </c>
      <c r="E19" s="3289" t="s">
        <v>3184</v>
      </c>
      <c r="F19" s="565">
        <f>SUMIF(80:80,E20,81:81)-SUMIF(80:80,C20,81:81)+100</f>
        <v>104</v>
      </c>
      <c r="G19" s="3292" t="s">
        <v>3193</v>
      </c>
      <c r="H19" s="553">
        <f>SUMIF(80:80,G20,81:81)-SUMIF(80:80,C20,81:81)+100</f>
        <v>102</v>
      </c>
      <c r="I19" s="3292" t="s">
        <v>3193</v>
      </c>
      <c r="J19" s="553">
        <f>SUMIF(80:80,I20,81:81)-SUMIF(80:80,C20,81:81)+100</f>
        <v>102</v>
      </c>
      <c r="K19" s="857">
        <v>2</v>
      </c>
      <c r="L19" s="2025"/>
      <c r="M19" s="2017"/>
      <c r="N19" s="2017"/>
      <c r="O19" s="2024"/>
      <c r="P19" s="3486"/>
      <c r="Q19" s="1507" t="str">
        <f>B19</f>
        <v>公共配套设施</v>
      </c>
      <c r="R19" s="1508" t="s">
        <v>11</v>
      </c>
      <c r="S19" s="1509">
        <f>F19</f>
        <v>104</v>
      </c>
      <c r="T19" s="1508" t="s">
        <v>11</v>
      </c>
      <c r="U19" s="1509">
        <f>H19</f>
        <v>102</v>
      </c>
      <c r="V19" s="1508" t="s">
        <v>11</v>
      </c>
      <c r="W19" s="1509">
        <f>J19</f>
        <v>102</v>
      </c>
      <c r="X19" s="1502"/>
      <c r="Y19" s="3486"/>
      <c r="Z19" s="1510" t="str">
        <f>Q19</f>
        <v>公共配套设施</v>
      </c>
      <c r="AA19" s="1511">
        <f t="shared" si="3"/>
        <v>0.96153846153846156</v>
      </c>
      <c r="AB19" s="1511">
        <f t="shared" si="4"/>
        <v>0.98039215686274506</v>
      </c>
      <c r="AC19" s="1511">
        <f t="shared" si="5"/>
        <v>0.98039215686274506</v>
      </c>
    </row>
    <row r="20" spans="1:29" ht="15">
      <c r="A20" s="526"/>
      <c r="B20" s="589"/>
      <c r="C20" s="570" t="s">
        <v>3025</v>
      </c>
      <c r="D20" s="549"/>
      <c r="E20" s="550" t="s">
        <v>3032</v>
      </c>
      <c r="F20" s="551"/>
      <c r="G20" s="552" t="s">
        <v>3027</v>
      </c>
      <c r="H20" s="549"/>
      <c r="I20" s="550" t="s">
        <v>3027</v>
      </c>
      <c r="J20" s="549"/>
      <c r="K20" s="859"/>
      <c r="L20" s="2025"/>
      <c r="M20" s="2017"/>
      <c r="N20" s="2017"/>
      <c r="O20" s="2024"/>
      <c r="P20" s="3486"/>
      <c r="Q20" s="1507"/>
      <c r="R20" s="1508"/>
      <c r="S20" s="1509"/>
      <c r="T20" s="1508"/>
      <c r="U20" s="1509"/>
      <c r="V20" s="1508"/>
      <c r="W20" s="1509"/>
      <c r="X20" s="1502"/>
      <c r="Y20" s="3486"/>
      <c r="Z20" s="1510"/>
      <c r="AA20" s="1511">
        <v>1</v>
      </c>
      <c r="AB20" s="1511">
        <v>1</v>
      </c>
      <c r="AC20" s="1511">
        <v>1</v>
      </c>
    </row>
    <row r="21" spans="1:29" ht="15">
      <c r="A21" s="526"/>
      <c r="B21" s="2438" t="s">
        <v>2539</v>
      </c>
      <c r="C21" s="861" t="str">
        <f>估价对象房地状况!C8</f>
        <v>七通</v>
      </c>
      <c r="D21" s="559">
        <v>100</v>
      </c>
      <c r="E21" s="566" t="s">
        <v>3030</v>
      </c>
      <c r="F21" s="565">
        <f>SUMIF(82:82,E22,83:83)-SUMIF(82:82,C22,83:83)+100</f>
        <v>100</v>
      </c>
      <c r="G21" s="566" t="s">
        <v>3030</v>
      </c>
      <c r="H21" s="559">
        <f>SUMIF(82:82,G22,83:83)-SUMIF(82:82,C22,83:83)+100</f>
        <v>100</v>
      </c>
      <c r="I21" s="566" t="s">
        <v>3030</v>
      </c>
      <c r="J21" s="559">
        <f>SUMIF(82:82,I22,83:83)-SUMIF(82:82,C22,83:83)+100</f>
        <v>100</v>
      </c>
      <c r="K21" s="857">
        <v>1</v>
      </c>
      <c r="L21" s="2025"/>
      <c r="M21" s="2017"/>
      <c r="N21" s="2017"/>
      <c r="O21" s="2024"/>
      <c r="P21" s="3486"/>
      <c r="Q21" s="2430" t="str">
        <f>B21</f>
        <v>基础设施水平</v>
      </c>
      <c r="R21" s="1508" t="s">
        <v>11</v>
      </c>
      <c r="S21" s="1509">
        <f>F21</f>
        <v>100</v>
      </c>
      <c r="T21" s="1508" t="s">
        <v>11</v>
      </c>
      <c r="U21" s="1509">
        <f>H21</f>
        <v>100</v>
      </c>
      <c r="V21" s="1508" t="s">
        <v>11</v>
      </c>
      <c r="W21" s="1509">
        <f>J21</f>
        <v>100</v>
      </c>
      <c r="X21" s="2432"/>
      <c r="Y21" s="3486"/>
      <c r="Z21" s="2431" t="str">
        <f>Q21</f>
        <v>基础设施水平</v>
      </c>
      <c r="AA21" s="1511">
        <f t="shared" ref="AA21" si="8">D21/F21</f>
        <v>1</v>
      </c>
      <c r="AB21" s="1511">
        <f t="shared" ref="AB21" si="9">D21/H21</f>
        <v>1</v>
      </c>
      <c r="AC21" s="1511">
        <f t="shared" ref="AC21" si="10">D21/J21</f>
        <v>1</v>
      </c>
    </row>
    <row r="22" spans="1:29" ht="15.75" thickBot="1">
      <c r="A22" s="526"/>
      <c r="B22" s="911"/>
      <c r="C22" s="862" t="s">
        <v>3030</v>
      </c>
      <c r="D22" s="549"/>
      <c r="E22" s="570" t="s">
        <v>3030</v>
      </c>
      <c r="F22" s="551"/>
      <c r="G22" s="570" t="s">
        <v>3030</v>
      </c>
      <c r="H22" s="549"/>
      <c r="I22" s="570" t="s">
        <v>3030</v>
      </c>
      <c r="J22" s="549"/>
      <c r="K22" s="2444"/>
      <c r="L22" s="2025"/>
      <c r="M22" s="2017"/>
      <c r="N22" s="2017"/>
      <c r="O22" s="2024"/>
      <c r="P22" s="3486"/>
      <c r="Q22" s="2430"/>
      <c r="R22" s="1508"/>
      <c r="S22" s="1509"/>
      <c r="T22" s="1508"/>
      <c r="U22" s="1509"/>
      <c r="V22" s="1508"/>
      <c r="W22" s="1509"/>
      <c r="X22" s="2432"/>
      <c r="Y22" s="3486"/>
      <c r="Z22" s="2431"/>
      <c r="AA22" s="1511">
        <v>1</v>
      </c>
      <c r="AB22" s="1511">
        <v>1</v>
      </c>
      <c r="AC22" s="1511">
        <v>1</v>
      </c>
    </row>
    <row r="23" spans="1:29" ht="15">
      <c r="A23" s="526"/>
      <c r="B23" s="860" t="s">
        <v>297</v>
      </c>
      <c r="C23" s="861" t="str">
        <f>估价对象房地状况!C9</f>
        <v>较好</v>
      </c>
      <c r="D23" s="553">
        <v>100</v>
      </c>
      <c r="E23" s="3289" t="s">
        <v>3184</v>
      </c>
      <c r="F23" s="557">
        <f>SUMIF(84:84,E24,85:85)-SUMIF(84:84,C24,85:85)+100</f>
        <v>100</v>
      </c>
      <c r="G23" s="3289" t="s">
        <v>3184</v>
      </c>
      <c r="H23" s="553">
        <f>SUMIF(84:84,G24,85:85)-SUMIF(84:84,C24,85:85)+100</f>
        <v>100</v>
      </c>
      <c r="I23" s="3289" t="s">
        <v>3184</v>
      </c>
      <c r="J23" s="553">
        <f>SUMIF(84:84,I24,85:85)-SUMIF(84:84,C24,85:85)+100</f>
        <v>100</v>
      </c>
      <c r="K23" s="857">
        <v>2</v>
      </c>
      <c r="L23" s="2025"/>
      <c r="M23" s="2017"/>
      <c r="N23" s="2017"/>
      <c r="O23" s="2024"/>
      <c r="P23" s="3486"/>
      <c r="Q23" s="1507" t="str">
        <f>B23</f>
        <v>自然及人文环境</v>
      </c>
      <c r="R23" s="1508" t="s">
        <v>11</v>
      </c>
      <c r="S23" s="1509">
        <f>F23</f>
        <v>100</v>
      </c>
      <c r="T23" s="1508" t="s">
        <v>11</v>
      </c>
      <c r="U23" s="1509">
        <f>H23</f>
        <v>100</v>
      </c>
      <c r="V23" s="1508" t="s">
        <v>11</v>
      </c>
      <c r="W23" s="1509">
        <f>J23</f>
        <v>100</v>
      </c>
      <c r="X23" s="1502"/>
      <c r="Y23" s="3486"/>
      <c r="Z23" s="1510" t="str">
        <f>Q23</f>
        <v>自然及人文环境</v>
      </c>
      <c r="AA23" s="1511">
        <f t="shared" si="3"/>
        <v>1</v>
      </c>
      <c r="AB23" s="1511">
        <f t="shared" si="4"/>
        <v>1</v>
      </c>
      <c r="AC23" s="1511">
        <f t="shared" si="5"/>
        <v>1</v>
      </c>
    </row>
    <row r="24" spans="1:29" ht="15.75" thickBot="1">
      <c r="A24" s="526"/>
      <c r="B24" s="589"/>
      <c r="C24" s="570" t="s">
        <v>3032</v>
      </c>
      <c r="D24" s="549"/>
      <c r="E24" s="550" t="s">
        <v>3032</v>
      </c>
      <c r="F24" s="551"/>
      <c r="G24" s="552" t="s">
        <v>3032</v>
      </c>
      <c r="H24" s="549"/>
      <c r="I24" s="550" t="s">
        <v>3032</v>
      </c>
      <c r="J24" s="549"/>
      <c r="K24" s="859"/>
      <c r="L24" s="2025"/>
      <c r="M24" s="2017"/>
      <c r="N24" s="2017"/>
      <c r="O24" s="2024"/>
      <c r="P24" s="3486"/>
      <c r="Q24" s="1507"/>
      <c r="R24" s="1508"/>
      <c r="S24" s="1509"/>
      <c r="T24" s="1508"/>
      <c r="U24" s="1509"/>
      <c r="V24" s="1508"/>
      <c r="W24" s="1509"/>
      <c r="X24" s="1502"/>
      <c r="Y24" s="3486"/>
      <c r="Z24" s="1510"/>
      <c r="AA24" s="1511">
        <v>1</v>
      </c>
      <c r="AB24" s="1511">
        <v>1</v>
      </c>
      <c r="AC24" s="1511">
        <v>1</v>
      </c>
    </row>
    <row r="25" spans="1:29" ht="15" hidden="1">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86"/>
      <c r="Q25" s="1507" t="str">
        <f t="shared" ref="Q25:Q46" si="11">B25</f>
        <v>楼层-1</v>
      </c>
      <c r="R25" s="1508" t="s">
        <v>11</v>
      </c>
      <c r="S25" s="1509">
        <f>F25</f>
        <v>100</v>
      </c>
      <c r="T25" s="1508" t="s">
        <v>11</v>
      </c>
      <c r="U25" s="1509">
        <f>H25</f>
        <v>100</v>
      </c>
      <c r="V25" s="1508" t="s">
        <v>11</v>
      </c>
      <c r="W25" s="1509">
        <f>J25</f>
        <v>100</v>
      </c>
      <c r="X25" s="1502"/>
      <c r="Y25" s="3486"/>
      <c r="Z25" s="1510" t="str">
        <f>Q25</f>
        <v>楼层-1</v>
      </c>
      <c r="AA25" s="1511">
        <f t="shared" si="3"/>
        <v>1</v>
      </c>
      <c r="AB25" s="1511">
        <f t="shared" si="4"/>
        <v>1</v>
      </c>
      <c r="AC25" s="1511">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86"/>
      <c r="Q26" s="1507" t="str">
        <f t="shared" si="11"/>
        <v>朝向</v>
      </c>
      <c r="R26" s="1508" t="s">
        <v>11</v>
      </c>
      <c r="S26" s="1509">
        <f>F26</f>
        <v>100</v>
      </c>
      <c r="T26" s="1508" t="s">
        <v>11</v>
      </c>
      <c r="U26" s="1509">
        <f>H26</f>
        <v>100</v>
      </c>
      <c r="V26" s="1508" t="s">
        <v>11</v>
      </c>
      <c r="W26" s="1509">
        <f>J26</f>
        <v>100</v>
      </c>
      <c r="X26" s="1502"/>
      <c r="Y26" s="3486"/>
      <c r="Z26" s="1510" t="str">
        <f>Q26</f>
        <v>朝向</v>
      </c>
      <c r="AA26" s="1511">
        <f t="shared" si="3"/>
        <v>1</v>
      </c>
      <c r="AB26" s="1511">
        <f t="shared" si="4"/>
        <v>1</v>
      </c>
      <c r="AC26" s="1511">
        <f t="shared" si="5"/>
        <v>1</v>
      </c>
    </row>
    <row r="27" spans="1:29" s="1203"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86"/>
      <c r="Q27" s="1134" t="str">
        <f t="shared" si="11"/>
        <v>道路级别</v>
      </c>
      <c r="R27" s="1503" t="s">
        <v>11</v>
      </c>
      <c r="S27" s="1504">
        <f>F27</f>
        <v>100</v>
      </c>
      <c r="T27" s="1503" t="s">
        <v>11</v>
      </c>
      <c r="U27" s="1504">
        <f>H27</f>
        <v>100</v>
      </c>
      <c r="V27" s="1503" t="s">
        <v>11</v>
      </c>
      <c r="W27" s="1504">
        <f>J27</f>
        <v>100</v>
      </c>
      <c r="X27" s="1505"/>
      <c r="Y27" s="3486"/>
      <c r="Z27" s="1133" t="str">
        <f>Q27</f>
        <v>道路级别</v>
      </c>
      <c r="AA27" s="1511">
        <f>D27/F27</f>
        <v>1</v>
      </c>
      <c r="AB27" s="1511">
        <f>D27/H27</f>
        <v>1</v>
      </c>
      <c r="AC27" s="1511">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86"/>
      <c r="Q28" s="1507">
        <f t="shared" si="11"/>
        <v>111</v>
      </c>
      <c r="R28" s="1508" t="s">
        <v>11</v>
      </c>
      <c r="S28" s="1509">
        <f t="shared" ref="S28:S46" si="12">F28</f>
        <v>100</v>
      </c>
      <c r="T28" s="1508" t="s">
        <v>11</v>
      </c>
      <c r="U28" s="1509">
        <f t="shared" ref="U28:U46" si="13">H28</f>
        <v>100</v>
      </c>
      <c r="V28" s="1508" t="s">
        <v>11</v>
      </c>
      <c r="W28" s="1509">
        <f t="shared" ref="W28:W46" si="14">J28</f>
        <v>100</v>
      </c>
      <c r="X28" s="1502"/>
      <c r="Y28" s="3486"/>
      <c r="Z28" s="1510">
        <f t="shared" ref="Z28:Z46" si="15">Q28</f>
        <v>111</v>
      </c>
      <c r="AA28" s="1511">
        <f t="shared" si="3"/>
        <v>1</v>
      </c>
      <c r="AB28" s="1511">
        <f t="shared" si="4"/>
        <v>1</v>
      </c>
      <c r="AC28" s="1511">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86"/>
      <c r="Q29" s="1507">
        <f t="shared" si="11"/>
        <v>111</v>
      </c>
      <c r="R29" s="1508" t="s">
        <v>11</v>
      </c>
      <c r="S29" s="1509">
        <f t="shared" si="12"/>
        <v>100</v>
      </c>
      <c r="T29" s="1508" t="s">
        <v>11</v>
      </c>
      <c r="U29" s="1509">
        <f t="shared" si="13"/>
        <v>100</v>
      </c>
      <c r="V29" s="1508" t="s">
        <v>11</v>
      </c>
      <c r="W29" s="1509">
        <f t="shared" si="14"/>
        <v>100</v>
      </c>
      <c r="X29" s="1502"/>
      <c r="Y29" s="3486"/>
      <c r="Z29" s="1510">
        <f t="shared" si="15"/>
        <v>111</v>
      </c>
      <c r="AA29" s="1511">
        <f t="shared" si="3"/>
        <v>1</v>
      </c>
      <c r="AB29" s="1511">
        <f t="shared" si="4"/>
        <v>1</v>
      </c>
      <c r="AC29" s="1511">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86"/>
      <c r="Q30" s="1507">
        <f t="shared" si="11"/>
        <v>111</v>
      </c>
      <c r="R30" s="1508" t="s">
        <v>11</v>
      </c>
      <c r="S30" s="1509">
        <f t="shared" si="12"/>
        <v>100</v>
      </c>
      <c r="T30" s="1508" t="s">
        <v>11</v>
      </c>
      <c r="U30" s="1509">
        <f t="shared" si="13"/>
        <v>100</v>
      </c>
      <c r="V30" s="1508" t="s">
        <v>11</v>
      </c>
      <c r="W30" s="1509">
        <f t="shared" si="14"/>
        <v>100</v>
      </c>
      <c r="X30" s="1502"/>
      <c r="Y30" s="3486"/>
      <c r="Z30" s="1510">
        <f t="shared" si="15"/>
        <v>111</v>
      </c>
      <c r="AA30" s="1511">
        <f t="shared" si="3"/>
        <v>1</v>
      </c>
      <c r="AB30" s="1511">
        <f t="shared" si="4"/>
        <v>1</v>
      </c>
      <c r="AC30" s="1511">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86"/>
      <c r="Q31" s="1507">
        <f t="shared" si="11"/>
        <v>111</v>
      </c>
      <c r="R31" s="1508" t="s">
        <v>11</v>
      </c>
      <c r="S31" s="1509">
        <f t="shared" si="12"/>
        <v>100</v>
      </c>
      <c r="T31" s="1508" t="s">
        <v>11</v>
      </c>
      <c r="U31" s="1509">
        <f t="shared" si="13"/>
        <v>100</v>
      </c>
      <c r="V31" s="1508" t="s">
        <v>11</v>
      </c>
      <c r="W31" s="1509">
        <f t="shared" si="14"/>
        <v>100</v>
      </c>
      <c r="X31" s="1502"/>
      <c r="Y31" s="3486"/>
      <c r="Z31" s="1510">
        <f t="shared" si="15"/>
        <v>111</v>
      </c>
      <c r="AA31" s="1511">
        <f t="shared" si="3"/>
        <v>1</v>
      </c>
      <c r="AB31" s="1511">
        <f t="shared" si="4"/>
        <v>1</v>
      </c>
      <c r="AC31" s="1511">
        <f t="shared" si="5"/>
        <v>1</v>
      </c>
    </row>
    <row r="32" spans="1:29" ht="15">
      <c r="A32" s="2625" t="s">
        <v>2735</v>
      </c>
      <c r="B32" s="170" t="s">
        <v>719</v>
      </c>
      <c r="C32" s="867" t="s">
        <v>3161</v>
      </c>
      <c r="D32" s="591">
        <v>100</v>
      </c>
      <c r="E32" s="868" t="s">
        <v>3161</v>
      </c>
      <c r="F32" s="569">
        <f>SUMIF(100:100,E32,101:101)-SUMIF(100:100,C32,101:101)+100</f>
        <v>100</v>
      </c>
      <c r="G32" s="867" t="s">
        <v>3187</v>
      </c>
      <c r="H32" s="591">
        <f>SUMIF(100:100,G32,101:101)-SUMIF(100:100,C32,101:101)+100</f>
        <v>110</v>
      </c>
      <c r="I32" s="868" t="s">
        <v>3187</v>
      </c>
      <c r="J32" s="534">
        <f>SUMIF(100:100,I32,101:101)-SUMIF(100:100,C32,101:101)+100</f>
        <v>110</v>
      </c>
      <c r="K32" s="853">
        <v>10</v>
      </c>
      <c r="L32" s="2025"/>
      <c r="M32" s="2017"/>
      <c r="N32" s="2017"/>
      <c r="O32" s="2024"/>
      <c r="P32" s="3487" t="s">
        <v>544</v>
      </c>
      <c r="Q32" s="1507" t="str">
        <f t="shared" si="11"/>
        <v>建筑类型</v>
      </c>
      <c r="R32" s="1508" t="s">
        <v>11</v>
      </c>
      <c r="S32" s="1509">
        <f t="shared" si="12"/>
        <v>100</v>
      </c>
      <c r="T32" s="1508" t="s">
        <v>11</v>
      </c>
      <c r="U32" s="1509">
        <f t="shared" si="13"/>
        <v>110</v>
      </c>
      <c r="V32" s="1508" t="s">
        <v>11</v>
      </c>
      <c r="W32" s="1509">
        <f t="shared" si="14"/>
        <v>110</v>
      </c>
      <c r="X32" s="1502"/>
      <c r="Y32" s="3488" t="s">
        <v>544</v>
      </c>
      <c r="Z32" s="1510" t="str">
        <f t="shared" si="15"/>
        <v>建筑类型</v>
      </c>
      <c r="AA32" s="1511">
        <f t="shared" si="3"/>
        <v>1</v>
      </c>
      <c r="AB32" s="1511">
        <f t="shared" si="4"/>
        <v>0.90909090909090906</v>
      </c>
      <c r="AC32" s="1511">
        <f t="shared" si="5"/>
        <v>0.90909090909090906</v>
      </c>
    </row>
    <row r="33" spans="1:29" s="1293" customFormat="1" ht="15">
      <c r="A33" s="597"/>
      <c r="B33" s="521" t="s">
        <v>720</v>
      </c>
      <c r="C33" s="869"/>
      <c r="D33" s="253">
        <v>100</v>
      </c>
      <c r="E33" s="528"/>
      <c r="F33" s="852">
        <f>LOOKUP(E33,103:103,104:104)-LOOKUP(C33,103:103,104:104)+100</f>
        <v>100</v>
      </c>
      <c r="G33" s="528"/>
      <c r="H33" s="253">
        <f>LOOKUP(G33,103:103,104:104)-LOOKUP(C33,103:103,104:104)+100</f>
        <v>100</v>
      </c>
      <c r="I33" s="528"/>
      <c r="J33" s="253">
        <f>LOOKUP(I33,103:103,104:104)-LOOKUP(C33,103:103,104:104)+100</f>
        <v>100</v>
      </c>
      <c r="K33" s="854"/>
      <c r="L33" s="2023"/>
      <c r="M33" s="2053"/>
      <c r="N33" s="2053"/>
      <c r="O33" s="2026"/>
      <c r="P33" s="3488"/>
      <c r="Q33" s="1536" t="str">
        <f t="shared" si="11"/>
        <v>项目建筑规模</v>
      </c>
      <c r="R33" s="1512" t="s">
        <v>11</v>
      </c>
      <c r="S33" s="1513">
        <f t="shared" si="12"/>
        <v>100</v>
      </c>
      <c r="T33" s="1512" t="s">
        <v>11</v>
      </c>
      <c r="U33" s="1513">
        <f t="shared" si="13"/>
        <v>100</v>
      </c>
      <c r="V33" s="1512" t="s">
        <v>11</v>
      </c>
      <c r="W33" s="1513">
        <f t="shared" si="14"/>
        <v>100</v>
      </c>
      <c r="X33" s="1514"/>
      <c r="Y33" s="3488"/>
      <c r="Z33" s="1515" t="str">
        <f t="shared" si="15"/>
        <v>项目建筑规模</v>
      </c>
      <c r="AA33" s="1511">
        <f t="shared" si="3"/>
        <v>1</v>
      </c>
      <c r="AB33" s="1511">
        <f t="shared" si="4"/>
        <v>1</v>
      </c>
      <c r="AC33" s="1511">
        <f t="shared" si="5"/>
        <v>1</v>
      </c>
    </row>
    <row r="34" spans="1:29" ht="15">
      <c r="A34" s="588"/>
      <c r="B34" s="521" t="s">
        <v>721</v>
      </c>
      <c r="C34" s="871" t="s">
        <v>3163</v>
      </c>
      <c r="D34" s="534">
        <v>100</v>
      </c>
      <c r="E34" s="871" t="s">
        <v>3163</v>
      </c>
      <c r="F34" s="569">
        <f>SUMIF(105:105,E34,106:106)-SUMIF(105:105,C34,106:106)+100</f>
        <v>100</v>
      </c>
      <c r="G34" s="870" t="s">
        <v>3163</v>
      </c>
      <c r="H34" s="534">
        <f>SUMIF(105:105,G34,106:106)-SUMIF(105:105,C34,106:106)+100</f>
        <v>100</v>
      </c>
      <c r="I34" s="871" t="s">
        <v>3163</v>
      </c>
      <c r="J34" s="534">
        <f>SUMIF(105:105,I34,106:106)-SUMIF(105:105,C34,106:106)+100</f>
        <v>100</v>
      </c>
      <c r="K34" s="853">
        <v>2</v>
      </c>
      <c r="L34" s="2025"/>
      <c r="M34" s="2017"/>
      <c r="N34" s="2017"/>
      <c r="O34" s="2024"/>
      <c r="P34" s="3488"/>
      <c r="Q34" s="1507" t="str">
        <f t="shared" si="11"/>
        <v>建筑结构</v>
      </c>
      <c r="R34" s="1508" t="s">
        <v>11</v>
      </c>
      <c r="S34" s="1509">
        <f t="shared" si="12"/>
        <v>100</v>
      </c>
      <c r="T34" s="1508" t="s">
        <v>11</v>
      </c>
      <c r="U34" s="1509">
        <f t="shared" si="13"/>
        <v>100</v>
      </c>
      <c r="V34" s="1508" t="s">
        <v>11</v>
      </c>
      <c r="W34" s="1509">
        <f t="shared" si="14"/>
        <v>100</v>
      </c>
      <c r="X34" s="1502"/>
      <c r="Y34" s="3488"/>
      <c r="Z34" s="1510" t="str">
        <f t="shared" si="15"/>
        <v>建筑结构</v>
      </c>
      <c r="AA34" s="1511">
        <f t="shared" si="3"/>
        <v>1</v>
      </c>
      <c r="AB34" s="1511">
        <f t="shared" si="4"/>
        <v>1</v>
      </c>
      <c r="AC34" s="1511">
        <f t="shared" si="5"/>
        <v>1</v>
      </c>
    </row>
    <row r="35" spans="1:29" ht="15">
      <c r="A35" s="588"/>
      <c r="B35" s="521" t="s">
        <v>722</v>
      </c>
      <c r="C35" s="593" t="s">
        <v>3167</v>
      </c>
      <c r="D35" s="534">
        <v>100</v>
      </c>
      <c r="E35" s="863" t="s">
        <v>3165</v>
      </c>
      <c r="F35" s="569">
        <f>SUMIF(107:107,E35,108:108)-SUMIF(107:107,C35,108:108)+100</f>
        <v>102</v>
      </c>
      <c r="G35" s="593" t="s">
        <v>3165</v>
      </c>
      <c r="H35" s="534">
        <f>SUMIF(107:107,G35,108:108)-SUMIF(107:107,C35,108:108)+100</f>
        <v>102</v>
      </c>
      <c r="I35" s="863" t="s">
        <v>3165</v>
      </c>
      <c r="J35" s="534">
        <f>SUMIF(107:107,I35,108:108)-SUMIF(107:107,C35,108:108)+100</f>
        <v>102</v>
      </c>
      <c r="K35" s="853">
        <v>2</v>
      </c>
      <c r="L35" s="2025"/>
      <c r="M35" s="2017"/>
      <c r="N35" s="2017"/>
      <c r="O35" s="2024"/>
      <c r="P35" s="3488"/>
      <c r="Q35" s="1507" t="str">
        <f t="shared" si="11"/>
        <v>建筑品质</v>
      </c>
      <c r="R35" s="1508" t="s">
        <v>11</v>
      </c>
      <c r="S35" s="1509">
        <f t="shared" si="12"/>
        <v>102</v>
      </c>
      <c r="T35" s="1508" t="s">
        <v>11</v>
      </c>
      <c r="U35" s="1509">
        <f t="shared" si="13"/>
        <v>102</v>
      </c>
      <c r="V35" s="1508" t="s">
        <v>11</v>
      </c>
      <c r="W35" s="1509">
        <f t="shared" si="14"/>
        <v>102</v>
      </c>
      <c r="X35" s="1502"/>
      <c r="Y35" s="3488"/>
      <c r="Z35" s="1510" t="str">
        <f t="shared" si="15"/>
        <v>建筑品质</v>
      </c>
      <c r="AA35" s="1511">
        <f t="shared" si="3"/>
        <v>0.98039215686274506</v>
      </c>
      <c r="AB35" s="1511">
        <f t="shared" si="4"/>
        <v>0.98039215686274506</v>
      </c>
      <c r="AC35" s="1511">
        <f t="shared" si="5"/>
        <v>0.98039215686274506</v>
      </c>
    </row>
    <row r="36" spans="1:29" ht="15">
      <c r="A36" s="588"/>
      <c r="B36" s="521" t="s">
        <v>723</v>
      </c>
      <c r="C36" s="863" t="s">
        <v>3170</v>
      </c>
      <c r="D36" s="534">
        <v>100</v>
      </c>
      <c r="E36" s="863" t="s">
        <v>3170</v>
      </c>
      <c r="F36" s="569">
        <f>SUMIF(109:109,E36,110:110)-SUMIF(109:109,C36,110:110)+100</f>
        <v>100</v>
      </c>
      <c r="G36" s="593" t="s">
        <v>3170</v>
      </c>
      <c r="H36" s="534">
        <f>SUMIF(109:109,G36,110:110)-SUMIF(109:109,C36,110:110)+100</f>
        <v>100</v>
      </c>
      <c r="I36" s="863" t="s">
        <v>3170</v>
      </c>
      <c r="J36" s="534">
        <f>SUMIF(109:109,I36,110:110)-SUMIF(109:109,C36,110:110)+100</f>
        <v>100</v>
      </c>
      <c r="K36" s="853">
        <v>2</v>
      </c>
      <c r="L36" s="2025"/>
      <c r="M36" s="2017"/>
      <c r="N36" s="2017"/>
      <c r="O36" s="2024"/>
      <c r="P36" s="3488"/>
      <c r="Q36" s="1507" t="str">
        <f t="shared" si="11"/>
        <v>公共部分装修</v>
      </c>
      <c r="R36" s="1508" t="s">
        <v>11</v>
      </c>
      <c r="S36" s="1509">
        <f t="shared" si="12"/>
        <v>100</v>
      </c>
      <c r="T36" s="1508" t="s">
        <v>11</v>
      </c>
      <c r="U36" s="1509">
        <f t="shared" si="13"/>
        <v>100</v>
      </c>
      <c r="V36" s="1508" t="s">
        <v>11</v>
      </c>
      <c r="W36" s="1509">
        <f t="shared" si="14"/>
        <v>100</v>
      </c>
      <c r="X36" s="1502"/>
      <c r="Y36" s="3488"/>
      <c r="Z36" s="1510" t="str">
        <f t="shared" si="15"/>
        <v>公共部分装修</v>
      </c>
      <c r="AA36" s="1511">
        <f t="shared" si="3"/>
        <v>1</v>
      </c>
      <c r="AB36" s="1511">
        <f t="shared" si="4"/>
        <v>1</v>
      </c>
      <c r="AC36" s="1511">
        <f t="shared" si="5"/>
        <v>1</v>
      </c>
    </row>
    <row r="37" spans="1:29" s="1203" customFormat="1" ht="15">
      <c r="A37" s="594"/>
      <c r="B37" s="521" t="s">
        <v>724</v>
      </c>
      <c r="C37" s="873">
        <v>1</v>
      </c>
      <c r="D37" s="253">
        <v>100</v>
      </c>
      <c r="E37" s="873">
        <v>1</v>
      </c>
      <c r="F37" s="852">
        <f>LOOKUP(E37,112:112,113:113)-LOOKUP(C37,112:112,113:113)+100</f>
        <v>100</v>
      </c>
      <c r="G37" s="874">
        <v>0.9</v>
      </c>
      <c r="H37" s="253">
        <f>LOOKUP(G37,112:112,113:113)-LOOKUP(C37,112:112,113:113)+100</f>
        <v>100</v>
      </c>
      <c r="I37" s="874">
        <v>0.9</v>
      </c>
      <c r="J37" s="253">
        <f>LOOKUP(I37,112:112,113:113)-LOOKUP(C37,112:112,113:113)+100</f>
        <v>100</v>
      </c>
      <c r="K37" s="853">
        <v>1</v>
      </c>
      <c r="L37" s="2018"/>
      <c r="M37" s="2019"/>
      <c r="N37" s="2019"/>
      <c r="O37" s="2020"/>
      <c r="P37" s="3488"/>
      <c r="Q37" s="1134" t="str">
        <f t="shared" si="11"/>
        <v>成新度</v>
      </c>
      <c r="R37" s="1503" t="s">
        <v>11</v>
      </c>
      <c r="S37" s="1504">
        <f t="shared" si="12"/>
        <v>100</v>
      </c>
      <c r="T37" s="1503" t="s">
        <v>11</v>
      </c>
      <c r="U37" s="1504">
        <f t="shared" si="13"/>
        <v>100</v>
      </c>
      <c r="V37" s="1503" t="s">
        <v>11</v>
      </c>
      <c r="W37" s="1504">
        <f t="shared" si="14"/>
        <v>100</v>
      </c>
      <c r="X37" s="1505"/>
      <c r="Y37" s="3488"/>
      <c r="Z37" s="1133" t="str">
        <f t="shared" si="15"/>
        <v>成新度</v>
      </c>
      <c r="AA37" s="1506">
        <f t="shared" si="3"/>
        <v>1</v>
      </c>
      <c r="AB37" s="1506">
        <f t="shared" si="4"/>
        <v>1</v>
      </c>
      <c r="AC37" s="1506">
        <f t="shared" si="5"/>
        <v>1</v>
      </c>
    </row>
    <row r="38" spans="1:29" ht="15">
      <c r="A38" s="588"/>
      <c r="B38" s="521" t="s">
        <v>725</v>
      </c>
      <c r="C38" s="863" t="s">
        <v>3176</v>
      </c>
      <c r="D38" s="534">
        <v>100</v>
      </c>
      <c r="E38" s="863" t="s">
        <v>3176</v>
      </c>
      <c r="F38" s="569">
        <f>SUMIF(114:114,E38,115:115)-SUMIF(114:114,C38,115:115)+100</f>
        <v>100</v>
      </c>
      <c r="G38" s="863" t="s">
        <v>3176</v>
      </c>
      <c r="H38" s="534">
        <f>SUMIF(114:114,G38,115:115)-SUMIF(114:114,C38,115:115)+100</f>
        <v>100</v>
      </c>
      <c r="I38" s="863" t="s">
        <v>3176</v>
      </c>
      <c r="J38" s="534">
        <f>SUMIF(114:114,I38,115:115)-SUMIF(114:114,C38,115:115)+100</f>
        <v>100</v>
      </c>
      <c r="K38" s="853">
        <v>2</v>
      </c>
      <c r="L38" s="2025"/>
      <c r="M38" s="2017"/>
      <c r="N38" s="2017"/>
      <c r="O38" s="2024"/>
      <c r="P38" s="3488" t="s">
        <v>544</v>
      </c>
      <c r="Q38" s="1507" t="str">
        <f t="shared" si="11"/>
        <v>物业管理</v>
      </c>
      <c r="R38" s="1508" t="s">
        <v>11</v>
      </c>
      <c r="S38" s="1509">
        <f t="shared" si="12"/>
        <v>100</v>
      </c>
      <c r="T38" s="1508" t="s">
        <v>11</v>
      </c>
      <c r="U38" s="1509">
        <f t="shared" si="13"/>
        <v>100</v>
      </c>
      <c r="V38" s="1508" t="s">
        <v>11</v>
      </c>
      <c r="W38" s="1509">
        <f t="shared" si="14"/>
        <v>100</v>
      </c>
      <c r="X38" s="1502"/>
      <c r="Y38" s="3488" t="s">
        <v>544</v>
      </c>
      <c r="Z38" s="1510" t="str">
        <f t="shared" si="15"/>
        <v>物业管理</v>
      </c>
      <c r="AA38" s="1511">
        <f t="shared" si="3"/>
        <v>1</v>
      </c>
      <c r="AB38" s="1511">
        <f t="shared" si="4"/>
        <v>1</v>
      </c>
      <c r="AC38" s="1511">
        <f t="shared" si="5"/>
        <v>1</v>
      </c>
    </row>
    <row r="39" spans="1:29" ht="15">
      <c r="A39" s="588"/>
      <c r="B39" s="1810" t="s">
        <v>2545</v>
      </c>
      <c r="C39" s="863" t="s">
        <v>3030</v>
      </c>
      <c r="D39" s="534">
        <v>100</v>
      </c>
      <c r="E39" s="863" t="s">
        <v>3030</v>
      </c>
      <c r="F39" s="569">
        <f>SUMIF(116:116,E39,117:117)-SUMIF(116:116,C39,117:117)+100</f>
        <v>100</v>
      </c>
      <c r="G39" s="593" t="s">
        <v>3030</v>
      </c>
      <c r="H39" s="534">
        <f>SUMIF(116:116,G39,117:117)-SUMIF(116:116,C39,117:117)+100</f>
        <v>100</v>
      </c>
      <c r="I39" s="863" t="s">
        <v>3030</v>
      </c>
      <c r="J39" s="534">
        <f>SUMIF(116:116,I39,117:117)-SUMIF(116:116,C39,117:117)+100</f>
        <v>100</v>
      </c>
      <c r="K39" s="853">
        <v>1</v>
      </c>
      <c r="L39" s="2025"/>
      <c r="M39" s="2017"/>
      <c r="N39" s="2017"/>
      <c r="O39" s="2024"/>
      <c r="P39" s="3488"/>
      <c r="Q39" s="1507" t="str">
        <f t="shared" si="11"/>
        <v>市政基础设施</v>
      </c>
      <c r="R39" s="1508" t="s">
        <v>11</v>
      </c>
      <c r="S39" s="1509">
        <f t="shared" si="12"/>
        <v>100</v>
      </c>
      <c r="T39" s="1508" t="s">
        <v>11</v>
      </c>
      <c r="U39" s="1509">
        <f t="shared" si="13"/>
        <v>100</v>
      </c>
      <c r="V39" s="1508" t="s">
        <v>11</v>
      </c>
      <c r="W39" s="1509">
        <f t="shared" si="14"/>
        <v>100</v>
      </c>
      <c r="X39" s="1502"/>
      <c r="Y39" s="3488"/>
      <c r="Z39" s="1510" t="str">
        <f t="shared" si="15"/>
        <v>市政基础设施</v>
      </c>
      <c r="AA39" s="1511">
        <f t="shared" si="3"/>
        <v>1</v>
      </c>
      <c r="AB39" s="1511">
        <f t="shared" si="4"/>
        <v>1</v>
      </c>
      <c r="AC39" s="1511">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5"/>
      <c r="M40" s="2017"/>
      <c r="N40" s="2017"/>
      <c r="O40" s="2024"/>
      <c r="P40" s="3488"/>
      <c r="Q40" s="1507" t="str">
        <f t="shared" si="11"/>
        <v>房型</v>
      </c>
      <c r="R40" s="1508" t="s">
        <v>11</v>
      </c>
      <c r="S40" s="1509">
        <f t="shared" si="12"/>
        <v>100</v>
      </c>
      <c r="T40" s="1508" t="s">
        <v>11</v>
      </c>
      <c r="U40" s="1509">
        <f t="shared" si="13"/>
        <v>100</v>
      </c>
      <c r="V40" s="1508" t="s">
        <v>11</v>
      </c>
      <c r="W40" s="1509">
        <f t="shared" si="14"/>
        <v>100</v>
      </c>
      <c r="X40" s="1502"/>
      <c r="Y40" s="3488"/>
      <c r="Z40" s="1510" t="str">
        <f t="shared" si="15"/>
        <v>房型</v>
      </c>
      <c r="AA40" s="1511">
        <f t="shared" si="3"/>
        <v>1</v>
      </c>
      <c r="AB40" s="1511">
        <f t="shared" si="4"/>
        <v>1</v>
      </c>
      <c r="AC40" s="1511">
        <f t="shared" si="5"/>
        <v>1</v>
      </c>
    </row>
    <row r="41" spans="1:29" s="1293" customFormat="1" ht="28.5" hidden="1">
      <c r="A41" s="597"/>
      <c r="B41" s="521" t="s">
        <v>727</v>
      </c>
      <c r="C41" s="869"/>
      <c r="D41" s="253">
        <v>100</v>
      </c>
      <c r="E41" s="528"/>
      <c r="F41" s="852">
        <f>SUMIF(120:120,E41,121:121)-SUMIF(120:120,C41,121:121)+100</f>
        <v>100</v>
      </c>
      <c r="G41" s="527" t="s">
        <v>3188</v>
      </c>
      <c r="H41" s="253">
        <f>SUMIF(120:120,G41,121:121)-SUMIF(120:120,C41,121:121)+100</f>
        <v>100</v>
      </c>
      <c r="I41" s="580" t="s">
        <v>3189</v>
      </c>
      <c r="J41" s="534">
        <f>SUMIF(120:120,I41,121:121)-SUMIF(120:120,C41,121:121)+100</f>
        <v>100</v>
      </c>
      <c r="K41" s="854"/>
      <c r="L41" s="2023"/>
      <c r="M41" s="2053"/>
      <c r="N41" s="2053"/>
      <c r="O41" s="2026"/>
      <c r="P41" s="3488"/>
      <c r="Q41" s="1536" t="str">
        <f t="shared" si="11"/>
        <v>单套/主力户型建筑面积</v>
      </c>
      <c r="R41" s="1512" t="s">
        <v>11</v>
      </c>
      <c r="S41" s="1513">
        <f t="shared" si="12"/>
        <v>100</v>
      </c>
      <c r="T41" s="1512" t="s">
        <v>11</v>
      </c>
      <c r="U41" s="1513">
        <f t="shared" si="13"/>
        <v>100</v>
      </c>
      <c r="V41" s="1512" t="s">
        <v>11</v>
      </c>
      <c r="W41" s="1513">
        <f t="shared" si="14"/>
        <v>100</v>
      </c>
      <c r="X41" s="1514"/>
      <c r="Y41" s="3488"/>
      <c r="Z41" s="1515" t="str">
        <f t="shared" si="15"/>
        <v>单套/主力户型建筑面积</v>
      </c>
      <c r="AA41" s="1511">
        <f t="shared" si="3"/>
        <v>1</v>
      </c>
      <c r="AB41" s="1511">
        <f t="shared" si="4"/>
        <v>1</v>
      </c>
      <c r="AC41" s="1511">
        <f t="shared" si="5"/>
        <v>1</v>
      </c>
    </row>
    <row r="42" spans="1:29" ht="15">
      <c r="A42" s="588"/>
      <c r="B42" s="521" t="s">
        <v>728</v>
      </c>
      <c r="C42" s="593" t="s">
        <v>3174</v>
      </c>
      <c r="D42" s="534">
        <v>100</v>
      </c>
      <c r="E42" s="863" t="s">
        <v>3170</v>
      </c>
      <c r="F42" s="569">
        <f>SUMIF(122:122,E42,123:123)-SUMIF(122:122,C42,123:123)+100</f>
        <v>106</v>
      </c>
      <c r="G42" s="593" t="s">
        <v>3174</v>
      </c>
      <c r="H42" s="534">
        <f>SUMIF(122:122,G42,123:123)-SUMIF(122:122,C42,123:123)+100</f>
        <v>100</v>
      </c>
      <c r="I42" s="863" t="s">
        <v>3174</v>
      </c>
      <c r="J42" s="534">
        <f>SUMIF(122:122,I42,123:123)-SUMIF(122:122,C42,123:123)+100</f>
        <v>100</v>
      </c>
      <c r="K42" s="853">
        <v>2</v>
      </c>
      <c r="L42" s="2025"/>
      <c r="M42" s="2017"/>
      <c r="N42" s="2017"/>
      <c r="O42" s="2024"/>
      <c r="P42" s="3488"/>
      <c r="Q42" s="1507" t="str">
        <f t="shared" si="11"/>
        <v>内部装修</v>
      </c>
      <c r="R42" s="1508" t="s">
        <v>11</v>
      </c>
      <c r="S42" s="1509">
        <f t="shared" si="12"/>
        <v>106</v>
      </c>
      <c r="T42" s="1508" t="s">
        <v>11</v>
      </c>
      <c r="U42" s="1509">
        <f t="shared" si="13"/>
        <v>100</v>
      </c>
      <c r="V42" s="1508" t="s">
        <v>11</v>
      </c>
      <c r="W42" s="1509">
        <f t="shared" si="14"/>
        <v>100</v>
      </c>
      <c r="X42" s="1502"/>
      <c r="Y42" s="3488"/>
      <c r="Z42" s="1510" t="str">
        <f t="shared" si="15"/>
        <v>内部装修</v>
      </c>
      <c r="AA42" s="1511">
        <f t="shared" si="3"/>
        <v>0.94339622641509435</v>
      </c>
      <c r="AB42" s="1511">
        <f t="shared" si="4"/>
        <v>1</v>
      </c>
      <c r="AC42" s="1511">
        <f t="shared" si="5"/>
        <v>1</v>
      </c>
    </row>
    <row r="43" spans="1:29" ht="27.75" thickBot="1">
      <c r="A43" s="588"/>
      <c r="B43" s="521" t="s">
        <v>729</v>
      </c>
      <c r="C43" s="863" t="s">
        <v>3032</v>
      </c>
      <c r="D43" s="534">
        <v>100</v>
      </c>
      <c r="E43" s="863" t="s">
        <v>3032</v>
      </c>
      <c r="F43" s="569">
        <f>SUMIF(124:124,E43,125:125)-SUMIF(124:124,C43,125:125)+100</f>
        <v>100</v>
      </c>
      <c r="G43" s="593" t="s">
        <v>3032</v>
      </c>
      <c r="H43" s="534">
        <f>SUMIF(124:124,G43,125:125)-SUMIF(124:124,C43,125:125)+100</f>
        <v>100</v>
      </c>
      <c r="I43" s="863" t="s">
        <v>3032</v>
      </c>
      <c r="J43" s="534">
        <f>SUMIF(124:124,I43,125:125)-SUMIF(124:124,C43,125:125)+100</f>
        <v>100</v>
      </c>
      <c r="K43" s="853">
        <v>2</v>
      </c>
      <c r="L43" s="2025"/>
      <c r="M43" s="2017"/>
      <c r="N43" s="2017"/>
      <c r="O43" s="2024"/>
      <c r="P43" s="3488"/>
      <c r="Q43" s="1507" t="str">
        <f t="shared" si="11"/>
        <v>内部装修维护情况</v>
      </c>
      <c r="R43" s="1508" t="s">
        <v>11</v>
      </c>
      <c r="S43" s="1509">
        <f t="shared" si="12"/>
        <v>100</v>
      </c>
      <c r="T43" s="1508" t="s">
        <v>11</v>
      </c>
      <c r="U43" s="1509">
        <f t="shared" si="13"/>
        <v>100</v>
      </c>
      <c r="V43" s="1508" t="s">
        <v>11</v>
      </c>
      <c r="W43" s="1509">
        <f t="shared" si="14"/>
        <v>100</v>
      </c>
      <c r="X43" s="1502"/>
      <c r="Y43" s="3488"/>
      <c r="Z43" s="1510" t="str">
        <f t="shared" si="15"/>
        <v>内部装修维护情况</v>
      </c>
      <c r="AA43" s="1511">
        <f t="shared" si="3"/>
        <v>1</v>
      </c>
      <c r="AB43" s="1511">
        <f t="shared" si="4"/>
        <v>1</v>
      </c>
      <c r="AC43" s="1511">
        <f t="shared" si="5"/>
        <v>1</v>
      </c>
    </row>
    <row r="44" spans="1:29" s="1203" customFormat="1" ht="15" hidden="1">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88"/>
      <c r="Q44" s="1134">
        <f t="shared" si="11"/>
        <v>111</v>
      </c>
      <c r="R44" s="1503" t="s">
        <v>11</v>
      </c>
      <c r="S44" s="1504">
        <f t="shared" si="12"/>
        <v>100</v>
      </c>
      <c r="T44" s="1503" t="s">
        <v>11</v>
      </c>
      <c r="U44" s="1504">
        <f t="shared" si="13"/>
        <v>100</v>
      </c>
      <c r="V44" s="1503" t="s">
        <v>11</v>
      </c>
      <c r="W44" s="1504">
        <f t="shared" si="14"/>
        <v>100</v>
      </c>
      <c r="X44" s="1505"/>
      <c r="Y44" s="3488"/>
      <c r="Z44" s="1133">
        <f t="shared" si="15"/>
        <v>111</v>
      </c>
      <c r="AA44" s="1506">
        <f t="shared" si="3"/>
        <v>1</v>
      </c>
      <c r="AB44" s="1506">
        <f t="shared" si="4"/>
        <v>1</v>
      </c>
      <c r="AC44" s="1506">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88"/>
      <c r="Q45" s="1507">
        <f t="shared" si="11"/>
        <v>111</v>
      </c>
      <c r="R45" s="1508" t="s">
        <v>11</v>
      </c>
      <c r="S45" s="1509">
        <f t="shared" si="12"/>
        <v>100</v>
      </c>
      <c r="T45" s="1508" t="s">
        <v>11</v>
      </c>
      <c r="U45" s="1509">
        <f t="shared" si="13"/>
        <v>100</v>
      </c>
      <c r="V45" s="1508" t="s">
        <v>11</v>
      </c>
      <c r="W45" s="1509">
        <f t="shared" si="14"/>
        <v>100</v>
      </c>
      <c r="X45" s="1502"/>
      <c r="Y45" s="3488"/>
      <c r="Z45" s="1510">
        <f t="shared" si="15"/>
        <v>111</v>
      </c>
      <c r="AA45" s="1511">
        <f t="shared" si="3"/>
        <v>1</v>
      </c>
      <c r="AB45" s="1511">
        <f t="shared" si="4"/>
        <v>1</v>
      </c>
      <c r="AC45" s="1511">
        <f t="shared" si="5"/>
        <v>1</v>
      </c>
    </row>
    <row r="46" spans="1:29" ht="15.75" hidden="1"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69"/>
      <c r="Q46" s="1507">
        <f t="shared" si="11"/>
        <v>111</v>
      </c>
      <c r="R46" s="1508" t="s">
        <v>10</v>
      </c>
      <c r="S46" s="1509">
        <f t="shared" si="12"/>
        <v>100</v>
      </c>
      <c r="T46" s="1508" t="s">
        <v>10</v>
      </c>
      <c r="U46" s="1509">
        <f t="shared" si="13"/>
        <v>100</v>
      </c>
      <c r="V46" s="1508" t="s">
        <v>10</v>
      </c>
      <c r="W46" s="1509">
        <f t="shared" si="14"/>
        <v>100</v>
      </c>
      <c r="X46" s="1502"/>
      <c r="Y46" s="3569"/>
      <c r="Z46" s="1510">
        <f t="shared" si="15"/>
        <v>111</v>
      </c>
      <c r="AA46" s="1511">
        <f t="shared" si="3"/>
        <v>1</v>
      </c>
      <c r="AB46" s="1511">
        <f t="shared" si="4"/>
        <v>1</v>
      </c>
      <c r="AC46" s="1511">
        <f t="shared" si="5"/>
        <v>1</v>
      </c>
    </row>
    <row r="47" spans="1:29" ht="15">
      <c r="A47" s="601" t="s">
        <v>730</v>
      </c>
      <c r="B47" s="876"/>
      <c r="C47" s="2471" t="s">
        <v>9</v>
      </c>
      <c r="D47" s="2472"/>
      <c r="E47" s="2473">
        <v>8000</v>
      </c>
      <c r="F47" s="2474"/>
      <c r="G47" s="2475">
        <v>7800</v>
      </c>
      <c r="H47" s="2476"/>
      <c r="I47" s="2473">
        <v>8000</v>
      </c>
      <c r="J47" s="2476"/>
      <c r="K47" s="1537"/>
      <c r="L47" s="2027"/>
      <c r="M47" s="2028"/>
      <c r="N47" s="2017"/>
      <c r="O47" s="2028"/>
      <c r="P47" s="3483" t="str">
        <f>A47</f>
        <v>成交单价（元/平方米）</v>
      </c>
      <c r="Q47" s="3483"/>
      <c r="R47" s="3568">
        <f>E47</f>
        <v>8000</v>
      </c>
      <c r="S47" s="3568"/>
      <c r="T47" s="3568">
        <f>G47</f>
        <v>7800</v>
      </c>
      <c r="U47" s="3568"/>
      <c r="V47" s="3568">
        <f>I47</f>
        <v>8000</v>
      </c>
      <c r="W47" s="3568"/>
      <c r="X47" s="1497"/>
      <c r="Y47" s="1516"/>
      <c r="Z47" s="1497"/>
      <c r="AA47" s="1497"/>
      <c r="AB47" s="1497"/>
      <c r="AC47" s="1497"/>
    </row>
    <row r="48" spans="1:29" ht="15.75" thickBot="1">
      <c r="A48" s="609" t="s">
        <v>2740</v>
      </c>
      <c r="B48" s="877"/>
      <c r="C48" s="2477">
        <f>R49</f>
        <v>6671</v>
      </c>
      <c r="D48" s="3015" t="s">
        <v>2966</v>
      </c>
      <c r="E48" s="2478">
        <f>R48</f>
        <v>6608</v>
      </c>
      <c r="F48" s="3016"/>
      <c r="G48" s="2477">
        <f>T48</f>
        <v>6617</v>
      </c>
      <c r="H48" s="3016"/>
      <c r="I48" s="2478">
        <f>V48</f>
        <v>6787</v>
      </c>
      <c r="J48" s="3016"/>
      <c r="K48" s="3024">
        <f>F48+H48+J48</f>
        <v>0</v>
      </c>
      <c r="L48" s="2027"/>
      <c r="M48" s="2028"/>
      <c r="N48" s="2028"/>
      <c r="O48" s="2028"/>
      <c r="P48" s="3483" t="str">
        <f>A48</f>
        <v>比较价格（元/平方米）</v>
      </c>
      <c r="Q48" s="3483"/>
      <c r="R48" s="3568">
        <f>IF(F1="售价",ROUND(PRODUCT(R47,AA7:AA46),0),ROUND(PRODUCT(R47,AA7:AA46),1))</f>
        <v>6608</v>
      </c>
      <c r="S48" s="3568"/>
      <c r="T48" s="3568">
        <f>IF(F1="售价",ROUND(PRODUCT(T47,AB7:AB46),0),ROUND(PRODUCT(T47,AB7:AB46),1))</f>
        <v>6617</v>
      </c>
      <c r="U48" s="3568"/>
      <c r="V48" s="3568">
        <f>IF(F1="售价",ROUND(PRODUCT(V47,AC7:AC46),0),ROUND(PRODUCT(V47,AC7:AC46),1))</f>
        <v>6787</v>
      </c>
      <c r="W48" s="3568"/>
      <c r="X48" s="1497"/>
      <c r="Y48" s="1497"/>
      <c r="Z48" s="1497"/>
      <c r="AA48" s="1497"/>
      <c r="AB48" s="1497"/>
      <c r="AC48" s="1497"/>
    </row>
    <row r="49" spans="1:29" ht="15.75" thickBot="1">
      <c r="A49" s="613" t="s">
        <v>2898</v>
      </c>
      <c r="B49" s="614"/>
      <c r="C49" s="2479">
        <f>R49</f>
        <v>6671</v>
      </c>
      <c r="D49" s="2479"/>
      <c r="E49" s="2479"/>
      <c r="F49" s="2479"/>
      <c r="G49" s="2479"/>
      <c r="H49" s="2479"/>
      <c r="I49" s="2479"/>
      <c r="J49" s="2479"/>
      <c r="K49" s="1538"/>
      <c r="L49" s="2027"/>
      <c r="M49" s="2028"/>
      <c r="N49" s="2028"/>
      <c r="O49" s="2028"/>
      <c r="P49" s="3505" t="str">
        <f>A49</f>
        <v>估价对象XX用房的比较价格（楼面单价，元/平方米）</v>
      </c>
      <c r="Q49" s="3506"/>
      <c r="R49" s="3567">
        <f>IF(F1="售价",ROUND(IF(D48="简单平均",AVERAGE(R48:V48),R48*F48+T48*H48+V48*J48),0),ROUND(IF(D48="简单平均",AVERAGE(R48:V48),R48*F48+T48*H48+V48*J48),1))</f>
        <v>6671</v>
      </c>
      <c r="S49" s="3567"/>
      <c r="T49" s="3567"/>
      <c r="U49" s="3567"/>
      <c r="V49" s="3567"/>
      <c r="W49" s="3567"/>
      <c r="X49" s="1497"/>
      <c r="Y49" s="1497"/>
      <c r="Z49" s="1497"/>
      <c r="AA49" s="1497"/>
      <c r="AB49" s="1497"/>
      <c r="AC49" s="1497"/>
    </row>
    <row r="50" spans="1:29">
      <c r="A50" s="3213"/>
      <c r="B50" s="3213"/>
      <c r="C50" s="3213"/>
      <c r="D50" s="3213"/>
      <c r="E50" s="3213"/>
      <c r="F50" s="3213"/>
      <c r="G50" s="3215"/>
      <c r="H50" s="3213"/>
      <c r="I50" s="3213"/>
      <c r="J50" s="3213"/>
      <c r="K50" s="3216"/>
      <c r="L50" s="2032"/>
      <c r="M50" s="2028"/>
      <c r="N50" s="2028"/>
      <c r="O50" s="2028"/>
      <c r="P50" s="2028"/>
      <c r="Q50" s="2028"/>
      <c r="R50" s="2028"/>
      <c r="S50" s="2028"/>
      <c r="T50" s="2028"/>
      <c r="U50" s="2028"/>
      <c r="V50" s="2028"/>
      <c r="W50" s="2028"/>
      <c r="X50" s="2028"/>
      <c r="Y50" s="2028"/>
      <c r="Z50" s="2028"/>
      <c r="AA50" s="2028"/>
      <c r="AB50" s="2028"/>
      <c r="AC50" s="2028"/>
    </row>
    <row r="51" spans="1:29">
      <c r="A51" s="3213"/>
      <c r="B51" s="3213"/>
      <c r="C51" s="3213"/>
      <c r="D51" s="3213"/>
      <c r="E51" s="3213"/>
      <c r="F51" s="3213"/>
      <c r="G51" s="3213"/>
      <c r="H51" s="3213"/>
      <c r="I51" s="3213"/>
      <c r="J51" s="3213"/>
      <c r="K51" s="3216"/>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3"/>
      <c r="B52" s="3213"/>
      <c r="C52" s="616" t="s">
        <v>551</v>
      </c>
      <c r="D52" s="617"/>
      <c r="E52" s="618">
        <f>IF(E47&lt;E48,E48/E47-1,E47/E48-1)</f>
        <v>0.21065375302663436</v>
      </c>
      <c r="F52" s="619" t="str">
        <f>IF(OR(E52&gt;=0.3,E52&lt;=-0.3),"超过30%","")</f>
        <v/>
      </c>
      <c r="G52" s="618">
        <f>IF(G47&lt;G48,G48/G47-1,G47/G48-1)</f>
        <v>0.17878192534381143</v>
      </c>
      <c r="H52" s="619" t="str">
        <f>IF(OR(G52&gt;=0.3,G52&lt;=-0.3),"超过30%","")</f>
        <v/>
      </c>
      <c r="I52" s="618">
        <f>IF(I47&lt;I48,I48/I47-1,I47/I48-1)</f>
        <v>0.17872403123618685</v>
      </c>
      <c r="J52" s="619" t="str">
        <f>IF(OR(I52&gt;=0.3,I52&lt;=-0.3),"超过30%","")</f>
        <v/>
      </c>
      <c r="K52" s="3216"/>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3"/>
      <c r="B53" s="3213"/>
      <c r="C53" s="616" t="s">
        <v>552</v>
      </c>
      <c r="D53" s="620"/>
      <c r="E53" s="618">
        <f>IF(E48&lt;G48,G48/E48-1,E48/G48-1)</f>
        <v>1.3619854721549363E-3</v>
      </c>
      <c r="F53" s="619" t="str">
        <f>IF(OR(E53&gt;=0.2,E53&lt;=-0.2),"超过20%","")</f>
        <v/>
      </c>
      <c r="G53" s="618">
        <f>IF(G48&lt;I48,I48/G48-1,G48/I48-1)</f>
        <v>2.5691400936980413E-2</v>
      </c>
      <c r="H53" s="619" t="str">
        <f>IF(OR(G53&gt;=0.2,G53&lt;=-0.2),"超过20%","")</f>
        <v/>
      </c>
      <c r="I53" s="618">
        <f>IF(I48&lt;E48,E48/I48-1,I48/E48-1)</f>
        <v>2.7088377723970991E-2</v>
      </c>
      <c r="J53" s="619" t="str">
        <f>IF(OR(I53&gt;=0.2,I53&lt;=-0.2),"超过20%","")</f>
        <v/>
      </c>
      <c r="K53" s="3216"/>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4"/>
      <c r="B54" s="3214"/>
      <c r="C54" s="616" t="s">
        <v>553</v>
      </c>
      <c r="D54" s="620"/>
      <c r="E54" s="618">
        <f>IF(E47&lt;G47,G47/E47-1,E47/G47-1)</f>
        <v>2.564102564102555E-2</v>
      </c>
      <c r="F54" s="619" t="str">
        <f>IF(OR(E54&gt;=0.3,E54&lt;=-0.3),"超过30%","")</f>
        <v/>
      </c>
      <c r="G54" s="618">
        <f>IF(G47&lt;I47,I47/G47-1,G47/I47-1)</f>
        <v>2.564102564102555E-2</v>
      </c>
      <c r="H54" s="619" t="str">
        <f>IF(OR(G54&gt;=0.3,G54&lt;=-0.3),"超过30%","")</f>
        <v/>
      </c>
      <c r="I54" s="618">
        <f>IF(I47&lt;E47,E47/I47-1,I47/E47-1)</f>
        <v>0</v>
      </c>
      <c r="J54" s="619" t="str">
        <f>IF(OR(I54&gt;=0.3,I54&lt;=-0.3),"超过30%","")</f>
        <v/>
      </c>
      <c r="K54" s="3217"/>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2021-3</v>
      </c>
      <c r="D58" s="2522">
        <f>EDATE(C58,-1)</f>
        <v>44228</v>
      </c>
      <c r="E58" s="2522">
        <f t="shared" ref="E58:O58" si="16">EDATE(D58,-1)</f>
        <v>44197</v>
      </c>
      <c r="F58" s="2522">
        <f t="shared" si="16"/>
        <v>44166</v>
      </c>
      <c r="G58" s="2522">
        <f t="shared" si="16"/>
        <v>44136</v>
      </c>
      <c r="H58" s="2522">
        <f t="shared" si="16"/>
        <v>44105</v>
      </c>
      <c r="I58" s="2522">
        <f t="shared" si="16"/>
        <v>44075</v>
      </c>
      <c r="J58" s="2522">
        <f t="shared" si="16"/>
        <v>44044</v>
      </c>
      <c r="K58" s="2522">
        <f t="shared" si="16"/>
        <v>44013</v>
      </c>
      <c r="L58" s="2522">
        <f t="shared" si="16"/>
        <v>43983</v>
      </c>
      <c r="M58" s="2522">
        <f t="shared" si="16"/>
        <v>43952</v>
      </c>
      <c r="N58" s="2522">
        <f t="shared" si="16"/>
        <v>43922</v>
      </c>
      <c r="O58" s="2522">
        <f t="shared" si="16"/>
        <v>43891</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v>100</v>
      </c>
      <c r="E59" s="642">
        <v>100</v>
      </c>
      <c r="F59" s="642">
        <v>99.5</v>
      </c>
      <c r="G59" s="642">
        <f>F59</f>
        <v>99.5</v>
      </c>
      <c r="H59" s="642">
        <f>G59</f>
        <v>99.5</v>
      </c>
      <c r="I59" s="642">
        <f>H59-0.5</f>
        <v>99</v>
      </c>
      <c r="J59" s="642">
        <f>I59</f>
        <v>99</v>
      </c>
      <c r="K59" s="642">
        <f>J59</f>
        <v>99</v>
      </c>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t="str">
        <f>C9</f>
        <v>住宅</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v>100</v>
      </c>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v>0</v>
      </c>
      <c r="D68" s="535">
        <v>1</v>
      </c>
      <c r="E68" s="535">
        <v>2</v>
      </c>
      <c r="F68" s="535">
        <v>3</v>
      </c>
      <c r="G68" s="535">
        <v>4</v>
      </c>
      <c r="H68" s="535">
        <v>5</v>
      </c>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98</v>
      </c>
      <c r="E77" s="671">
        <f>D77-$K15</f>
        <v>96</v>
      </c>
      <c r="F77" s="671">
        <f>E77-$K15</f>
        <v>94</v>
      </c>
      <c r="G77" s="671">
        <f>F77-$K15</f>
        <v>92</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98</v>
      </c>
      <c r="E79" s="671">
        <f>D79-$K17</f>
        <v>96</v>
      </c>
      <c r="F79" s="671">
        <f>E79-$K17</f>
        <v>94</v>
      </c>
      <c r="G79" s="671">
        <f>F79-$K17</f>
        <v>92</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98</v>
      </c>
      <c r="E81" s="671">
        <f>D81-$K19</f>
        <v>96</v>
      </c>
      <c r="F81" s="671">
        <f>E81-$K19</f>
        <v>94</v>
      </c>
      <c r="G81" s="671">
        <f>F81-$K19</f>
        <v>92</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99</v>
      </c>
      <c r="E83" s="671">
        <f>D83-$K21</f>
        <v>98</v>
      </c>
      <c r="F83" s="671">
        <f>E83-$K21</f>
        <v>97</v>
      </c>
      <c r="G83" s="671">
        <f>F83-$K21</f>
        <v>96</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98</v>
      </c>
      <c r="E85" s="671">
        <f>D85-$K23</f>
        <v>96</v>
      </c>
      <c r="F85" s="671">
        <f>E85-$K23</f>
        <v>94</v>
      </c>
      <c r="G85" s="671">
        <f>F85-$K23</f>
        <v>92</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3285" t="s">
        <v>3190</v>
      </c>
      <c r="D100" s="3285" t="s">
        <v>3162</v>
      </c>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90</v>
      </c>
      <c r="E101" s="671">
        <f t="shared" si="22"/>
        <v>80</v>
      </c>
      <c r="F101" s="671">
        <f t="shared" si="22"/>
        <v>70</v>
      </c>
      <c r="G101" s="671">
        <f t="shared" si="22"/>
        <v>60</v>
      </c>
      <c r="H101" s="671">
        <f t="shared" si="22"/>
        <v>50</v>
      </c>
      <c r="I101" s="671">
        <f t="shared" si="22"/>
        <v>40</v>
      </c>
      <c r="J101" s="671">
        <f t="shared" si="22"/>
        <v>30</v>
      </c>
      <c r="K101" s="671">
        <f t="shared" si="22"/>
        <v>20</v>
      </c>
      <c r="L101" s="671">
        <f t="shared" si="22"/>
        <v>10</v>
      </c>
      <c r="M101" s="671">
        <f t="shared" si="22"/>
        <v>0</v>
      </c>
      <c r="N101" s="2048"/>
      <c r="O101" s="2048"/>
      <c r="P101" s="2047"/>
      <c r="Q101" s="2040"/>
      <c r="R101" s="2028"/>
      <c r="S101" s="2028"/>
      <c r="T101" s="2028"/>
      <c r="U101" s="2028"/>
      <c r="V101" s="2028"/>
      <c r="W101" s="2028"/>
      <c r="X101" s="2028"/>
      <c r="Y101" s="2028"/>
      <c r="Z101" s="2028"/>
      <c r="AA101" s="2028"/>
      <c r="AB101" s="2028"/>
      <c r="AC101" s="2028"/>
    </row>
    <row r="102" spans="1:29" ht="29.25" thickTop="1">
      <c r="A102" s="661"/>
      <c r="B102" s="665" t="s">
        <v>742</v>
      </c>
      <c r="C102" s="700" t="str">
        <f>C103&amp;"(含)"&amp;"-"&amp;D103</f>
        <v>0(含)-50000</v>
      </c>
      <c r="D102" s="700" t="str">
        <f t="shared" ref="D102:L102" si="23">D103&amp;"(含)"&amp;"-"&amp;E103</f>
        <v>50000(含)-100000</v>
      </c>
      <c r="E102" s="700" t="str">
        <f t="shared" si="23"/>
        <v>100000(含)-200000</v>
      </c>
      <c r="F102" s="700" t="str">
        <f t="shared" si="23"/>
        <v>200000(含)-300000</v>
      </c>
      <c r="G102" s="700" t="str">
        <f t="shared" si="23"/>
        <v>300000(含)-400000</v>
      </c>
      <c r="H102" s="700" t="str">
        <f t="shared" si="23"/>
        <v>400000(含)-500000</v>
      </c>
      <c r="I102" s="700" t="str">
        <f t="shared" si="23"/>
        <v>500000(含)-1000000</v>
      </c>
      <c r="J102" s="700" t="str">
        <f t="shared" si="23"/>
        <v>1000000(含)-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v>0</v>
      </c>
      <c r="D103" s="722">
        <v>50000</v>
      </c>
      <c r="E103" s="722">
        <v>100000</v>
      </c>
      <c r="F103" s="722">
        <v>200000</v>
      </c>
      <c r="G103" s="722">
        <v>300000</v>
      </c>
      <c r="H103" s="722">
        <v>400000</v>
      </c>
      <c r="I103" s="722">
        <v>500000</v>
      </c>
      <c r="J103" s="723">
        <v>1000000</v>
      </c>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v>100</v>
      </c>
      <c r="D104" s="663">
        <f>C104+1</f>
        <v>101</v>
      </c>
      <c r="E104" s="663">
        <f t="shared" ref="E104:I104" si="24">D104+1</f>
        <v>102</v>
      </c>
      <c r="F104" s="663">
        <f t="shared" si="24"/>
        <v>103</v>
      </c>
      <c r="G104" s="663">
        <f t="shared" si="24"/>
        <v>104</v>
      </c>
      <c r="H104" s="663">
        <f t="shared" si="24"/>
        <v>105</v>
      </c>
      <c r="I104" s="663">
        <f t="shared" si="24"/>
        <v>106</v>
      </c>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3287" t="s">
        <v>3164</v>
      </c>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1">
        <f t="shared" si="25"/>
        <v>80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3286" t="s">
        <v>3166</v>
      </c>
      <c r="D107" s="3286" t="s">
        <v>3168</v>
      </c>
      <c r="E107" s="3286" t="s">
        <v>3169</v>
      </c>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6">C108-$K35</f>
        <v>98</v>
      </c>
      <c r="E108" s="671">
        <f t="shared" si="26"/>
        <v>96</v>
      </c>
      <c r="F108" s="671">
        <f t="shared" si="26"/>
        <v>94</v>
      </c>
      <c r="G108" s="671">
        <f t="shared" si="26"/>
        <v>92</v>
      </c>
      <c r="H108" s="671">
        <f t="shared" si="26"/>
        <v>90</v>
      </c>
      <c r="I108" s="671">
        <f t="shared" si="26"/>
        <v>88</v>
      </c>
      <c r="J108" s="671">
        <f t="shared" si="26"/>
        <v>86</v>
      </c>
      <c r="K108" s="671">
        <f t="shared" si="26"/>
        <v>84</v>
      </c>
      <c r="L108" s="671">
        <f t="shared" si="26"/>
        <v>82</v>
      </c>
      <c r="M108" s="671">
        <f t="shared" si="26"/>
        <v>80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3287" t="s">
        <v>3171</v>
      </c>
      <c r="D109" s="3287" t="s">
        <v>3172</v>
      </c>
      <c r="E109" s="3287" t="s">
        <v>3173</v>
      </c>
      <c r="F109" s="3286" t="s">
        <v>3175</v>
      </c>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7">C110-$K36</f>
        <v>98</v>
      </c>
      <c r="E110" s="671">
        <f t="shared" si="27"/>
        <v>96</v>
      </c>
      <c r="F110" s="671">
        <f t="shared" si="27"/>
        <v>94</v>
      </c>
      <c r="G110" s="671">
        <f t="shared" si="27"/>
        <v>92</v>
      </c>
      <c r="H110" s="671">
        <f t="shared" si="27"/>
        <v>90</v>
      </c>
      <c r="I110" s="671">
        <f t="shared" si="27"/>
        <v>88</v>
      </c>
      <c r="J110" s="671">
        <f t="shared" si="27"/>
        <v>86</v>
      </c>
      <c r="K110" s="671">
        <f t="shared" si="27"/>
        <v>84</v>
      </c>
      <c r="L110" s="671">
        <f t="shared" si="27"/>
        <v>82</v>
      </c>
      <c r="M110" s="671">
        <f t="shared" si="27"/>
        <v>80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3287" t="s">
        <v>3177</v>
      </c>
      <c r="D114" s="3287" t="s">
        <v>3178</v>
      </c>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8">C115-$K38</f>
        <v>98</v>
      </c>
      <c r="E115" s="671">
        <f t="shared" si="28"/>
        <v>96</v>
      </c>
      <c r="F115" s="671">
        <f t="shared" si="28"/>
        <v>94</v>
      </c>
      <c r="G115" s="671">
        <f t="shared" si="28"/>
        <v>92</v>
      </c>
      <c r="H115" s="671">
        <f t="shared" si="28"/>
        <v>90</v>
      </c>
      <c r="I115" s="671">
        <f t="shared" si="28"/>
        <v>88</v>
      </c>
      <c r="J115" s="671">
        <f t="shared" si="28"/>
        <v>86</v>
      </c>
      <c r="K115" s="671">
        <f t="shared" si="28"/>
        <v>84</v>
      </c>
      <c r="L115" s="671">
        <f t="shared" si="28"/>
        <v>82</v>
      </c>
      <c r="M115" s="671">
        <f t="shared" si="28"/>
        <v>80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t="str">
        <f>C82</f>
        <v>七通</v>
      </c>
      <c r="D116" s="680" t="str">
        <f>D82</f>
        <v>六通</v>
      </c>
      <c r="E116" s="680" t="str">
        <f>E82</f>
        <v>五通</v>
      </c>
      <c r="F116" s="680" t="str">
        <f>F82</f>
        <v>四通</v>
      </c>
      <c r="G116" s="680" t="str">
        <f>G82</f>
        <v>三通</v>
      </c>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9">C119-$K40</f>
        <v>100</v>
      </c>
      <c r="E119" s="671">
        <f t="shared" si="29"/>
        <v>100</v>
      </c>
      <c r="F119" s="671">
        <f t="shared" si="29"/>
        <v>100</v>
      </c>
      <c r="G119" s="671">
        <f t="shared" si="29"/>
        <v>100</v>
      </c>
      <c r="H119" s="671">
        <f t="shared" si="29"/>
        <v>100</v>
      </c>
      <c r="I119" s="671">
        <f t="shared" si="29"/>
        <v>100</v>
      </c>
      <c r="J119" s="671">
        <f t="shared" si="29"/>
        <v>100</v>
      </c>
      <c r="K119" s="671">
        <f t="shared" si="29"/>
        <v>100</v>
      </c>
      <c r="L119" s="671">
        <f t="shared" si="29"/>
        <v>100</v>
      </c>
      <c r="M119" s="671">
        <f t="shared" si="29"/>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t="str">
        <f>C109</f>
        <v>精装修</v>
      </c>
      <c r="D122" s="680" t="str">
        <f>D109</f>
        <v>普通装修</v>
      </c>
      <c r="E122" s="680" t="str">
        <f>E109</f>
        <v>简单装修</v>
      </c>
      <c r="F122" s="680" t="str">
        <f>F109</f>
        <v>毛坯</v>
      </c>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1">
        <f t="shared" si="30"/>
        <v>80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F11" zoomScale="90" zoomScaleNormal="60" zoomScaleSheetLayoutView="90" workbookViewId="0">
      <selection activeCell="P41" sqref="P41"/>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9" t="s">
        <v>943</v>
      </c>
      <c r="E1" s="2243" t="s">
        <v>2359</v>
      </c>
      <c r="F1" s="2244">
        <f ca="1">J53</f>
        <v>0</v>
      </c>
      <c r="G1" s="3258">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#DIV/0!</v>
      </c>
      <c r="C2" s="3263"/>
      <c r="D2" s="3264"/>
      <c r="E2" s="3265"/>
      <c r="F2" s="3265"/>
      <c r="G2" s="3259"/>
      <c r="H2" s="1941"/>
      <c r="I2" s="1941"/>
      <c r="J2" s="1941"/>
      <c r="K2" s="1942"/>
      <c r="L2" s="1941"/>
      <c r="M2" s="1941"/>
    </row>
    <row r="3" spans="1:33" ht="18" customHeight="1" thickBot="1">
      <c r="A3" s="822" t="s">
        <v>1718</v>
      </c>
      <c r="B3" s="823">
        <f ca="1">IF(ISERROR(B2*10000/F43),0,ROUND(B2*10000/F43,0))</f>
        <v>0</v>
      </c>
      <c r="C3" s="3263"/>
      <c r="D3" s="3264"/>
      <c r="E3" s="3265"/>
      <c r="F3" s="3265"/>
      <c r="G3" s="3259"/>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1815</v>
      </c>
      <c r="B6" s="3559" t="s">
        <v>2444</v>
      </c>
      <c r="C6" s="773">
        <f ca="1">ROUND(F6*F8*F7*(1-F9)/10000,0)</f>
        <v>0</v>
      </c>
      <c r="D6" s="2351" t="s">
        <v>2443</v>
      </c>
      <c r="E6" s="774" t="s">
        <v>1729</v>
      </c>
      <c r="F6" s="775">
        <f ca="1">INDIRECT("'数据-取费表'!u"&amp;$G$1)</f>
        <v>0</v>
      </c>
      <c r="G6" s="1946"/>
      <c r="H6" s="2358" t="s">
        <v>2449</v>
      </c>
      <c r="I6" s="3559" t="s">
        <v>2444</v>
      </c>
      <c r="J6" s="773">
        <f ca="1">ROUND(M6*M8*M7*(1-M9)/10000,0)</f>
        <v>0</v>
      </c>
      <c r="K6" s="339" t="s">
        <v>1728</v>
      </c>
      <c r="L6" s="774" t="s">
        <v>1729</v>
      </c>
      <c r="M6" s="775">
        <f ca="1">INDIRECT("'数据-取费表'!z"&amp;$G$1)</f>
        <v>0</v>
      </c>
    </row>
    <row r="7" spans="1:33" ht="18" customHeight="1">
      <c r="A7" s="2354"/>
      <c r="B7" s="3560"/>
      <c r="C7" s="778"/>
      <c r="D7" s="779"/>
      <c r="E7" s="774" t="s">
        <v>1730</v>
      </c>
      <c r="F7" s="775">
        <f ca="1">IF(INDIRECT("'数据-取费表'!ah"&amp;$G$1)="",INDIRECT("'数据-取费表'!k"&amp;$G$1),INDIRECT("'数据-取费表'!ah"&amp;$G$1))</f>
        <v>0</v>
      </c>
      <c r="G7" s="1946"/>
      <c r="H7" s="2343"/>
      <c r="I7" s="3560"/>
      <c r="J7" s="778"/>
      <c r="K7" s="779"/>
      <c r="L7" s="774" t="s">
        <v>1730</v>
      </c>
      <c r="M7" s="775">
        <f ca="1">F7</f>
        <v>0</v>
      </c>
    </row>
    <row r="8" spans="1:33" ht="18" customHeight="1">
      <c r="A8" s="2347"/>
      <c r="B8" s="3561"/>
      <c r="C8" s="778"/>
      <c r="D8" s="779"/>
      <c r="E8" s="774" t="s">
        <v>1731</v>
      </c>
      <c r="F8" s="775">
        <f ca="1">INDIRECT("'数据-取费表'!ai"&amp;$G$1)</f>
        <v>0</v>
      </c>
      <c r="G8" s="1946"/>
      <c r="H8" s="2343"/>
      <c r="I8" s="3561"/>
      <c r="J8" s="778"/>
      <c r="K8" s="779"/>
      <c r="L8" s="774" t="s">
        <v>1731</v>
      </c>
      <c r="M8" s="775">
        <f ca="1">INDIRECT("'数据-取费表'!ai"&amp;$G$1)</f>
        <v>0</v>
      </c>
    </row>
    <row r="9" spans="1:33" ht="18" customHeight="1">
      <c r="A9" s="776"/>
      <c r="B9" s="3562"/>
      <c r="C9" s="778"/>
      <c r="D9" s="779"/>
      <c r="E9" s="774" t="s">
        <v>1732</v>
      </c>
      <c r="F9" s="784">
        <f ca="1">INDIRECT("'数据-取费表'!w"&amp;$G$1)</f>
        <v>0</v>
      </c>
      <c r="G9" s="1946"/>
      <c r="H9" s="2359"/>
      <c r="I9" s="3561"/>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2933</v>
      </c>
      <c r="E10" s="2352" t="s">
        <v>2445</v>
      </c>
      <c r="F10" s="2466"/>
      <c r="G10" s="1946"/>
      <c r="H10" s="2415" t="s">
        <v>2450</v>
      </c>
      <c r="I10" s="2420" t="s">
        <v>2440</v>
      </c>
      <c r="J10" s="773">
        <f ca="1">ROUND(IF(M10="押一",J6/12*M11,IF(M10="押二",J6/12*2*M11,IF(M10="押三",J6/12*3*M11,J11*M11))),0)</f>
        <v>0</v>
      </c>
      <c r="K10" s="2355" t="s">
        <v>2933</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0</v>
      </c>
      <c r="D13" s="1750" t="s">
        <v>2285</v>
      </c>
      <c r="E13" s="1750" t="s">
        <v>1735</v>
      </c>
      <c r="F13" s="2390">
        <f ca="1">INDIRECT("'数据-取费表'!y"&amp;$G$1)</f>
        <v>0</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2805</v>
      </c>
      <c r="J14" s="53">
        <f ca="1">C29</f>
        <v>0</v>
      </c>
      <c r="K14" s="26"/>
      <c r="L14" s="791"/>
      <c r="M14" s="792"/>
    </row>
    <row r="15" spans="1:33" s="1948" customFormat="1" ht="18" customHeight="1" thickBot="1">
      <c r="A15" s="1577" t="s">
        <v>1876</v>
      </c>
      <c r="B15" s="774" t="s">
        <v>641</v>
      </c>
      <c r="C15" s="53">
        <f ca="1">ROUND(C14*F15,0)</f>
        <v>0</v>
      </c>
      <c r="D15" s="796" t="s">
        <v>1737</v>
      </c>
      <c r="E15" s="796" t="s">
        <v>1738</v>
      </c>
      <c r="F15" s="797">
        <f>'数据-取费表'!B33</f>
        <v>0.02</v>
      </c>
      <c r="G15" s="3260"/>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0</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200</v>
      </c>
      <c r="G17" s="3260"/>
      <c r="H17" s="1578" t="s">
        <v>1821</v>
      </c>
      <c r="I17" s="774" t="s">
        <v>650</v>
      </c>
      <c r="J17" s="3020">
        <f ca="1">ROUND(IF(AND(项目基本情况!B11="自然人",项目基本情况!B10="北京市"),J6*M17/(1+'数据-取费表'!C42),J18+J19+J20),0)</f>
        <v>0</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1.4999999999999999E-2</v>
      </c>
      <c r="G18" s="3260"/>
      <c r="H18" s="1577" t="s">
        <v>1875</v>
      </c>
      <c r="I18" s="774" t="s">
        <v>1746</v>
      </c>
      <c r="J18" s="53">
        <f ca="1">ROUND(J6*M18/(1+'数据-取费表'!C42),1)</f>
        <v>0</v>
      </c>
      <c r="K18" s="2338" t="s">
        <v>1747</v>
      </c>
      <c r="L18" s="774" t="s">
        <v>1738</v>
      </c>
      <c r="M18" s="799">
        <f>'数据-取费表'!B41</f>
        <v>5.6500000000000002E-2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0.03</v>
      </c>
      <c r="G20" s="3260"/>
      <c r="H20" s="1580" t="s">
        <v>1871</v>
      </c>
      <c r="I20" s="339" t="s">
        <v>1751</v>
      </c>
      <c r="J20" s="54">
        <f ca="1">ROUND(M20*M21/10000,0)</f>
        <v>0</v>
      </c>
      <c r="K20" s="803" t="s">
        <v>1752</v>
      </c>
      <c r="L20" s="774" t="s">
        <v>1753</v>
      </c>
      <c r="M20" s="632">
        <f>'数据-取费表'!B52</f>
        <v>6</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0.03</v>
      </c>
      <c r="G21" s="3260"/>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0</v>
      </c>
      <c r="K22" s="2338" t="s">
        <v>1760</v>
      </c>
      <c r="L22" s="774" t="s">
        <v>1738</v>
      </c>
      <c r="M22" s="806">
        <f ca="1">INDIRECT("'数据-取费表'!Ak"&amp;$G$1)</f>
        <v>0</v>
      </c>
    </row>
    <row r="23" spans="1:33" s="1948" customFormat="1" ht="18" customHeight="1">
      <c r="A23" s="1577" t="s">
        <v>1822</v>
      </c>
      <c r="B23" s="774" t="s">
        <v>2516</v>
      </c>
      <c r="C23" s="53">
        <f ca="1">ROUND(IF('数据-取费表'!B22&lt;=1,(C19+C20)*F24*F23/2,(C19+C20)*(POWER((1+F24),F23/2)-1)),0)</f>
        <v>0</v>
      </c>
      <c r="D23" s="2424" t="str">
        <f>IF(F23&lt;=1,"(建造成本+管理费用)×利率×(建设周期÷2)","(建造成本+管理费用)×((1+利率)^(建设周期÷2)-1)")</f>
        <v>(建造成本+管理费用)×((1+利率)^(建设周期÷2)-1)</v>
      </c>
      <c r="E23" s="774" t="s">
        <v>1761</v>
      </c>
      <c r="F23" s="632">
        <f>'数据-取费表'!B20</f>
        <v>2</v>
      </c>
      <c r="G23" s="3260"/>
      <c r="H23" s="1578" t="s">
        <v>1881</v>
      </c>
      <c r="I23" s="774" t="s">
        <v>673</v>
      </c>
      <c r="J23" s="53">
        <f ca="1">ROUND(J13*M23,0)</f>
        <v>0</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1.2999999999999999E-3</v>
      </c>
      <c r="D24" s="2424" t="str">
        <f>IF(F23&lt;=1,"销售费用×利率×(建设周期÷2)","销售费用×((1+利率)^(建设周期÷2)-1)")</f>
        <v>销售费用×((1+利率)^(建设周期÷2)-1)</v>
      </c>
      <c r="E24" s="774" t="s">
        <v>1764</v>
      </c>
      <c r="F24" s="808">
        <f ca="1">'数据-取费表'!B40</f>
        <v>4.3499999999999997E-2</v>
      </c>
      <c r="G24" s="3260"/>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2801</v>
      </c>
      <c r="J25" s="782">
        <f ca="1">J5-J16</f>
        <v>0</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2806</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5.3800000000000001E-2</v>
      </c>
      <c r="D28" s="801" t="s">
        <v>2287</v>
      </c>
      <c r="E28" s="774" t="s">
        <v>1776</v>
      </c>
      <c r="F28" s="799">
        <f>'数据-取费表'!B41</f>
        <v>5.6500000000000002E-2</v>
      </c>
      <c r="G28" s="3260"/>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0</v>
      </c>
      <c r="D29" s="2399"/>
      <c r="E29" s="2400"/>
      <c r="F29" s="2401"/>
      <c r="G29" s="3260"/>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0</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0</v>
      </c>
      <c r="D31" s="1894" t="s">
        <v>1783</v>
      </c>
      <c r="E31" s="1892" t="s">
        <v>1784</v>
      </c>
      <c r="F31" s="3019" t="str">
        <f>IF(项目基本情况!B11="企业","——",IF('数据-取费表'!B10="住宅",IF(F6*F7*F8/12/(1+'数据-取费表'!F30)&gt;100000,4%,2.5%),IF(F6*F7*F8/12/(1+'数据-取费表'!F30)&gt;100000,12%,7%)))</f>
        <v>——</v>
      </c>
      <c r="G31" s="1946"/>
      <c r="H31" s="3257" t="s">
        <v>2991</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5.6500000000000002E-2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6</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f ca="1">ROUND(C13*J36,0)</f>
        <v>0</v>
      </c>
      <c r="K35" s="1962"/>
      <c r="L35" s="1961"/>
      <c r="M35" s="1961"/>
    </row>
    <row r="36" spans="1:18" ht="18" customHeight="1">
      <c r="A36" s="1578" t="s">
        <v>1880</v>
      </c>
      <c r="B36" s="774" t="s">
        <v>1793</v>
      </c>
      <c r="C36" s="53">
        <f ca="1">ROUND(C29*F36,1)</f>
        <v>0</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f ca="1">ROUND(C13*F37,1)</f>
        <v>0</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4" t="s">
        <v>2801</v>
      </c>
      <c r="C39" s="782">
        <f ca="1">C5-C30</f>
        <v>0</v>
      </c>
      <c r="D39" s="2402" t="s">
        <v>1797</v>
      </c>
      <c r="E39" s="2403"/>
      <c r="F39" s="2404"/>
      <c r="G39" s="1946"/>
      <c r="H39" s="1961"/>
      <c r="I39" s="826" t="s">
        <v>1809</v>
      </c>
      <c r="J39" s="834" t="e">
        <f ca="1">ROUND(J35/C39,3)</f>
        <v>#DIV/0!</v>
      </c>
      <c r="K39" s="1966"/>
      <c r="L39" s="1961"/>
      <c r="M39" s="1961"/>
    </row>
    <row r="40" spans="1:18" ht="18" customHeight="1">
      <c r="A40" s="771" t="s">
        <v>1886</v>
      </c>
      <c r="B40" s="2113" t="s">
        <v>2289</v>
      </c>
      <c r="C40" s="773" t="e">
        <f ca="1">ROUND(C39*(1-((1+F42)/(1+F40))^F41)/(F40-F42),0)</f>
        <v>#DIV/0!</v>
      </c>
      <c r="D40" s="803" t="s">
        <v>1798</v>
      </c>
      <c r="E40" s="774" t="s">
        <v>2404</v>
      </c>
      <c r="F40" s="784">
        <f ca="1">INDIRECT("'数据-取费表'!I"&amp;$G$1)</f>
        <v>0</v>
      </c>
      <c r="G40" s="1946"/>
      <c r="H40" s="1946"/>
      <c r="I40" s="826" t="s">
        <v>1810</v>
      </c>
      <c r="J40" s="834" t="e">
        <f ca="1">1-J39</f>
        <v>#DIV/0!</v>
      </c>
      <c r="K40" s="1966"/>
      <c r="L40" s="1946"/>
      <c r="M40" s="1946"/>
    </row>
    <row r="41" spans="1:18" ht="18" customHeight="1">
      <c r="A41" s="776"/>
      <c r="B41" s="777"/>
      <c r="C41" s="778"/>
      <c r="D41" s="810" t="s">
        <v>1799</v>
      </c>
      <c r="E41" s="774" t="s">
        <v>2924</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#DIV/0!</v>
      </c>
      <c r="K42" s="1965"/>
      <c r="L42" s="1901"/>
      <c r="M42" s="1901"/>
    </row>
    <row r="43" spans="1:18" ht="18" customHeight="1" thickBot="1">
      <c r="A43" s="812" t="s">
        <v>1778</v>
      </c>
      <c r="B43" s="813" t="s">
        <v>1801</v>
      </c>
      <c r="C43" s="814" t="e">
        <f ca="1">ROUND(C40*10000/F43,0)</f>
        <v>#DIV/0!</v>
      </c>
      <c r="D43" s="815" t="s">
        <v>1802</v>
      </c>
      <c r="E43" s="816" t="s">
        <v>1803</v>
      </c>
      <c r="F43" s="817">
        <f ca="1">INDIRECT("'数据-取费表'!k"&amp;$G$1)</f>
        <v>0</v>
      </c>
      <c r="G43" s="1946"/>
      <c r="H43" s="1901"/>
      <c r="I43" s="836" t="s">
        <v>1813</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#DIV/0!</v>
      </c>
      <c r="D46" s="3261"/>
      <c r="E46" s="3261"/>
      <c r="F46" s="3261"/>
      <c r="I46" s="2234" t="s">
        <v>2328</v>
      </c>
      <c r="J46" s="2235"/>
      <c r="K46" s="2236"/>
      <c r="L46" s="2812" t="e">
        <f ca="1">IF(OR(M47="住宅",D1="土地（套用方法）"),0,IF(L48&gt;J51,L60,J60))</f>
        <v>#DIV/0!</v>
      </c>
      <c r="M46" s="3262"/>
      <c r="O46" s="2250" t="s">
        <v>2395</v>
      </c>
      <c r="P46" s="1527"/>
      <c r="Q46" s="1535"/>
      <c r="R46" s="1527"/>
    </row>
    <row r="47" spans="1:18" s="1943" customFormat="1" ht="18" customHeight="1" thickBot="1">
      <c r="A47" s="2228">
        <v>1</v>
      </c>
      <c r="B47" s="2229" t="s">
        <v>629</v>
      </c>
      <c r="C47" s="2427">
        <f ca="1">C48+C52+C54</f>
        <v>0</v>
      </c>
      <c r="D47" s="3261"/>
      <c r="E47" s="3261"/>
      <c r="F47" s="3261"/>
      <c r="I47" s="2803" t="s">
        <v>2329</v>
      </c>
      <c r="J47" s="2237"/>
      <c r="K47" s="2809" t="s">
        <v>2334</v>
      </c>
      <c r="L47" s="2813">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800" t="s">
        <v>2330</v>
      </c>
      <c r="J48" s="2238"/>
      <c r="K48" s="2810" t="s">
        <v>2336</v>
      </c>
      <c r="L48" s="1823">
        <f ca="1">INDIRECT("'数据-取费表'!f"&amp;$G$1)</f>
        <v>0</v>
      </c>
      <c r="M48" s="3262"/>
      <c r="O48" s="2254" t="s">
        <v>2364</v>
      </c>
      <c r="P48" s="2255" t="s">
        <v>2390</v>
      </c>
      <c r="Q48" s="2256" t="e">
        <f ca="1">C40+J29</f>
        <v>#DIV/0!</v>
      </c>
      <c r="R48" s="2255" t="s">
        <v>2365</v>
      </c>
    </row>
    <row r="49" spans="1:18" s="1943" customFormat="1" ht="18" customHeight="1" thickBot="1">
      <c r="A49" s="776"/>
      <c r="B49" s="777"/>
      <c r="C49" s="778"/>
      <c r="D49" s="779"/>
      <c r="E49" s="774" t="s">
        <v>1730</v>
      </c>
      <c r="F49" s="775">
        <f ca="1">F7</f>
        <v>0</v>
      </c>
      <c r="G49" s="1973"/>
      <c r="H49" s="1976"/>
      <c r="I49" s="2800" t="s">
        <v>2331</v>
      </c>
      <c r="J49" s="2239"/>
      <c r="K49" s="2811" t="s">
        <v>2337</v>
      </c>
      <c r="L49" s="2240"/>
      <c r="M49" s="3262"/>
      <c r="O49" s="2254" t="s">
        <v>2366</v>
      </c>
      <c r="P49" s="2255" t="s">
        <v>2391</v>
      </c>
      <c r="Q49" s="2256" t="e">
        <f ca="1">J60</f>
        <v>#DIV/0!</v>
      </c>
      <c r="R49" s="2255" t="s">
        <v>2367</v>
      </c>
    </row>
    <row r="50" spans="1:18" s="1943" customFormat="1" ht="18" customHeight="1" thickBot="1">
      <c r="A50" s="776"/>
      <c r="B50" s="777"/>
      <c r="C50" s="778"/>
      <c r="D50" s="779"/>
      <c r="E50" s="774" t="s">
        <v>1731</v>
      </c>
      <c r="F50" s="775">
        <f ca="1">F8</f>
        <v>0</v>
      </c>
      <c r="G50" s="1978"/>
      <c r="H50" s="1976"/>
      <c r="I50" s="2800" t="s">
        <v>2332</v>
      </c>
      <c r="J50" s="2807">
        <f>SUMPRODUCT((I63:I65=J47)*(J62:L62=J48)*(J63:L65))</f>
        <v>0</v>
      </c>
      <c r="K50" s="2811" t="s">
        <v>2338</v>
      </c>
      <c r="L50" s="2240"/>
      <c r="M50" s="3262"/>
      <c r="O50" s="2257" t="s">
        <v>2368</v>
      </c>
      <c r="P50" s="2255" t="s">
        <v>2392</v>
      </c>
      <c r="Q50" s="2256">
        <f ca="1">C29</f>
        <v>0</v>
      </c>
      <c r="R50" s="2255" t="s">
        <v>2365</v>
      </c>
    </row>
    <row r="51" spans="1:18" s="1943" customFormat="1" ht="18" customHeight="1" thickBot="1">
      <c r="A51" s="776"/>
      <c r="B51" s="777"/>
      <c r="C51" s="778"/>
      <c r="D51" s="779"/>
      <c r="E51" s="774" t="s">
        <v>634</v>
      </c>
      <c r="F51" s="2227"/>
      <c r="H51" s="1976"/>
      <c r="I51" s="2804" t="s">
        <v>2333</v>
      </c>
      <c r="J51" s="2808">
        <f>IF(J49="",J50,J49+J50-YEAR('数据-取费表'!B2))</f>
        <v>0</v>
      </c>
      <c r="K51" s="2800" t="s">
        <v>2339</v>
      </c>
      <c r="L51" s="2814">
        <f ca="1">ROUND(-PV(INDIRECT("'数据-取费表'!h"&amp;$G$1),J51,(C39-C13*J36),0),0)</f>
        <v>0</v>
      </c>
      <c r="M51" s="3262"/>
      <c r="O51" s="2257" t="s">
        <v>2369</v>
      </c>
      <c r="P51" s="2255" t="s">
        <v>2370</v>
      </c>
      <c r="Q51" s="2258" t="e">
        <f ca="1">J58</f>
        <v>#DIV/0!</v>
      </c>
      <c r="R51" s="2259"/>
    </row>
    <row r="52" spans="1:18" s="1943" customFormat="1" ht="18" customHeight="1" thickBot="1">
      <c r="A52" s="771" t="s">
        <v>2517</v>
      </c>
      <c r="B52" s="2348" t="s">
        <v>2440</v>
      </c>
      <c r="C52" s="789">
        <f ca="1">ROUND(IF(F52="押一",C48/12*F11,IF(F52="押二",C48/12*2*F11,IF(F52="押三",C48/12*3*F11,C53*F11))),0)</f>
        <v>0</v>
      </c>
      <c r="D52" s="2355" t="s">
        <v>2934</v>
      </c>
      <c r="E52" s="2352" t="s">
        <v>2445</v>
      </c>
      <c r="F52" s="2466"/>
      <c r="I52" s="2805" t="s">
        <v>2406</v>
      </c>
      <c r="J52" s="2241"/>
      <c r="K52" s="2805" t="s">
        <v>2405</v>
      </c>
      <c r="L52" s="2241"/>
      <c r="M52" s="3262"/>
      <c r="O52" s="2257" t="s">
        <v>2371</v>
      </c>
      <c r="P52" s="2255" t="s">
        <v>2372</v>
      </c>
      <c r="Q52" s="2258">
        <f>J52</f>
        <v>0</v>
      </c>
      <c r="R52" s="2259"/>
    </row>
    <row r="53" spans="1:18" s="1943" customFormat="1" ht="39.75" customHeight="1" thickBot="1">
      <c r="A53" s="776"/>
      <c r="B53" s="2349" t="s">
        <v>2554</v>
      </c>
      <c r="C53" s="2353"/>
      <c r="D53" s="2355"/>
      <c r="E53" s="2352"/>
      <c r="F53" s="790"/>
      <c r="I53" s="2806" t="s">
        <v>2937</v>
      </c>
      <c r="J53" s="2859">
        <f ca="1">IF(M47="住宅",IF(D1="——",MAX(J51,L48),MAX(J51,L48-'数据-取费表'!B20)),IF(D1="——",MIN(J51,L48),MIN(J51,L48-'数据-取费表'!B20)))</f>
        <v>0</v>
      </c>
      <c r="K53" s="3570" t="s">
        <v>2926</v>
      </c>
      <c r="L53" s="3571"/>
      <c r="M53" s="3262"/>
      <c r="O53" s="2257" t="s">
        <v>2373</v>
      </c>
      <c r="P53" s="2255" t="s">
        <v>2374</v>
      </c>
      <c r="Q53" s="2256">
        <f ca="1">J53</f>
        <v>0</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2"/>
      <c r="O54" s="2254" t="s">
        <v>2376</v>
      </c>
      <c r="P54" s="2255" t="s">
        <v>2393</v>
      </c>
      <c r="Q54" s="2256" t="e">
        <f ca="1">Q48+Q49</f>
        <v>#DIV/0!</v>
      </c>
      <c r="R54" s="2259" t="s">
        <v>2377</v>
      </c>
    </row>
    <row r="55" spans="1:18" s="1943" customFormat="1" ht="18" customHeight="1" thickTop="1" thickBot="1">
      <c r="A55" s="787">
        <v>2</v>
      </c>
      <c r="B55" s="788" t="s">
        <v>638</v>
      </c>
      <c r="C55" s="789">
        <f ca="1">C13</f>
        <v>0</v>
      </c>
      <c r="D55" s="785"/>
      <c r="E55" s="785"/>
      <c r="F55" s="790"/>
      <c r="I55" s="2817" t="s">
        <v>2340</v>
      </c>
      <c r="J55" s="2789" t="e">
        <f ca="1">ROUND(IF(J47="钢混",J57/J50,1-(1-2%)*(J50-J57)/J50),3)</f>
        <v>#DIV/0!</v>
      </c>
      <c r="K55" s="2818" t="s">
        <v>2341</v>
      </c>
      <c r="L55" s="2242"/>
      <c r="M55" s="3262"/>
      <c r="O55" s="2260" t="s">
        <v>2396</v>
      </c>
      <c r="P55" s="1527"/>
      <c r="Q55" s="1535"/>
      <c r="R55" s="1527"/>
    </row>
    <row r="56" spans="1:18" s="1943" customFormat="1" ht="42.75" customHeight="1" thickBot="1">
      <c r="A56" s="1579"/>
      <c r="B56" s="2112" t="s">
        <v>2290</v>
      </c>
      <c r="C56" s="53">
        <f ca="1">C29</f>
        <v>0</v>
      </c>
      <c r="D56" s="2482"/>
      <c r="E56" s="774"/>
      <c r="F56" s="799"/>
      <c r="I56" s="2819" t="s">
        <v>2342</v>
      </c>
      <c r="J56" s="2829"/>
      <c r="K56" s="2800" t="s">
        <v>2347</v>
      </c>
      <c r="L56" s="1823">
        <f ca="1">IF(L48&lt;J51,"——",L48-J51)</f>
        <v>0</v>
      </c>
      <c r="M56" s="3262"/>
      <c r="O56" s="2251" t="s">
        <v>2360</v>
      </c>
      <c r="P56" s="2252" t="s">
        <v>2361</v>
      </c>
      <c r="Q56" s="2253" t="s">
        <v>2362</v>
      </c>
      <c r="R56" s="2252" t="s">
        <v>2363</v>
      </c>
    </row>
    <row r="57" spans="1:18" s="1943" customFormat="1" ht="28.5" customHeight="1" thickBot="1">
      <c r="A57" s="787" t="s">
        <v>1739</v>
      </c>
      <c r="B57" s="788" t="s">
        <v>645</v>
      </c>
      <c r="C57" s="789">
        <f ca="1">ROUND(C58+C63+C64+C65,0)</f>
        <v>0</v>
      </c>
      <c r="D57" s="26" t="s">
        <v>1741</v>
      </c>
      <c r="E57" s="2483"/>
      <c r="F57" s="56"/>
      <c r="I57" s="2820" t="s">
        <v>2343</v>
      </c>
      <c r="J57" s="2821">
        <f ca="1">IF(OR(M47="住宅",J51&lt;L48,J56="是"),"——",J51-L48)</f>
        <v>0</v>
      </c>
      <c r="K57" s="2800" t="s">
        <v>2348</v>
      </c>
      <c r="L57" s="1823">
        <f ca="1">IF(L48&lt;J51,"——",IF(L55="比较法",L49,IF(L55="基准地价",L50,L51)))</f>
        <v>0</v>
      </c>
      <c r="M57" s="3262"/>
      <c r="O57" s="2254" t="s">
        <v>2364</v>
      </c>
      <c r="P57" s="2255" t="s">
        <v>2394</v>
      </c>
      <c r="Q57" s="2256" t="e">
        <f ca="1">C40+J29</f>
        <v>#DIV/0!</v>
      </c>
      <c r="R57" s="2255" t="s">
        <v>2365</v>
      </c>
    </row>
    <row r="58" spans="1:18" s="1943" customFormat="1" ht="28.5" customHeight="1" thickBot="1">
      <c r="A58" s="1578" t="s">
        <v>1815</v>
      </c>
      <c r="B58" s="774" t="s">
        <v>650</v>
      </c>
      <c r="C58" s="3020">
        <f ca="1">ROUND(IF(AND(项目基本情况!B11="自然人",项目基本情况!B10="北京市"),C48*F58/(1+'数据-取费表'!C42),C59+C60+C61),0)</f>
        <v>0</v>
      </c>
      <c r="D58" s="2481" t="s">
        <v>651</v>
      </c>
      <c r="E58" s="2482" t="s">
        <v>684</v>
      </c>
      <c r="F58" s="3019" t="str">
        <f>IF(项目基本情况!B11="企业","——",IF('数据-取费表'!B10="住宅",IF(F48*F49*F50/12/(1+'数据-取费表'!F30)&gt;100000,4%,2.5%),IF(F48*F49*F50/12/(1+'数据-取费表'!F30)&gt;100000,12%,7%)))</f>
        <v>——</v>
      </c>
      <c r="I58" s="2820" t="s">
        <v>2344</v>
      </c>
      <c r="J58" s="2790" t="e">
        <f ca="1">IF(J55&lt;0.4,0.4,J55)</f>
        <v>#DIV/0!</v>
      </c>
      <c r="K58" s="2800" t="s">
        <v>2349</v>
      </c>
      <c r="L58" s="1823" t="e">
        <f ca="1">ROUND(POWER(1+L52,L47-L48)*(POWER(1+L52,L48)-1)/(POWER(1+L52,L47)-1),4)</f>
        <v>#DIV/0!</v>
      </c>
      <c r="M58" s="3262"/>
      <c r="O58" s="2254" t="s">
        <v>2366</v>
      </c>
      <c r="P58" s="2255" t="s">
        <v>2397</v>
      </c>
      <c r="Q58" s="2256" t="e">
        <f ca="1">L60</f>
        <v>#DIV/0!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5.6500000000000002E-2</v>
      </c>
      <c r="I59" s="2820" t="s">
        <v>2345</v>
      </c>
      <c r="J59" s="2821" t="e">
        <f ca="1">IF(OR(M47="住宅",J51&lt;L48,J56="是"),"——",ROUND(C29*J58,0))</f>
        <v>#DIV/0!</v>
      </c>
      <c r="K59" s="2800"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2"/>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按房产原值计税</v>
      </c>
      <c r="E60" s="774" t="s">
        <v>1738</v>
      </c>
      <c r="F60" s="799">
        <f t="shared" si="0"/>
        <v>1.2E-2</v>
      </c>
      <c r="I60" s="2822" t="s">
        <v>2346</v>
      </c>
      <c r="J60" s="2823" t="e">
        <f ca="1">IF(OR(M47="住宅",J51&lt;L48,J56="是"),"0",ROUND(J59/(1+J52)^J53,0))</f>
        <v>#DIV/0!</v>
      </c>
      <c r="K60" s="2824" t="s">
        <v>2351</v>
      </c>
      <c r="L60" s="2823" t="e">
        <f ca="1">IF(OR(M47="住宅",L48&lt;J51),0,ROUND(L57*(L58/L59-1),0))</f>
        <v>#DIV/0!</v>
      </c>
      <c r="M60" s="3262"/>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6</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5" t="s">
        <v>2352</v>
      </c>
      <c r="J62" s="2826" t="s">
        <v>2353</v>
      </c>
      <c r="K62" s="2826" t="s">
        <v>2354</v>
      </c>
      <c r="L62" s="2826" t="s">
        <v>2335</v>
      </c>
      <c r="M62" s="2827" t="s">
        <v>2905</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f ca="1">ROUND(C56*F63,1)</f>
        <v>0</v>
      </c>
      <c r="D63" s="2482" t="s">
        <v>1794</v>
      </c>
      <c r="E63" s="774" t="s">
        <v>1738</v>
      </c>
      <c r="F63" s="806">
        <f t="shared" ca="1" si="0"/>
        <v>0</v>
      </c>
      <c r="I63" s="2825" t="s">
        <v>2355</v>
      </c>
      <c r="J63" s="2826">
        <v>70</v>
      </c>
      <c r="K63" s="2826">
        <v>50</v>
      </c>
      <c r="L63" s="2826">
        <v>80</v>
      </c>
      <c r="M63" s="2828">
        <v>0.02</v>
      </c>
      <c r="O63" s="2254" t="s">
        <v>2376</v>
      </c>
      <c r="P63" s="2255" t="s">
        <v>2393</v>
      </c>
      <c r="Q63" s="2256" t="e">
        <f ca="1">Q57+Q58</f>
        <v>#DIV/0!</v>
      </c>
      <c r="R63" s="2259" t="s">
        <v>2377</v>
      </c>
    </row>
    <row r="64" spans="1:18" s="1943" customFormat="1" ht="16.5" thickBot="1">
      <c r="A64" s="1578" t="s">
        <v>1881</v>
      </c>
      <c r="B64" s="774" t="s">
        <v>673</v>
      </c>
      <c r="C64" s="53">
        <f ca="1">ROUND(C55*F64,1)</f>
        <v>0</v>
      </c>
      <c r="D64" s="2482" t="s">
        <v>674</v>
      </c>
      <c r="E64" s="774" t="s">
        <v>1738</v>
      </c>
      <c r="F64" s="807">
        <f t="shared" ca="1" si="0"/>
        <v>0</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2801</v>
      </c>
      <c r="C66" s="789">
        <f ca="1">C47-C57</f>
        <v>0</v>
      </c>
      <c r="D66" s="2481" t="s">
        <v>694</v>
      </c>
      <c r="E66" s="2480"/>
      <c r="F66" s="809"/>
      <c r="K66" s="1969"/>
      <c r="O66" s="2254" t="s">
        <v>2364</v>
      </c>
      <c r="P66" s="2255" t="s">
        <v>2394</v>
      </c>
      <c r="Q66" s="2256" t="e">
        <f ca="1">C40+J29</f>
        <v>#DIV/0!</v>
      </c>
      <c r="R66" s="2255" t="s">
        <v>2365</v>
      </c>
    </row>
    <row r="67" spans="1:18" s="1943" customFormat="1" ht="20.25" thickBot="1">
      <c r="A67" s="771" t="s">
        <v>1771</v>
      </c>
      <c r="B67" s="2113" t="s">
        <v>2289</v>
      </c>
      <c r="C67" s="773" t="e">
        <f ca="1">ROUND(C66*(1-((1+F69)/(1+F67))^F68)/(F67-F69),0)</f>
        <v>#DIV/0!</v>
      </c>
      <c r="D67" s="803" t="s">
        <v>698</v>
      </c>
      <c r="E67" s="774" t="s">
        <v>699</v>
      </c>
      <c r="F67" s="784">
        <f ca="1">F40</f>
        <v>0</v>
      </c>
      <c r="K67" s="1969"/>
      <c r="O67" s="2254" t="s">
        <v>2366</v>
      </c>
      <c r="P67" s="2255" t="s">
        <v>2397</v>
      </c>
      <c r="Q67" s="2256" t="e">
        <f ca="1">L60</f>
        <v>#DIV/0!</v>
      </c>
      <c r="R67" s="2259" t="s">
        <v>2399</v>
      </c>
    </row>
    <row r="68" spans="1:18" ht="21.75" thickBot="1">
      <c r="A68" s="776"/>
      <c r="B68" s="777"/>
      <c r="C68" s="778"/>
      <c r="D68" s="810" t="s">
        <v>1799</v>
      </c>
      <c r="E68" s="774" t="s">
        <v>1775</v>
      </c>
      <c r="F68" s="811">
        <f ca="1">F41</f>
        <v>0</v>
      </c>
      <c r="O68" s="2257" t="s">
        <v>2368</v>
      </c>
      <c r="P68" s="2255" t="s">
        <v>2398</v>
      </c>
      <c r="Q68" s="2261">
        <f ca="1">L51</f>
        <v>0</v>
      </c>
      <c r="R68" s="2262" t="s">
        <v>2401</v>
      </c>
    </row>
    <row r="69" spans="1:18" ht="20.25" thickBot="1">
      <c r="A69" s="780"/>
      <c r="B69" s="781"/>
      <c r="C69" s="782"/>
      <c r="D69" s="805"/>
      <c r="E69" s="774" t="s">
        <v>704</v>
      </c>
      <c r="F69" s="2227"/>
      <c r="O69" s="2257" t="s">
        <v>2369</v>
      </c>
      <c r="P69" s="2263" t="s">
        <v>2383</v>
      </c>
      <c r="Q69" s="2256">
        <f ca="1">ROUND(Q70-Q71*Q72,0)</f>
        <v>0</v>
      </c>
      <c r="R69" s="2259"/>
    </row>
    <row r="70" spans="1:18" ht="15.75" thickBot="1">
      <c r="A70" s="812" t="s">
        <v>1778</v>
      </c>
      <c r="B70" s="813" t="s">
        <v>1801</v>
      </c>
      <c r="C70" s="814" t="e">
        <f ca="1">ROUND(C67*10000/F70,0)</f>
        <v>#DIV/0!</v>
      </c>
      <c r="D70" s="815" t="s">
        <v>1802</v>
      </c>
      <c r="E70" s="816" t="s">
        <v>1803</v>
      </c>
      <c r="F70" s="817">
        <f ca="1">F43</f>
        <v>0</v>
      </c>
      <c r="O70" s="2257" t="s">
        <v>2384</v>
      </c>
      <c r="P70" s="2263" t="s">
        <v>2385</v>
      </c>
      <c r="Q70" s="2256">
        <f ca="1">C39</f>
        <v>0</v>
      </c>
      <c r="R70" s="2255" t="s">
        <v>2365</v>
      </c>
    </row>
    <row r="71" spans="1:18" ht="15.75" thickBot="1">
      <c r="O71" s="2257" t="s">
        <v>2386</v>
      </c>
      <c r="P71" s="2263" t="s">
        <v>2387</v>
      </c>
      <c r="Q71" s="2256">
        <f ca="1">C13</f>
        <v>0</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t="e">
        <f ca="1">Q66+Q67</f>
        <v>#DIV/0!</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88" t="s">
        <v>2452</v>
      </c>
      <c r="B1" s="3589"/>
      <c r="C1" s="3590"/>
      <c r="D1" s="3591">
        <f>SUM(I10,I15,I20,I21,I23)</f>
        <v>0</v>
      </c>
      <c r="E1" s="3591"/>
      <c r="F1" s="3591"/>
      <c r="G1" s="3591"/>
      <c r="H1" s="3591"/>
      <c r="I1" s="3592"/>
    </row>
    <row r="2" spans="1:9">
      <c r="A2" s="3578" t="s">
        <v>2453</v>
      </c>
      <c r="B2" s="3579" t="s">
        <v>2454</v>
      </c>
      <c r="C2" s="3579"/>
      <c r="D2" s="2361" t="s">
        <v>2455</v>
      </c>
      <c r="E2" s="2361" t="s">
        <v>2456</v>
      </c>
      <c r="F2" s="2361" t="s">
        <v>2457</v>
      </c>
      <c r="G2" s="2361" t="s">
        <v>2458</v>
      </c>
      <c r="H2" s="2361" t="s">
        <v>2459</v>
      </c>
      <c r="I2" s="2362" t="s">
        <v>2460</v>
      </c>
    </row>
    <row r="3" spans="1:9">
      <c r="A3" s="3578"/>
      <c r="B3" s="3579" t="s">
        <v>2461</v>
      </c>
      <c r="C3" s="3579"/>
      <c r="D3" s="2363"/>
      <c r="E3" s="2361"/>
      <c r="F3" s="2364"/>
      <c r="G3" s="2364"/>
      <c r="H3" s="2365"/>
      <c r="I3" s="2366">
        <f>ROUND(D3*E3*F3*G3*H3/10000,0)</f>
        <v>0</v>
      </c>
    </row>
    <row r="4" spans="1:9">
      <c r="A4" s="3578"/>
      <c r="B4" s="3579" t="s">
        <v>2462</v>
      </c>
      <c r="C4" s="3579"/>
      <c r="D4" s="2363"/>
      <c r="E4" s="2361"/>
      <c r="F4" s="2364"/>
      <c r="G4" s="2364"/>
      <c r="H4" s="2365"/>
      <c r="I4" s="2366">
        <f t="shared" ref="I4:I9" si="0">ROUND(D4*E4*F4*G4*H4/10000,0)</f>
        <v>0</v>
      </c>
    </row>
    <row r="5" spans="1:9">
      <c r="A5" s="3578"/>
      <c r="B5" s="3579" t="s">
        <v>2463</v>
      </c>
      <c r="C5" s="3579"/>
      <c r="D5" s="2363"/>
      <c r="E5" s="2361"/>
      <c r="F5" s="2364"/>
      <c r="G5" s="2364"/>
      <c r="H5" s="2365"/>
      <c r="I5" s="2366">
        <f t="shared" si="0"/>
        <v>0</v>
      </c>
    </row>
    <row r="6" spans="1:9">
      <c r="A6" s="3578"/>
      <c r="B6" s="3579" t="s">
        <v>2464</v>
      </c>
      <c r="C6" s="3579"/>
      <c r="D6" s="2363"/>
      <c r="E6" s="2361"/>
      <c r="F6" s="2364"/>
      <c r="G6" s="2364"/>
      <c r="H6" s="2365"/>
      <c r="I6" s="2366">
        <f t="shared" si="0"/>
        <v>0</v>
      </c>
    </row>
    <row r="7" spans="1:9">
      <c r="A7" s="3578"/>
      <c r="B7" s="3579" t="s">
        <v>2465</v>
      </c>
      <c r="C7" s="3579"/>
      <c r="D7" s="2363"/>
      <c r="E7" s="2361"/>
      <c r="F7" s="2364"/>
      <c r="G7" s="2364"/>
      <c r="H7" s="2365"/>
      <c r="I7" s="2366">
        <f t="shared" si="0"/>
        <v>0</v>
      </c>
    </row>
    <row r="8" spans="1:9">
      <c r="A8" s="3578"/>
      <c r="B8" s="3579" t="s">
        <v>2466</v>
      </c>
      <c r="C8" s="3579"/>
      <c r="D8" s="2363"/>
      <c r="E8" s="2361"/>
      <c r="F8" s="2364"/>
      <c r="G8" s="2364"/>
      <c r="H8" s="2365"/>
      <c r="I8" s="2366">
        <f t="shared" si="0"/>
        <v>0</v>
      </c>
    </row>
    <row r="9" spans="1:9">
      <c r="A9" s="3578"/>
      <c r="B9" s="3579" t="s">
        <v>2467</v>
      </c>
      <c r="C9" s="3579"/>
      <c r="D9" s="2363"/>
      <c r="E9" s="2361"/>
      <c r="F9" s="2364"/>
      <c r="G9" s="2364"/>
      <c r="H9" s="2365"/>
      <c r="I9" s="2366">
        <f t="shared" si="0"/>
        <v>0</v>
      </c>
    </row>
    <row r="10" spans="1:9">
      <c r="A10" s="3578"/>
      <c r="B10" s="3580" t="s">
        <v>2468</v>
      </c>
      <c r="C10" s="3580"/>
      <c r="D10" s="2367">
        <v>527</v>
      </c>
      <c r="E10" s="2367" t="e">
        <f>ROUND(D1*10000/D10/H9,0)</f>
        <v>#DIV/0!</v>
      </c>
      <c r="F10" s="2368"/>
      <c r="G10" s="2368"/>
      <c r="H10" s="2369"/>
      <c r="I10" s="2370">
        <f>SUM(I3:I9)</f>
        <v>0</v>
      </c>
    </row>
    <row r="11" spans="1:9" ht="14.25">
      <c r="A11" s="3578" t="s">
        <v>2469</v>
      </c>
      <c r="B11" s="3579" t="s">
        <v>2470</v>
      </c>
      <c r="C11" s="3579"/>
      <c r="D11" s="2363" t="s">
        <v>2471</v>
      </c>
      <c r="E11" s="2363" t="s">
        <v>2472</v>
      </c>
      <c r="F11" s="2364" t="s">
        <v>2473</v>
      </c>
      <c r="G11" s="2364" t="s">
        <v>2474</v>
      </c>
      <c r="H11" s="2371" t="s">
        <v>2475</v>
      </c>
      <c r="I11" s="2362" t="s">
        <v>2476</v>
      </c>
    </row>
    <row r="12" spans="1:9">
      <c r="A12" s="3578"/>
      <c r="B12" s="3579" t="s">
        <v>2477</v>
      </c>
      <c r="C12" s="3579"/>
      <c r="D12" s="2363"/>
      <c r="E12" s="2363"/>
      <c r="F12" s="2364"/>
      <c r="G12" s="2365"/>
      <c r="H12" s="2372"/>
      <c r="I12" s="2362">
        <f>ROUND(D12*E12*F12*G12/10000,0)</f>
        <v>0</v>
      </c>
    </row>
    <row r="13" spans="1:9">
      <c r="A13" s="3578"/>
      <c r="B13" s="3579" t="s">
        <v>2478</v>
      </c>
      <c r="C13" s="3579"/>
      <c r="D13" s="2363"/>
      <c r="E13" s="2363"/>
      <c r="F13" s="2364"/>
      <c r="G13" s="2365"/>
      <c r="H13" s="2372"/>
      <c r="I13" s="2362">
        <f>ROUND(D13*E13*F13*G13/10000,0)</f>
        <v>0</v>
      </c>
    </row>
    <row r="14" spans="1:9">
      <c r="A14" s="3578"/>
      <c r="B14" s="3579" t="s">
        <v>2479</v>
      </c>
      <c r="C14" s="3579"/>
      <c r="D14" s="2363"/>
      <c r="E14" s="2363"/>
      <c r="F14" s="2364"/>
      <c r="G14" s="2365"/>
      <c r="H14" s="2372"/>
      <c r="I14" s="2362">
        <f>ROUND(D14*E14*F14*G14/10000,0)</f>
        <v>0</v>
      </c>
    </row>
    <row r="15" spans="1:9">
      <c r="A15" s="3578"/>
      <c r="B15" s="3580" t="s">
        <v>2468</v>
      </c>
      <c r="C15" s="3580"/>
      <c r="D15" s="2367"/>
      <c r="E15" s="2367">
        <f>SUM(E12:E14)</f>
        <v>0</v>
      </c>
      <c r="F15" s="2368"/>
      <c r="G15" s="2365"/>
      <c r="H15" s="2372"/>
      <c r="I15" s="2373">
        <f>SUM(I12:I14)</f>
        <v>0</v>
      </c>
    </row>
    <row r="16" spans="1:9" ht="24">
      <c r="A16" s="3578" t="s">
        <v>2480</v>
      </c>
      <c r="B16" s="3579" t="s">
        <v>2481</v>
      </c>
      <c r="C16" s="3579"/>
      <c r="D16" s="2363" t="s">
        <v>2482</v>
      </c>
      <c r="E16" s="2374" t="s">
        <v>2483</v>
      </c>
      <c r="F16" s="2364" t="s">
        <v>2484</v>
      </c>
      <c r="G16" s="2365" t="s">
        <v>2474</v>
      </c>
      <c r="H16" s="2371" t="s">
        <v>2475</v>
      </c>
      <c r="I16" s="2362" t="s">
        <v>2476</v>
      </c>
    </row>
    <row r="17" spans="1:9" ht="14.25">
      <c r="A17" s="3578"/>
      <c r="B17" s="3579" t="s">
        <v>2485</v>
      </c>
      <c r="C17" s="3579"/>
      <c r="D17" s="2363"/>
      <c r="E17" s="2363"/>
      <c r="F17" s="2364"/>
      <c r="G17" s="2365"/>
      <c r="H17" s="2375"/>
      <c r="I17" s="2376">
        <f>ROUND(D17*E17*F17*G17/10000,0)</f>
        <v>0</v>
      </c>
    </row>
    <row r="18" spans="1:9" ht="14.25">
      <c r="A18" s="3578"/>
      <c r="B18" s="3579" t="s">
        <v>2486</v>
      </c>
      <c r="C18" s="3579"/>
      <c r="D18" s="2363"/>
      <c r="E18" s="2363"/>
      <c r="F18" s="2364"/>
      <c r="G18" s="2365"/>
      <c r="H18" s="2375"/>
      <c r="I18" s="2376">
        <f>ROUND(D18*E18*F18*G18/10000,0)</f>
        <v>0</v>
      </c>
    </row>
    <row r="19" spans="1:9" ht="14.25">
      <c r="A19" s="3578"/>
      <c r="B19" s="3579" t="s">
        <v>2487</v>
      </c>
      <c r="C19" s="3579"/>
      <c r="D19" s="2363"/>
      <c r="E19" s="2363"/>
      <c r="F19" s="2364"/>
      <c r="G19" s="2365"/>
      <c r="H19" s="2375"/>
      <c r="I19" s="2376">
        <f>ROUND(D19*E19*F19*G19/10000,0)</f>
        <v>0</v>
      </c>
    </row>
    <row r="20" spans="1:9">
      <c r="A20" s="3578"/>
      <c r="B20" s="3580" t="s">
        <v>2468</v>
      </c>
      <c r="C20" s="3580"/>
      <c r="D20" s="2367">
        <f>SUM(D17:D19)</f>
        <v>0</v>
      </c>
      <c r="E20" s="2367"/>
      <c r="F20" s="2368"/>
      <c r="G20" s="2365"/>
      <c r="H20" s="2372"/>
      <c r="I20" s="2373">
        <f>SUM(I17:I19)</f>
        <v>0</v>
      </c>
    </row>
    <row r="21" spans="1:9">
      <c r="A21" s="3578" t="s">
        <v>2488</v>
      </c>
      <c r="B21" s="3581"/>
      <c r="C21" s="3581"/>
      <c r="D21" s="3581"/>
      <c r="E21" s="3581"/>
      <c r="F21" s="3581"/>
      <c r="G21" s="3581"/>
      <c r="H21" s="2377">
        <v>0.1</v>
      </c>
      <c r="I21" s="2370">
        <f>ROUND(I10*H21,0)</f>
        <v>0</v>
      </c>
    </row>
    <row r="22" spans="1:9" ht="14.25">
      <c r="A22" s="3582" t="s">
        <v>2489</v>
      </c>
      <c r="B22" s="3583"/>
      <c r="C22" s="3584"/>
      <c r="D22" s="2378" t="s">
        <v>2490</v>
      </c>
      <c r="E22" s="2378" t="s">
        <v>2491</v>
      </c>
      <c r="F22" s="2379" t="s">
        <v>2492</v>
      </c>
      <c r="G22" s="2379" t="s">
        <v>2493</v>
      </c>
      <c r="H22" s="2371" t="s">
        <v>2494</v>
      </c>
      <c r="I22" s="2362" t="s">
        <v>2495</v>
      </c>
    </row>
    <row r="23" spans="1:9" ht="14.25" thickBot="1">
      <c r="A23" s="3585"/>
      <c r="B23" s="3586"/>
      <c r="C23" s="3587"/>
      <c r="D23" s="2380"/>
      <c r="E23" s="2380"/>
      <c r="F23" s="2380"/>
      <c r="G23" s="2381"/>
      <c r="H23" s="2382"/>
      <c r="I23" s="2383">
        <f>ROUND(E23*D23*F23*(1-G23)/10000,0)</f>
        <v>0</v>
      </c>
    </row>
    <row r="26" spans="1:9">
      <c r="A26" s="2384" t="s">
        <v>2496</v>
      </c>
      <c r="B26" s="2384"/>
      <c r="C26" s="2384"/>
      <c r="D26" s="2384"/>
      <c r="E26" s="3575">
        <f>C27-C30-C31-C32</f>
        <v>0</v>
      </c>
      <c r="F26" s="3575"/>
      <c r="G26" s="3575"/>
      <c r="H26" s="2757" t="s">
        <v>2822</v>
      </c>
    </row>
    <row r="27" spans="1:9">
      <c r="A27" s="2385">
        <v>1</v>
      </c>
      <c r="B27" s="2386" t="s">
        <v>2497</v>
      </c>
      <c r="C27" s="2386"/>
      <c r="D27" s="2386"/>
      <c r="E27" s="3576"/>
      <c r="F27" s="3576"/>
      <c r="G27" s="3576"/>
    </row>
    <row r="28" spans="1:9">
      <c r="A28" s="2387" t="s">
        <v>2498</v>
      </c>
      <c r="B28" s="2386" t="s">
        <v>2499</v>
      </c>
      <c r="C28" s="2386"/>
      <c r="D28" s="2386"/>
      <c r="E28" s="3576"/>
      <c r="F28" s="3576"/>
      <c r="G28" s="3576"/>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77"/>
      <c r="F32" s="3577"/>
      <c r="G32" s="3577"/>
    </row>
    <row r="33" spans="1:7" hidden="1">
      <c r="A33" s="3572" t="s">
        <v>2507</v>
      </c>
      <c r="B33" s="3573"/>
      <c r="C33" s="3573"/>
      <c r="D33" s="3574"/>
      <c r="E33" s="3575"/>
      <c r="F33" s="3575"/>
      <c r="G33" s="3575"/>
    </row>
    <row r="34" spans="1:7" hidden="1">
      <c r="A34" s="2389">
        <v>1</v>
      </c>
      <c r="B34" s="2386" t="s">
        <v>2508</v>
      </c>
      <c r="C34" s="2386"/>
      <c r="D34" s="2386"/>
      <c r="E34" s="3576"/>
      <c r="F34" s="3576"/>
      <c r="G34" s="3576"/>
    </row>
    <row r="35" spans="1:7" hidden="1">
      <c r="A35" s="2389">
        <v>2</v>
      </c>
      <c r="B35" s="2386" t="s">
        <v>2509</v>
      </c>
      <c r="C35" s="2386"/>
      <c r="D35" s="2386"/>
      <c r="E35" s="3576"/>
      <c r="F35" s="3576"/>
      <c r="G35" s="3576"/>
    </row>
    <row r="36" spans="1:7" hidden="1">
      <c r="A36" s="2389">
        <v>3</v>
      </c>
      <c r="B36" s="2386" t="s">
        <v>2510</v>
      </c>
      <c r="C36" s="2386"/>
      <c r="D36" s="2386"/>
      <c r="E36" s="3576"/>
      <c r="F36" s="3576"/>
      <c r="G36" s="3576"/>
    </row>
    <row r="37" spans="1:7" hidden="1">
      <c r="A37" s="2389">
        <v>4</v>
      </c>
      <c r="B37" s="2386" t="s">
        <v>2511</v>
      </c>
      <c r="C37" s="2386"/>
      <c r="D37" s="2386"/>
      <c r="E37" s="3576"/>
      <c r="F37" s="3576"/>
      <c r="G37" s="3576"/>
    </row>
    <row r="38" spans="1:7" hidden="1">
      <c r="A38" s="3572" t="s">
        <v>2512</v>
      </c>
      <c r="B38" s="3573"/>
      <c r="C38" s="3573"/>
      <c r="D38" s="3574"/>
      <c r="E38" s="3575"/>
      <c r="F38" s="3575"/>
      <c r="G38" s="35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7"/>
      <c r="D2" s="3267"/>
      <c r="E2" s="3267"/>
      <c r="F2" s="3267"/>
      <c r="G2" s="3267"/>
    </row>
    <row r="3" spans="1:25" s="1943" customFormat="1" ht="18" customHeight="1">
      <c r="A3" s="1331" t="s">
        <v>1676</v>
      </c>
      <c r="B3" s="419">
        <f ca="1">ROUND(B2*10000/'数据-汇总表'!E3,0)</f>
        <v>0</v>
      </c>
      <c r="C3" s="3267"/>
      <c r="D3" s="3267"/>
      <c r="E3" s="3267"/>
      <c r="F3" s="3267"/>
      <c r="G3" s="3267"/>
    </row>
    <row r="4" spans="1:25" s="1943" customFormat="1" ht="18" customHeight="1">
      <c r="A4" s="420" t="s">
        <v>462</v>
      </c>
      <c r="B4" s="421">
        <f ca="1">ROUND(B2*10000/'数据-汇总表'!D3,0)</f>
        <v>0</v>
      </c>
      <c r="C4" s="3220"/>
      <c r="D4" s="3267"/>
      <c r="E4" s="3267"/>
      <c r="F4" s="3267"/>
      <c r="G4" s="3267"/>
    </row>
    <row r="5" spans="1:25" s="1943" customFormat="1" ht="18" customHeight="1" thickBot="1">
      <c r="A5" s="423"/>
      <c r="B5" s="424">
        <f ca="1">ROUND(B2/('数据-汇总表'!D3/666.67),0)</f>
        <v>0</v>
      </c>
      <c r="C5" s="425" t="s">
        <v>463</v>
      </c>
      <c r="D5" s="3267"/>
      <c r="E5" s="3267"/>
      <c r="F5" s="3267"/>
      <c r="G5" s="3267"/>
    </row>
    <row r="6" spans="1:25" s="2065" customFormat="1" ht="13.5" customHeight="1">
      <c r="A6" s="735"/>
      <c r="B6" s="736" t="s">
        <v>598</v>
      </c>
      <c r="C6" s="737" t="s">
        <v>599</v>
      </c>
      <c r="D6" s="737" t="s">
        <v>600</v>
      </c>
      <c r="E6" s="738" t="s">
        <v>601</v>
      </c>
      <c r="F6" s="738" t="s">
        <v>602</v>
      </c>
      <c r="G6" s="3266" t="s">
        <v>2992</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0">
        <f t="shared" ref="C8:C9" si="0">ROUND(D8*E8/10000,0)</f>
        <v>0</v>
      </c>
      <c r="D8" s="3270">
        <v>0</v>
      </c>
      <c r="E8" s="3271">
        <v>0</v>
      </c>
      <c r="F8" s="741"/>
      <c r="G8" s="742"/>
    </row>
    <row r="9" spans="1:25" s="2065" customFormat="1" ht="13.5" customHeight="1">
      <c r="A9" s="2324" t="s">
        <v>2424</v>
      </c>
      <c r="B9" s="2327" t="s">
        <v>2426</v>
      </c>
      <c r="C9" s="3270">
        <f t="shared" si="0"/>
        <v>0</v>
      </c>
      <c r="D9" s="3270">
        <v>0</v>
      </c>
      <c r="E9" s="3271">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10722</v>
      </c>
      <c r="D12" s="3270">
        <f>'数据-汇总表'!E5</f>
        <v>494091.91</v>
      </c>
      <c r="E12" s="3270">
        <f>'数据-取费表'!B27</f>
        <v>217</v>
      </c>
      <c r="F12" s="746"/>
      <c r="G12" s="749"/>
    </row>
    <row r="13" spans="1:25" s="2065" customFormat="1" ht="13.5" customHeight="1">
      <c r="A13" s="2330" t="s">
        <v>2430</v>
      </c>
      <c r="B13" s="747" t="s">
        <v>606</v>
      </c>
      <c r="C13" s="748">
        <f>ROUND(D13*E13/10000,0)</f>
        <v>0</v>
      </c>
      <c r="D13" s="3270">
        <f>'数据-汇总表'!E6</f>
        <v>0</v>
      </c>
      <c r="E13" s="3270">
        <f>'数据-取费表'!B28</f>
        <v>217</v>
      </c>
      <c r="F13" s="746"/>
      <c r="G13" s="749"/>
    </row>
    <row r="14" spans="1:25" s="2065" customFormat="1" ht="13.5" customHeight="1">
      <c r="A14" s="2324" t="s">
        <v>2424</v>
      </c>
      <c r="B14" s="2329" t="s">
        <v>2427</v>
      </c>
      <c r="C14" s="3272">
        <f t="shared" ref="C14:C15" si="1">ROUND(D14*E14/10000,0)</f>
        <v>0</v>
      </c>
      <c r="D14" s="3270">
        <v>0</v>
      </c>
      <c r="E14" s="3271">
        <v>0</v>
      </c>
      <c r="F14" s="2328"/>
      <c r="G14" s="2331" t="s">
        <v>2432</v>
      </c>
    </row>
    <row r="15" spans="1:25" s="2065" customFormat="1" ht="13.5" customHeight="1">
      <c r="A15" s="2324" t="s">
        <v>2429</v>
      </c>
      <c r="B15" s="2329" t="s">
        <v>2428</v>
      </c>
      <c r="C15" s="3272">
        <f t="shared" si="1"/>
        <v>0</v>
      </c>
      <c r="D15" s="3270">
        <v>0</v>
      </c>
      <c r="E15" s="3271">
        <v>0</v>
      </c>
      <c r="F15" s="2328"/>
      <c r="G15" s="2331" t="s">
        <v>2433</v>
      </c>
    </row>
    <row r="16" spans="1:25" s="2066" customFormat="1" ht="48">
      <c r="A16" s="2324">
        <v>3</v>
      </c>
      <c r="B16" s="739" t="s">
        <v>609</v>
      </c>
      <c r="C16" s="3272">
        <f t="shared" ref="C16" si="2">ROUND(D16*E16/10000,0)</f>
        <v>0</v>
      </c>
      <c r="D16" s="3270">
        <v>0</v>
      </c>
      <c r="E16" s="3271">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0.89600000000000002</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69" customFormat="1">
      <c r="A24" s="3268"/>
      <c r="D24" s="1885"/>
      <c r="E24" s="1885"/>
    </row>
    <row r="25" spans="1:25" s="3269" customFormat="1">
      <c r="A25" s="3268"/>
      <c r="D25" s="1885"/>
      <c r="E25" s="1885"/>
    </row>
    <row r="26" spans="1:25" s="3269" customFormat="1">
      <c r="A26" s="3268"/>
      <c r="D26" s="1885"/>
      <c r="E26" s="1885"/>
    </row>
    <row r="27" spans="1:25" s="3269" customFormat="1">
      <c r="A27" s="3268"/>
      <c r="D27" s="1885"/>
      <c r="E27" s="1885"/>
    </row>
    <row r="28" spans="1:25" s="3269" customFormat="1">
      <c r="A28" s="3268"/>
      <c r="D28" s="1885"/>
      <c r="E28" s="1885"/>
    </row>
    <row r="29" spans="1:25" s="3269" customFormat="1">
      <c r="A29" s="3268"/>
      <c r="D29" s="1885"/>
      <c r="E29" s="1885"/>
    </row>
    <row r="30" spans="1:25" s="3269" customFormat="1">
      <c r="A30" s="3268"/>
      <c r="D30" s="1885"/>
      <c r="E30" s="1885"/>
    </row>
    <row r="31" spans="1:25" s="3269" customFormat="1">
      <c r="A31" s="3268"/>
      <c r="D31" s="1885"/>
      <c r="E31" s="1885"/>
    </row>
    <row r="32" spans="1:25" s="3269" customFormat="1">
      <c r="A32" s="3268"/>
      <c r="D32" s="1885"/>
      <c r="E32" s="1885"/>
    </row>
    <row r="33" spans="1:5" s="3269" customFormat="1">
      <c r="A33" s="3268"/>
      <c r="D33" s="1885"/>
      <c r="E33" s="1885"/>
    </row>
    <row r="34" spans="1:5" s="3269" customFormat="1">
      <c r="A34" s="3268"/>
      <c r="D34" s="1885"/>
      <c r="E34" s="1885"/>
    </row>
    <row r="35" spans="1:5" s="3269" customFormat="1">
      <c r="A35" s="3268"/>
      <c r="D35" s="1885"/>
      <c r="E35" s="1885"/>
    </row>
    <row r="36" spans="1:5" s="3269" customFormat="1">
      <c r="A36" s="3268"/>
      <c r="D36" s="1885"/>
      <c r="E36" s="1885"/>
    </row>
    <row r="37" spans="1:5" s="3269" customFormat="1">
      <c r="A37" s="3268"/>
      <c r="D37" s="1885"/>
      <c r="E37" s="1885"/>
    </row>
    <row r="38" spans="1:5" s="3269" customFormat="1">
      <c r="A38" s="3268"/>
      <c r="D38" s="1885"/>
      <c r="E38" s="1885"/>
    </row>
    <row r="39" spans="1:5" s="3269" customFormat="1">
      <c r="A39" s="3268"/>
      <c r="D39" s="1885"/>
      <c r="E39" s="1885"/>
    </row>
    <row r="40" spans="1:5" s="3269" customFormat="1">
      <c r="A40" s="3268"/>
      <c r="D40" s="1885"/>
      <c r="E40" s="1885"/>
    </row>
    <row r="41" spans="1:5" s="3269" customFormat="1">
      <c r="A41" s="3268"/>
      <c r="D41" s="1885"/>
      <c r="E41" s="1885"/>
    </row>
    <row r="42" spans="1:5" s="3269" customFormat="1">
      <c r="A42" s="3268"/>
      <c r="D42" s="1885"/>
      <c r="E42" s="1885"/>
    </row>
    <row r="43" spans="1:5" s="3269" customFormat="1">
      <c r="A43" s="3268"/>
      <c r="D43" s="1885"/>
      <c r="E43" s="1885"/>
    </row>
    <row r="44" spans="1:5" s="3269" customFormat="1">
      <c r="A44" s="3268"/>
      <c r="D44" s="1885"/>
      <c r="E44" s="1885"/>
    </row>
    <row r="45" spans="1:5" s="3269" customFormat="1">
      <c r="A45" s="3268"/>
      <c r="D45" s="1885"/>
      <c r="E45" s="1885"/>
    </row>
    <row r="46" spans="1:5" s="3269" customFormat="1">
      <c r="A46" s="3268"/>
      <c r="D46" s="1885"/>
      <c r="E46" s="1885"/>
    </row>
    <row r="47" spans="1:5" s="3269" customFormat="1">
      <c r="A47" s="3268"/>
      <c r="D47" s="1885"/>
      <c r="E47" s="1885"/>
    </row>
    <row r="48" spans="1:5" s="3269" customFormat="1">
      <c r="A48" s="3268"/>
      <c r="D48" s="1885"/>
      <c r="E48" s="1885"/>
    </row>
    <row r="49" spans="1:5" s="3269" customFormat="1">
      <c r="A49" s="3268"/>
      <c r="D49" s="1885"/>
      <c r="E49" s="1885"/>
    </row>
    <row r="50" spans="1:5" s="3269" customFormat="1">
      <c r="A50" s="3268"/>
      <c r="D50" s="1885"/>
      <c r="E50" s="1885"/>
    </row>
    <row r="51" spans="1:5" s="3269" customFormat="1">
      <c r="A51" s="3268"/>
      <c r="D51" s="1885"/>
      <c r="E51" s="1885"/>
    </row>
    <row r="52" spans="1:5" s="3269" customFormat="1">
      <c r="A52" s="3268"/>
      <c r="D52" s="1885"/>
      <c r="E52" s="1885"/>
    </row>
    <row r="53" spans="1:5" s="3269" customFormat="1">
      <c r="A53" s="3268"/>
      <c r="D53" s="1885"/>
      <c r="E53" s="1885"/>
    </row>
    <row r="54" spans="1:5" s="3269" customFormat="1">
      <c r="A54" s="3268"/>
      <c r="D54" s="1885"/>
      <c r="E54" s="1885"/>
    </row>
    <row r="55" spans="1:5" s="3269" customFormat="1">
      <c r="A55" s="3268"/>
      <c r="D55" s="1885"/>
      <c r="E55" s="1885"/>
    </row>
    <row r="56" spans="1:5" s="3269" customFormat="1">
      <c r="A56" s="3268"/>
      <c r="D56" s="1885"/>
      <c r="E56" s="1885"/>
    </row>
    <row r="57" spans="1:5" s="3269" customFormat="1">
      <c r="A57" s="3268"/>
      <c r="D57" s="1885"/>
      <c r="E57" s="1885"/>
    </row>
    <row r="58" spans="1:5" s="3269" customFormat="1">
      <c r="A58" s="3268"/>
      <c r="D58" s="1885"/>
      <c r="E58" s="1885"/>
    </row>
    <row r="59" spans="1:5" s="3269" customFormat="1">
      <c r="A59" s="3268"/>
      <c r="D59" s="1885"/>
      <c r="E59" s="1885"/>
    </row>
    <row r="60" spans="1:5" s="3269" customFormat="1">
      <c r="A60" s="3268"/>
      <c r="D60" s="1885"/>
      <c r="E60" s="1885"/>
    </row>
    <row r="61" spans="1:5" s="3269" customFormat="1">
      <c r="A61" s="3268"/>
      <c r="D61" s="1885"/>
      <c r="E61" s="1885"/>
    </row>
    <row r="62" spans="1:5" s="3269" customFormat="1">
      <c r="A62" s="3268"/>
      <c r="D62" s="1885"/>
      <c r="E62" s="1885"/>
    </row>
    <row r="63" spans="1:5" s="3269" customFormat="1">
      <c r="A63" s="3268"/>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89" t="s">
        <v>516</v>
      </c>
      <c r="D4" s="3490"/>
      <c r="E4" s="3515" t="s">
        <v>517</v>
      </c>
      <c r="F4" s="3516"/>
      <c r="G4" s="3489" t="s">
        <v>518</v>
      </c>
      <c r="H4" s="3490"/>
      <c r="I4" s="3489" t="s">
        <v>519</v>
      </c>
      <c r="J4" s="3490"/>
      <c r="K4" s="508" t="s">
        <v>520</v>
      </c>
      <c r="L4" s="2016"/>
      <c r="M4" s="2017"/>
      <c r="N4" s="2017"/>
      <c r="O4" s="2017"/>
      <c r="P4" s="3491" t="s">
        <v>521</v>
      </c>
      <c r="Q4" s="3492"/>
      <c r="R4" s="3477" t="s">
        <v>517</v>
      </c>
      <c r="S4" s="3478"/>
      <c r="T4" s="3477" t="s">
        <v>518</v>
      </c>
      <c r="U4" s="3478"/>
      <c r="V4" s="3497" t="s">
        <v>519</v>
      </c>
      <c r="W4" s="3497"/>
      <c r="X4" s="1502"/>
      <c r="Y4" s="3477" t="s">
        <v>521</v>
      </c>
      <c r="Z4" s="3478"/>
      <c r="AA4" s="3472" t="s">
        <v>517</v>
      </c>
      <c r="AB4" s="3497" t="s">
        <v>518</v>
      </c>
      <c r="AC4" s="3472" t="s">
        <v>519</v>
      </c>
    </row>
    <row r="5" spans="1:29" ht="15">
      <c r="A5" s="509"/>
      <c r="B5" s="510"/>
      <c r="C5" s="3500" t="s">
        <v>2892</v>
      </c>
      <c r="D5" s="3501"/>
      <c r="E5" s="3517" t="s">
        <v>2893</v>
      </c>
      <c r="F5" s="3518"/>
      <c r="G5" s="3500" t="s">
        <v>2894</v>
      </c>
      <c r="H5" s="3501"/>
      <c r="I5" s="3500" t="s">
        <v>2895</v>
      </c>
      <c r="J5" s="3501"/>
      <c r="K5" s="508"/>
      <c r="L5" s="2016"/>
      <c r="M5" s="2017"/>
      <c r="N5" s="2017"/>
      <c r="O5" s="2017"/>
      <c r="P5" s="3493"/>
      <c r="Q5" s="3494"/>
      <c r="R5" s="3479"/>
      <c r="S5" s="3480"/>
      <c r="T5" s="3479"/>
      <c r="U5" s="3480"/>
      <c r="V5" s="3497"/>
      <c r="W5" s="3497"/>
      <c r="X5" s="1502"/>
      <c r="Y5" s="3479"/>
      <c r="Z5" s="3480"/>
      <c r="AA5" s="3473"/>
      <c r="AB5" s="3497"/>
      <c r="AC5" s="3473"/>
    </row>
    <row r="6" spans="1:29" ht="15.75" thickBot="1">
      <c r="A6" s="511"/>
      <c r="B6" s="512"/>
      <c r="C6" s="3498" t="s">
        <v>2896</v>
      </c>
      <c r="D6" s="3499"/>
      <c r="E6" s="3519" t="s">
        <v>2896</v>
      </c>
      <c r="F6" s="3520"/>
      <c r="G6" s="3498" t="s">
        <v>2896</v>
      </c>
      <c r="H6" s="3499"/>
      <c r="I6" s="3498" t="s">
        <v>2896</v>
      </c>
      <c r="J6" s="3499"/>
      <c r="K6" s="508" t="s">
        <v>522</v>
      </c>
      <c r="L6" s="2016"/>
      <c r="M6" s="2017"/>
      <c r="N6" s="2017"/>
      <c r="O6" s="2017"/>
      <c r="P6" s="3495"/>
      <c r="Q6" s="3496"/>
      <c r="R6" s="3479"/>
      <c r="S6" s="3480"/>
      <c r="T6" s="3481"/>
      <c r="U6" s="3482"/>
      <c r="V6" s="3497"/>
      <c r="W6" s="3497"/>
      <c r="X6" s="1502"/>
      <c r="Y6" s="3481"/>
      <c r="Z6" s="3482"/>
      <c r="AA6" s="3474"/>
      <c r="AB6" s="3497"/>
      <c r="AC6" s="3474"/>
    </row>
    <row r="7" spans="1:29" s="1203" customFormat="1" ht="15.75" thickBot="1">
      <c r="A7" s="2630"/>
      <c r="B7" s="2637" t="s">
        <v>523</v>
      </c>
      <c r="C7" s="513">
        <f>'数据-取费表'!B2</f>
        <v>44273</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75" t="s">
        <v>524</v>
      </c>
      <c r="Q7" s="3484"/>
      <c r="R7" s="1503" t="s">
        <v>8</v>
      </c>
      <c r="S7" s="1504">
        <f t="shared" ref="S7:S15" si="0">F7</f>
        <v>0</v>
      </c>
      <c r="T7" s="1503" t="s">
        <v>8</v>
      </c>
      <c r="U7" s="1504">
        <f t="shared" ref="U7:U15" si="1">H7</f>
        <v>0</v>
      </c>
      <c r="V7" s="1503" t="s">
        <v>8</v>
      </c>
      <c r="W7" s="1504">
        <f t="shared" ref="W7:W15" si="2">J7</f>
        <v>0</v>
      </c>
      <c r="X7" s="1505"/>
      <c r="Y7" s="3475" t="s">
        <v>524</v>
      </c>
      <c r="Z7" s="3476"/>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75" t="s">
        <v>527</v>
      </c>
      <c r="Q8" s="3476"/>
      <c r="R8" s="1503" t="s">
        <v>8</v>
      </c>
      <c r="S8" s="1504">
        <f t="shared" si="0"/>
        <v>0</v>
      </c>
      <c r="T8" s="1503" t="s">
        <v>8</v>
      </c>
      <c r="U8" s="1504">
        <f t="shared" si="1"/>
        <v>0</v>
      </c>
      <c r="V8" s="1503" t="s">
        <v>8</v>
      </c>
      <c r="W8" s="1504">
        <f t="shared" si="2"/>
        <v>0</v>
      </c>
      <c r="X8" s="1505"/>
      <c r="Y8" s="3475" t="s">
        <v>527</v>
      </c>
      <c r="Z8" s="3476"/>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83" t="s">
        <v>529</v>
      </c>
      <c r="Q9" s="1134" t="str">
        <f t="shared" ref="Q9:Q15" si="6">B9</f>
        <v>用途</v>
      </c>
      <c r="R9" s="1503" t="s">
        <v>8</v>
      </c>
      <c r="S9" s="1504">
        <f t="shared" si="0"/>
        <v>100</v>
      </c>
      <c r="T9" s="1503" t="s">
        <v>8</v>
      </c>
      <c r="U9" s="1504">
        <f t="shared" si="1"/>
        <v>100</v>
      </c>
      <c r="V9" s="1503" t="s">
        <v>8</v>
      </c>
      <c r="W9" s="1504">
        <f t="shared" si="2"/>
        <v>100</v>
      </c>
      <c r="X9" s="1505"/>
      <c r="Y9" s="3434"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34"/>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83"/>
      <c r="Q11" s="1134" t="str">
        <f t="shared" si="6"/>
        <v>容积率</v>
      </c>
      <c r="R11" s="1503" t="s">
        <v>8</v>
      </c>
      <c r="S11" s="1504" t="e">
        <f t="shared" si="0"/>
        <v>#N/A</v>
      </c>
      <c r="T11" s="1503" t="s">
        <v>8</v>
      </c>
      <c r="U11" s="1504" t="e">
        <f t="shared" si="1"/>
        <v>#N/A</v>
      </c>
      <c r="V11" s="1503" t="s">
        <v>8</v>
      </c>
      <c r="W11" s="1504" t="e">
        <f t="shared" si="2"/>
        <v>#N/A</v>
      </c>
      <c r="X11" s="1505"/>
      <c r="Y11" s="3434"/>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83"/>
      <c r="Q12" s="1134">
        <f t="shared" si="6"/>
        <v>111</v>
      </c>
      <c r="R12" s="1503" t="s">
        <v>8</v>
      </c>
      <c r="S12" s="1504">
        <f t="shared" si="0"/>
        <v>100</v>
      </c>
      <c r="T12" s="1503" t="s">
        <v>8</v>
      </c>
      <c r="U12" s="1504">
        <f t="shared" si="1"/>
        <v>100</v>
      </c>
      <c r="V12" s="1503" t="s">
        <v>8</v>
      </c>
      <c r="W12" s="1504">
        <f t="shared" si="2"/>
        <v>100</v>
      </c>
      <c r="X12" s="1505"/>
      <c r="Y12" s="3434"/>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83"/>
      <c r="Q13" s="1134">
        <f t="shared" si="6"/>
        <v>111</v>
      </c>
      <c r="R13" s="1503" t="s">
        <v>8</v>
      </c>
      <c r="S13" s="1504">
        <f t="shared" si="0"/>
        <v>100</v>
      </c>
      <c r="T13" s="1503" t="s">
        <v>8</v>
      </c>
      <c r="U13" s="1504">
        <f t="shared" si="1"/>
        <v>100</v>
      </c>
      <c r="V13" s="1503" t="s">
        <v>8</v>
      </c>
      <c r="W13" s="1504">
        <f t="shared" si="2"/>
        <v>100</v>
      </c>
      <c r="X13" s="1505"/>
      <c r="Y13" s="3434"/>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83"/>
      <c r="Q14" s="1134">
        <f t="shared" si="6"/>
        <v>111</v>
      </c>
      <c r="R14" s="1503" t="s">
        <v>8</v>
      </c>
      <c r="S14" s="1504">
        <f t="shared" si="0"/>
        <v>100</v>
      </c>
      <c r="T14" s="1503" t="s">
        <v>8</v>
      </c>
      <c r="U14" s="1504">
        <f t="shared" si="1"/>
        <v>100</v>
      </c>
      <c r="V14" s="1503" t="s">
        <v>8</v>
      </c>
      <c r="W14" s="1504">
        <f t="shared" si="2"/>
        <v>100</v>
      </c>
      <c r="X14" s="1505"/>
      <c r="Y14" s="3434"/>
      <c r="Z14" s="1133">
        <f t="shared" si="7"/>
        <v>111</v>
      </c>
      <c r="AA14" s="1506">
        <f t="shared" si="3"/>
        <v>1</v>
      </c>
      <c r="AB14" s="1506">
        <f t="shared" si="4"/>
        <v>1</v>
      </c>
      <c r="AC14" s="1506">
        <f t="shared" si="5"/>
        <v>1</v>
      </c>
    </row>
    <row r="15" spans="1:29" ht="15">
      <c r="A15" s="2628" t="s">
        <v>2734</v>
      </c>
      <c r="B15" s="164" t="s">
        <v>535</v>
      </c>
      <c r="C15" s="856" t="str">
        <f>估价对象房地状况!C4</f>
        <v>一般</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85" t="s">
        <v>534</v>
      </c>
      <c r="Q15" s="1507" t="str">
        <f t="shared" si="6"/>
        <v>商业繁华度</v>
      </c>
      <c r="R15" s="1508" t="s">
        <v>8</v>
      </c>
      <c r="S15" s="1509">
        <f t="shared" si="0"/>
        <v>100</v>
      </c>
      <c r="T15" s="1508" t="s">
        <v>8</v>
      </c>
      <c r="U15" s="1509">
        <f t="shared" si="1"/>
        <v>100</v>
      </c>
      <c r="V15" s="1508" t="s">
        <v>8</v>
      </c>
      <c r="W15" s="1509">
        <f t="shared" si="2"/>
        <v>100</v>
      </c>
      <c r="X15" s="1502"/>
      <c r="Y15" s="3485"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86"/>
      <c r="Q16" s="1507"/>
      <c r="R16" s="1508"/>
      <c r="S16" s="1509"/>
      <c r="T16" s="1508"/>
      <c r="U16" s="1509"/>
      <c r="V16" s="1508"/>
      <c r="W16" s="1509"/>
      <c r="X16" s="1502"/>
      <c r="Y16" s="3486"/>
      <c r="Z16" s="1510"/>
      <c r="AA16" s="1511">
        <v>1</v>
      </c>
      <c r="AB16" s="1511">
        <v>1</v>
      </c>
      <c r="AC16" s="1511">
        <v>1</v>
      </c>
    </row>
    <row r="17" spans="1:29" ht="15">
      <c r="A17" s="526"/>
      <c r="B17" s="860" t="s">
        <v>296</v>
      </c>
      <c r="C17" s="861" t="str">
        <f>估价对象房地状况!C6</f>
        <v>一般</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86"/>
      <c r="Q17" s="1507" t="str">
        <f>B17</f>
        <v>交通便捷度</v>
      </c>
      <c r="R17" s="1508" t="s">
        <v>8</v>
      </c>
      <c r="S17" s="1509">
        <f>F17</f>
        <v>100</v>
      </c>
      <c r="T17" s="1508" t="s">
        <v>8</v>
      </c>
      <c r="U17" s="1509">
        <f>H17</f>
        <v>100</v>
      </c>
      <c r="V17" s="1508" t="s">
        <v>8</v>
      </c>
      <c r="W17" s="1509">
        <f>J17</f>
        <v>100</v>
      </c>
      <c r="X17" s="1502"/>
      <c r="Y17" s="348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86"/>
      <c r="Q18" s="1507"/>
      <c r="R18" s="1508"/>
      <c r="S18" s="1509"/>
      <c r="T18" s="1508"/>
      <c r="U18" s="1509"/>
      <c r="V18" s="1508"/>
      <c r="W18" s="1509"/>
      <c r="X18" s="1502"/>
      <c r="Y18" s="3486"/>
      <c r="Z18" s="1510"/>
      <c r="AA18" s="1511">
        <v>1</v>
      </c>
      <c r="AB18" s="1511">
        <v>1</v>
      </c>
      <c r="AC18" s="1511">
        <v>1</v>
      </c>
    </row>
    <row r="19" spans="1:29" ht="15">
      <c r="A19" s="526"/>
      <c r="B19" s="2445" t="s">
        <v>2527</v>
      </c>
      <c r="C19" s="861" t="str">
        <f>估价对象房地状况!C7</f>
        <v>较差</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86"/>
      <c r="Q19" s="1507" t="str">
        <f>B19</f>
        <v>公共配套设施</v>
      </c>
      <c r="R19" s="1508" t="s">
        <v>8</v>
      </c>
      <c r="S19" s="1509">
        <f>F19</f>
        <v>100</v>
      </c>
      <c r="T19" s="1508" t="s">
        <v>8</v>
      </c>
      <c r="U19" s="1509">
        <f>H19</f>
        <v>100</v>
      </c>
      <c r="V19" s="1508" t="s">
        <v>8</v>
      </c>
      <c r="W19" s="1509">
        <f>J19</f>
        <v>100</v>
      </c>
      <c r="X19" s="1502"/>
      <c r="Y19" s="348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86"/>
      <c r="Q20" s="1507"/>
      <c r="R20" s="1508"/>
      <c r="S20" s="1509"/>
      <c r="T20" s="1508"/>
      <c r="U20" s="1509"/>
      <c r="V20" s="1508"/>
      <c r="W20" s="1509"/>
      <c r="X20" s="1502"/>
      <c r="Y20" s="3486"/>
      <c r="Z20" s="1510"/>
      <c r="AA20" s="1511">
        <v>1</v>
      </c>
      <c r="AB20" s="1511">
        <v>1</v>
      </c>
      <c r="AC20" s="1511">
        <v>1</v>
      </c>
    </row>
    <row r="21" spans="1:29" ht="15">
      <c r="A21" s="526"/>
      <c r="B21" s="2438" t="s">
        <v>2539</v>
      </c>
      <c r="C21" s="861" t="str">
        <f>估价对象房地状况!C8</f>
        <v>七通</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86"/>
      <c r="Q21" s="2430" t="str">
        <f>B21</f>
        <v>基础设施水平</v>
      </c>
      <c r="R21" s="1508" t="s">
        <v>8</v>
      </c>
      <c r="S21" s="1509">
        <f>F21</f>
        <v>100</v>
      </c>
      <c r="T21" s="1508" t="s">
        <v>8</v>
      </c>
      <c r="U21" s="1509">
        <f>H21</f>
        <v>100</v>
      </c>
      <c r="V21" s="1508" t="s">
        <v>8</v>
      </c>
      <c r="W21" s="1509">
        <f>J21</f>
        <v>100</v>
      </c>
      <c r="X21" s="2432"/>
      <c r="Y21" s="3486"/>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86"/>
      <c r="Q22" s="2430"/>
      <c r="R22" s="1508"/>
      <c r="S22" s="1509"/>
      <c r="T22" s="1508"/>
      <c r="U22" s="1509"/>
      <c r="V22" s="1508"/>
      <c r="W22" s="1509"/>
      <c r="X22" s="2432"/>
      <c r="Y22" s="3486"/>
      <c r="Z22" s="2431"/>
      <c r="AA22" s="1511">
        <v>1</v>
      </c>
      <c r="AB22" s="1511">
        <v>1</v>
      </c>
      <c r="AC22" s="1511">
        <v>1</v>
      </c>
    </row>
    <row r="23" spans="1:29" ht="15">
      <c r="A23" s="526"/>
      <c r="B23" s="860" t="s">
        <v>297</v>
      </c>
      <c r="C23" s="889" t="str">
        <f>估价对象房地状况!C9</f>
        <v>较好</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86"/>
      <c r="Q23" s="1507" t="str">
        <f>B23</f>
        <v>自然及人文环境</v>
      </c>
      <c r="R23" s="1508" t="s">
        <v>8</v>
      </c>
      <c r="S23" s="1509">
        <f>F23</f>
        <v>100</v>
      </c>
      <c r="T23" s="1508" t="s">
        <v>8</v>
      </c>
      <c r="U23" s="1509">
        <f>H23</f>
        <v>100</v>
      </c>
      <c r="V23" s="1508" t="s">
        <v>8</v>
      </c>
      <c r="W23" s="1509">
        <f>J23</f>
        <v>100</v>
      </c>
      <c r="X23" s="1502"/>
      <c r="Y23" s="348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86"/>
      <c r="Q24" s="1507"/>
      <c r="R24" s="1508"/>
      <c r="S24" s="1509"/>
      <c r="T24" s="1508"/>
      <c r="U24" s="1509"/>
      <c r="V24" s="1508"/>
      <c r="W24" s="1509"/>
      <c r="X24" s="1502"/>
      <c r="Y24" s="3486"/>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86"/>
      <c r="Q25" s="1507" t="str">
        <f t="shared" ref="Q25:Q46" si="11">B25</f>
        <v>临街状况</v>
      </c>
      <c r="R25" s="1508" t="s">
        <v>8</v>
      </c>
      <c r="S25" s="1509">
        <f>F25</f>
        <v>100</v>
      </c>
      <c r="T25" s="1508" t="s">
        <v>8</v>
      </c>
      <c r="U25" s="1509">
        <f>H25</f>
        <v>100</v>
      </c>
      <c r="V25" s="1508" t="s">
        <v>8</v>
      </c>
      <c r="W25" s="1509">
        <f>J25</f>
        <v>100</v>
      </c>
      <c r="X25" s="1502"/>
      <c r="Y25" s="3486"/>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86"/>
      <c r="Q26" s="1507" t="str">
        <f t="shared" si="11"/>
        <v>平面位置/可视性</v>
      </c>
      <c r="R26" s="1508" t="s">
        <v>8</v>
      </c>
      <c r="S26" s="1509">
        <f>F26</f>
        <v>100</v>
      </c>
      <c r="T26" s="1508" t="s">
        <v>8</v>
      </c>
      <c r="U26" s="1509">
        <f>H26</f>
        <v>100</v>
      </c>
      <c r="V26" s="1508" t="s">
        <v>8</v>
      </c>
      <c r="W26" s="1509">
        <f>J26</f>
        <v>100</v>
      </c>
      <c r="X26" s="1502"/>
      <c r="Y26" s="3486"/>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86"/>
      <c r="Q27" s="1134" t="str">
        <f t="shared" si="11"/>
        <v>人流量</v>
      </c>
      <c r="R27" s="1503" t="s">
        <v>8</v>
      </c>
      <c r="S27" s="1504">
        <f>F27</f>
        <v>100</v>
      </c>
      <c r="T27" s="1503" t="s">
        <v>8</v>
      </c>
      <c r="U27" s="1504">
        <f>H27</f>
        <v>100</v>
      </c>
      <c r="V27" s="1503" t="s">
        <v>8</v>
      </c>
      <c r="W27" s="1504">
        <f>J27</f>
        <v>100</v>
      </c>
      <c r="X27" s="1505"/>
      <c r="Y27" s="3486"/>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86"/>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86"/>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86"/>
      <c r="Q29" s="1507">
        <f t="shared" si="11"/>
        <v>111</v>
      </c>
      <c r="R29" s="1508" t="s">
        <v>8</v>
      </c>
      <c r="S29" s="1509">
        <f t="shared" si="12"/>
        <v>100</v>
      </c>
      <c r="T29" s="1508" t="s">
        <v>8</v>
      </c>
      <c r="U29" s="1509">
        <f t="shared" si="13"/>
        <v>100</v>
      </c>
      <c r="V29" s="1508" t="s">
        <v>8</v>
      </c>
      <c r="W29" s="1509">
        <f t="shared" si="14"/>
        <v>100</v>
      </c>
      <c r="X29" s="1502"/>
      <c r="Y29" s="348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86"/>
      <c r="Q30" s="1507">
        <f t="shared" si="11"/>
        <v>111</v>
      </c>
      <c r="R30" s="1508" t="s">
        <v>8</v>
      </c>
      <c r="S30" s="1509">
        <f t="shared" si="12"/>
        <v>100</v>
      </c>
      <c r="T30" s="1508" t="s">
        <v>8</v>
      </c>
      <c r="U30" s="1509">
        <f t="shared" si="13"/>
        <v>100</v>
      </c>
      <c r="V30" s="1508" t="s">
        <v>8</v>
      </c>
      <c r="W30" s="1509">
        <f t="shared" si="14"/>
        <v>100</v>
      </c>
      <c r="X30" s="1502"/>
      <c r="Y30" s="3486"/>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86"/>
      <c r="Q31" s="1507">
        <f t="shared" si="11"/>
        <v>111</v>
      </c>
      <c r="R31" s="1508" t="s">
        <v>8</v>
      </c>
      <c r="S31" s="1509">
        <f t="shared" si="12"/>
        <v>100</v>
      </c>
      <c r="T31" s="1508" t="s">
        <v>8</v>
      </c>
      <c r="U31" s="1509">
        <f t="shared" si="13"/>
        <v>100</v>
      </c>
      <c r="V31" s="1508" t="s">
        <v>8</v>
      </c>
      <c r="W31" s="1509">
        <f t="shared" si="14"/>
        <v>100</v>
      </c>
      <c r="X31" s="1502"/>
      <c r="Y31" s="3486"/>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87" t="s">
        <v>544</v>
      </c>
      <c r="Q32" s="1507" t="str">
        <f t="shared" si="11"/>
        <v>商业类型</v>
      </c>
      <c r="R32" s="1508" t="s">
        <v>8</v>
      </c>
      <c r="S32" s="1509">
        <f t="shared" si="12"/>
        <v>100</v>
      </c>
      <c r="T32" s="1508" t="s">
        <v>8</v>
      </c>
      <c r="U32" s="1509">
        <f t="shared" si="13"/>
        <v>100</v>
      </c>
      <c r="V32" s="1508" t="s">
        <v>8</v>
      </c>
      <c r="W32" s="1509">
        <f t="shared" si="14"/>
        <v>100</v>
      </c>
      <c r="X32" s="1502"/>
      <c r="Y32" s="3488"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88"/>
      <c r="Q33" s="1536" t="str">
        <f t="shared" si="11"/>
        <v>项目建筑规模</v>
      </c>
      <c r="R33" s="1512" t="s">
        <v>8</v>
      </c>
      <c r="S33" s="1513" t="e">
        <f t="shared" si="12"/>
        <v>#N/A</v>
      </c>
      <c r="T33" s="1512" t="s">
        <v>8</v>
      </c>
      <c r="U33" s="1513" t="e">
        <f t="shared" si="13"/>
        <v>#N/A</v>
      </c>
      <c r="V33" s="1512" t="s">
        <v>8</v>
      </c>
      <c r="W33" s="1513" t="e">
        <f t="shared" si="14"/>
        <v>#N/A</v>
      </c>
      <c r="X33" s="1514"/>
      <c r="Y33" s="348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88"/>
      <c r="Q34" s="1507" t="str">
        <f t="shared" si="11"/>
        <v>建筑结构</v>
      </c>
      <c r="R34" s="1508" t="s">
        <v>8</v>
      </c>
      <c r="S34" s="1509">
        <f t="shared" si="12"/>
        <v>100</v>
      </c>
      <c r="T34" s="1508" t="s">
        <v>8</v>
      </c>
      <c r="U34" s="1509">
        <f t="shared" si="13"/>
        <v>100</v>
      </c>
      <c r="V34" s="1508" t="s">
        <v>8</v>
      </c>
      <c r="W34" s="1509">
        <f t="shared" si="14"/>
        <v>100</v>
      </c>
      <c r="X34" s="1502"/>
      <c r="Y34" s="3488"/>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88"/>
      <c r="Q35" s="1507" t="str">
        <f t="shared" si="11"/>
        <v>公共部分装修</v>
      </c>
      <c r="R35" s="1508" t="s">
        <v>8</v>
      </c>
      <c r="S35" s="1509">
        <f t="shared" si="12"/>
        <v>100</v>
      </c>
      <c r="T35" s="1508" t="s">
        <v>8</v>
      </c>
      <c r="U35" s="1509">
        <f t="shared" si="13"/>
        <v>100</v>
      </c>
      <c r="V35" s="1508" t="s">
        <v>8</v>
      </c>
      <c r="W35" s="1509">
        <f t="shared" si="14"/>
        <v>100</v>
      </c>
      <c r="X35" s="1502"/>
      <c r="Y35" s="3488"/>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88"/>
      <c r="Q36" s="1507" t="str">
        <f t="shared" si="11"/>
        <v>成新度</v>
      </c>
      <c r="R36" s="1508" t="s">
        <v>8</v>
      </c>
      <c r="S36" s="1509" t="e">
        <f t="shared" si="12"/>
        <v>#N/A</v>
      </c>
      <c r="T36" s="1508" t="s">
        <v>8</v>
      </c>
      <c r="U36" s="1509" t="e">
        <f t="shared" si="13"/>
        <v>#N/A</v>
      </c>
      <c r="V36" s="1508" t="s">
        <v>8</v>
      </c>
      <c r="W36" s="1509" t="e">
        <f t="shared" si="14"/>
        <v>#N/A</v>
      </c>
      <c r="X36" s="1502"/>
      <c r="Y36" s="3488"/>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88"/>
      <c r="Q37" s="1134" t="str">
        <f t="shared" si="11"/>
        <v>市政基础设施</v>
      </c>
      <c r="R37" s="1503" t="s">
        <v>8</v>
      </c>
      <c r="S37" s="1504">
        <f t="shared" si="12"/>
        <v>100</v>
      </c>
      <c r="T37" s="1503" t="s">
        <v>8</v>
      </c>
      <c r="U37" s="1504">
        <f t="shared" si="13"/>
        <v>100</v>
      </c>
      <c r="V37" s="1503" t="s">
        <v>8</v>
      </c>
      <c r="W37" s="1504">
        <f t="shared" si="14"/>
        <v>100</v>
      </c>
      <c r="X37" s="1505"/>
      <c r="Y37" s="3488"/>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88" t="s">
        <v>760</v>
      </c>
      <c r="Q38" s="1507" t="str">
        <f t="shared" si="11"/>
        <v>业态</v>
      </c>
      <c r="R38" s="1508" t="s">
        <v>8</v>
      </c>
      <c r="S38" s="1509">
        <f t="shared" si="12"/>
        <v>100</v>
      </c>
      <c r="T38" s="1508" t="s">
        <v>8</v>
      </c>
      <c r="U38" s="1509">
        <f t="shared" si="13"/>
        <v>100</v>
      </c>
      <c r="V38" s="1508" t="s">
        <v>8</v>
      </c>
      <c r="W38" s="1509">
        <f t="shared" si="14"/>
        <v>100</v>
      </c>
      <c r="X38" s="1502"/>
      <c r="Y38" s="3488"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88"/>
      <c r="Q39" s="1507" t="str">
        <f t="shared" si="11"/>
        <v>层高</v>
      </c>
      <c r="R39" s="1508" t="s">
        <v>8</v>
      </c>
      <c r="S39" s="1509">
        <f t="shared" si="12"/>
        <v>100</v>
      </c>
      <c r="T39" s="1508" t="s">
        <v>8</v>
      </c>
      <c r="U39" s="1509">
        <f t="shared" si="13"/>
        <v>100</v>
      </c>
      <c r="V39" s="1508" t="s">
        <v>8</v>
      </c>
      <c r="W39" s="1509">
        <f t="shared" si="14"/>
        <v>100</v>
      </c>
      <c r="X39" s="1502"/>
      <c r="Y39" s="3488"/>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88"/>
      <c r="Q40" s="1507" t="str">
        <f t="shared" si="11"/>
        <v>单套建筑面积</v>
      </c>
      <c r="R40" s="1508" t="s">
        <v>8</v>
      </c>
      <c r="S40" s="1509">
        <f t="shared" si="12"/>
        <v>100</v>
      </c>
      <c r="T40" s="1508" t="s">
        <v>8</v>
      </c>
      <c r="U40" s="1509">
        <f t="shared" si="13"/>
        <v>100</v>
      </c>
      <c r="V40" s="1508" t="s">
        <v>8</v>
      </c>
      <c r="W40" s="1509">
        <f t="shared" si="14"/>
        <v>100</v>
      </c>
      <c r="X40" s="1502"/>
      <c r="Y40" s="3488"/>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88"/>
      <c r="Q41" s="1536" t="str">
        <f t="shared" si="11"/>
        <v>进深比</v>
      </c>
      <c r="R41" s="1512" t="s">
        <v>8</v>
      </c>
      <c r="S41" s="1513">
        <f t="shared" si="12"/>
        <v>100</v>
      </c>
      <c r="T41" s="1512" t="s">
        <v>8</v>
      </c>
      <c r="U41" s="1513">
        <f t="shared" si="13"/>
        <v>100</v>
      </c>
      <c r="V41" s="1512" t="s">
        <v>8</v>
      </c>
      <c r="W41" s="1513">
        <f t="shared" si="14"/>
        <v>100</v>
      </c>
      <c r="X41" s="1514"/>
      <c r="Y41" s="3488"/>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88"/>
      <c r="Q42" s="1507" t="str">
        <f t="shared" si="11"/>
        <v>内部装修</v>
      </c>
      <c r="R42" s="1508" t="s">
        <v>8</v>
      </c>
      <c r="S42" s="1509">
        <f t="shared" si="12"/>
        <v>100</v>
      </c>
      <c r="T42" s="1508" t="s">
        <v>8</v>
      </c>
      <c r="U42" s="1509">
        <f t="shared" si="13"/>
        <v>100</v>
      </c>
      <c r="V42" s="1508" t="s">
        <v>8</v>
      </c>
      <c r="W42" s="1509">
        <f t="shared" si="14"/>
        <v>100</v>
      </c>
      <c r="X42" s="1502"/>
      <c r="Y42" s="3488"/>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88"/>
      <c r="Q43" s="1507" t="str">
        <f t="shared" si="11"/>
        <v>内部装修维护情况</v>
      </c>
      <c r="R43" s="1508" t="s">
        <v>8</v>
      </c>
      <c r="S43" s="1509">
        <f t="shared" si="12"/>
        <v>100</v>
      </c>
      <c r="T43" s="1508" t="s">
        <v>8</v>
      </c>
      <c r="U43" s="1509">
        <f t="shared" si="13"/>
        <v>100</v>
      </c>
      <c r="V43" s="1508" t="s">
        <v>8</v>
      </c>
      <c r="W43" s="1509">
        <f t="shared" si="14"/>
        <v>100</v>
      </c>
      <c r="X43" s="1502"/>
      <c r="Y43" s="348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88"/>
      <c r="Q44" s="1134">
        <f t="shared" si="11"/>
        <v>111</v>
      </c>
      <c r="R44" s="1503" t="s">
        <v>8</v>
      </c>
      <c r="S44" s="1504">
        <f t="shared" si="12"/>
        <v>100</v>
      </c>
      <c r="T44" s="1503" t="s">
        <v>8</v>
      </c>
      <c r="U44" s="1504">
        <f t="shared" si="13"/>
        <v>100</v>
      </c>
      <c r="V44" s="1503" t="s">
        <v>8</v>
      </c>
      <c r="W44" s="1504">
        <f t="shared" si="14"/>
        <v>100</v>
      </c>
      <c r="X44" s="1505"/>
      <c r="Y44" s="348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88"/>
      <c r="Q45" s="1507">
        <f t="shared" si="11"/>
        <v>111</v>
      </c>
      <c r="R45" s="1508" t="s">
        <v>8</v>
      </c>
      <c r="S45" s="1509">
        <f t="shared" si="12"/>
        <v>100</v>
      </c>
      <c r="T45" s="1508" t="s">
        <v>8</v>
      </c>
      <c r="U45" s="1509">
        <f t="shared" si="13"/>
        <v>100</v>
      </c>
      <c r="V45" s="1508" t="s">
        <v>8</v>
      </c>
      <c r="W45" s="1509">
        <f t="shared" si="14"/>
        <v>100</v>
      </c>
      <c r="X45" s="1502"/>
      <c r="Y45" s="3488"/>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69"/>
      <c r="Q46" s="1507">
        <f t="shared" si="11"/>
        <v>111</v>
      </c>
      <c r="R46" s="1508" t="s">
        <v>8</v>
      </c>
      <c r="S46" s="1509">
        <f t="shared" si="12"/>
        <v>100</v>
      </c>
      <c r="T46" s="1508" t="s">
        <v>8</v>
      </c>
      <c r="U46" s="1509">
        <f t="shared" si="13"/>
        <v>100</v>
      </c>
      <c r="V46" s="1508" t="s">
        <v>8</v>
      </c>
      <c r="W46" s="1509">
        <f t="shared" si="14"/>
        <v>100</v>
      </c>
      <c r="X46" s="1502"/>
      <c r="Y46" s="3569"/>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83" t="str">
        <f>A47</f>
        <v>成交单价（元/平方米）</v>
      </c>
      <c r="Q47" s="3483"/>
      <c r="R47" s="3568">
        <f>E47</f>
        <v>0</v>
      </c>
      <c r="S47" s="3568"/>
      <c r="T47" s="3568">
        <f>G47</f>
        <v>0</v>
      </c>
      <c r="U47" s="3568"/>
      <c r="V47" s="3568">
        <f>I47</f>
        <v>0</v>
      </c>
      <c r="W47" s="3568"/>
      <c r="X47" s="1497"/>
      <c r="Y47" s="1516"/>
      <c r="Z47" s="1497"/>
      <c r="AA47" s="1497"/>
      <c r="AB47" s="1497"/>
      <c r="AC47" s="1497"/>
    </row>
    <row r="48" spans="1:29" ht="15.75" thickBot="1">
      <c r="A48" s="609" t="s">
        <v>2740</v>
      </c>
      <c r="B48" s="877"/>
      <c r="C48" s="2477" t="e">
        <f>R49</f>
        <v>#DIV/0!</v>
      </c>
      <c r="D48" s="3015" t="s">
        <v>2966</v>
      </c>
      <c r="E48" s="2478" t="e">
        <f>R48</f>
        <v>#DIV/0!</v>
      </c>
      <c r="F48" s="3016"/>
      <c r="G48" s="2477" t="e">
        <f>T48</f>
        <v>#DIV/0!</v>
      </c>
      <c r="H48" s="3016"/>
      <c r="I48" s="2478" t="e">
        <f>V48</f>
        <v>#DIV/0!</v>
      </c>
      <c r="J48" s="3016"/>
      <c r="K48" s="3024">
        <f>F48+H48+J48</f>
        <v>0</v>
      </c>
      <c r="L48" s="2027"/>
      <c r="M48" s="2028"/>
      <c r="N48" s="2017"/>
      <c r="O48" s="2028"/>
      <c r="P48" s="3483" t="str">
        <f>A48</f>
        <v>比较价格（元/平方米）</v>
      </c>
      <c r="Q48" s="3483"/>
      <c r="R48" s="3568" t="e">
        <f>IF(F1="售价",ROUND(PRODUCT(R47,AA7:AA46),0),ROUND(PRODUCT(R47,AA7:AA46),1))</f>
        <v>#DIV/0!</v>
      </c>
      <c r="S48" s="3568"/>
      <c r="T48" s="3568" t="e">
        <f>IF(F1="售价",ROUND(PRODUCT(T47,AB7:AB46),0),ROUND(PRODUCT(T47,AB7:AB46),1))</f>
        <v>#DIV/0!</v>
      </c>
      <c r="U48" s="3568"/>
      <c r="V48" s="3568" t="e">
        <f>IF(F1="售价",ROUND(PRODUCT(V47,AC7:AC46),0),ROUND(PRODUCT(V47,AC7:AC46),1))</f>
        <v>#DIV/0!</v>
      </c>
      <c r="W48" s="3568"/>
      <c r="X48" s="1497"/>
      <c r="Y48" s="1497"/>
      <c r="Z48" s="1497"/>
      <c r="AA48" s="1497"/>
      <c r="AB48" s="1497"/>
      <c r="AC48" s="1497"/>
    </row>
    <row r="49" spans="1:29" ht="15.75" thickBot="1">
      <c r="A49" s="613" t="s">
        <v>2898</v>
      </c>
      <c r="B49" s="614"/>
      <c r="C49" s="2479" t="e">
        <f>R49</f>
        <v>#DIV/0!</v>
      </c>
      <c r="D49" s="2479"/>
      <c r="E49" s="2479"/>
      <c r="F49" s="2479"/>
      <c r="G49" s="2479"/>
      <c r="H49" s="2479"/>
      <c r="I49" s="2479"/>
      <c r="J49" s="2479"/>
      <c r="K49" s="1542"/>
      <c r="L49" s="2027"/>
      <c r="M49" s="2028"/>
      <c r="N49" s="2017"/>
      <c r="O49" s="2028"/>
      <c r="P49" s="3505" t="str">
        <f>A49</f>
        <v>估价对象XX用房的比较价格（楼面单价，元/平方米）</v>
      </c>
      <c r="Q49" s="3506"/>
      <c r="R49" s="3567" t="e">
        <f>IF(F1="售价",ROUND(IF(D48="简单平均",AVERAGE(R48:V48),R48*F48+T48*H48+V48*J48),0),ROUND(IF(D48="简单平均",AVERAGE(R48:V48),R48*F48+T48*H48+V48*J48),1))</f>
        <v>#DIV/0!</v>
      </c>
      <c r="S49" s="3567"/>
      <c r="T49" s="3567"/>
      <c r="U49" s="3567"/>
      <c r="V49" s="3567"/>
      <c r="W49" s="3567"/>
      <c r="X49" s="1497"/>
      <c r="Y49" s="1497"/>
      <c r="Z49" s="1497"/>
      <c r="AA49" s="1497"/>
      <c r="AB49" s="1497"/>
      <c r="AC49" s="1497"/>
    </row>
    <row r="50" spans="1:29">
      <c r="A50" s="3213"/>
      <c r="B50" s="3213"/>
      <c r="C50" s="3213"/>
      <c r="D50" s="3213"/>
      <c r="E50" s="3213"/>
      <c r="F50" s="3213"/>
      <c r="G50" s="3215"/>
      <c r="H50" s="3213"/>
      <c r="I50" s="3213"/>
      <c r="J50" s="3213"/>
      <c r="K50" s="3216"/>
      <c r="L50" s="2032"/>
      <c r="M50" s="2028"/>
      <c r="N50" s="2028"/>
      <c r="O50" s="2028"/>
      <c r="P50" s="2028"/>
      <c r="Q50" s="2028"/>
      <c r="R50" s="2028"/>
      <c r="S50" s="2028"/>
      <c r="T50" s="2028"/>
      <c r="U50" s="2028"/>
      <c r="V50" s="2028"/>
      <c r="W50" s="2028"/>
      <c r="X50" s="2028"/>
      <c r="Y50" s="2028"/>
      <c r="Z50" s="2028"/>
      <c r="AA50" s="2028"/>
      <c r="AB50" s="2028"/>
      <c r="AC50" s="2028"/>
    </row>
    <row r="51" spans="1:29">
      <c r="A51" s="3213"/>
      <c r="B51" s="3213"/>
      <c r="C51" s="3213"/>
      <c r="D51" s="3213"/>
      <c r="E51" s="3213"/>
      <c r="F51" s="3213"/>
      <c r="G51" s="3213"/>
      <c r="H51" s="3213"/>
      <c r="I51" s="3213"/>
      <c r="J51" s="3213"/>
      <c r="K51" s="3216"/>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2021-3</v>
      </c>
      <c r="D58" s="2522">
        <f>EDATE(C58,-1)</f>
        <v>44228</v>
      </c>
      <c r="E58" s="2522">
        <f t="shared" ref="E58:O58" si="16">EDATE(D58,-1)</f>
        <v>44197</v>
      </c>
      <c r="F58" s="2522">
        <f t="shared" si="16"/>
        <v>44166</v>
      </c>
      <c r="G58" s="2522">
        <f t="shared" si="16"/>
        <v>44136</v>
      </c>
      <c r="H58" s="2522">
        <f t="shared" si="16"/>
        <v>44105</v>
      </c>
      <c r="I58" s="2522">
        <f t="shared" si="16"/>
        <v>44075</v>
      </c>
      <c r="J58" s="2522">
        <f t="shared" si="16"/>
        <v>44044</v>
      </c>
      <c r="K58" s="2522">
        <f t="shared" si="16"/>
        <v>44013</v>
      </c>
      <c r="L58" s="2522">
        <f t="shared" si="16"/>
        <v>43983</v>
      </c>
      <c r="M58" s="2522">
        <f t="shared" si="16"/>
        <v>43952</v>
      </c>
      <c r="N58" s="2522">
        <f t="shared" si="16"/>
        <v>43922</v>
      </c>
      <c r="O58" s="2522">
        <f t="shared" si="16"/>
        <v>43891</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09"/>
      <c r="M1" s="3210"/>
      <c r="N1" s="3210"/>
      <c r="O1" s="3210"/>
      <c r="P1" s="3273"/>
      <c r="Q1" s="2015"/>
      <c r="R1" s="2015"/>
      <c r="S1" s="2015"/>
      <c r="T1" s="2015"/>
      <c r="U1" s="2015"/>
      <c r="V1" s="2015"/>
      <c r="W1" s="2015"/>
      <c r="X1" s="2015"/>
      <c r="Y1" s="2015"/>
      <c r="Z1" s="2015"/>
      <c r="AA1" s="2015"/>
      <c r="AB1" s="2015"/>
      <c r="AC1" s="3211"/>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3"/>
      <c r="Q2" s="2015"/>
      <c r="R2" s="2015"/>
      <c r="S2" s="2015"/>
      <c r="T2" s="2015"/>
      <c r="U2" s="2015"/>
      <c r="V2" s="2015"/>
      <c r="W2" s="2015"/>
      <c r="X2" s="2015"/>
      <c r="Y2" s="2015"/>
      <c r="Z2" s="2015"/>
      <c r="AA2" s="2015"/>
      <c r="AB2" s="2015"/>
      <c r="AC2" s="3211"/>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3"/>
      <c r="Q3" s="2015"/>
      <c r="R3" s="2015"/>
      <c r="S3" s="2015"/>
      <c r="T3" s="2015"/>
      <c r="U3" s="2015"/>
      <c r="V3" s="2015"/>
      <c r="W3" s="2015"/>
      <c r="X3" s="2015"/>
      <c r="Y3" s="2015"/>
      <c r="Z3" s="2015"/>
      <c r="AA3" s="2015"/>
      <c r="AB3" s="2015"/>
      <c r="AC3" s="3211"/>
    </row>
    <row r="4" spans="1:29" ht="15">
      <c r="A4" s="506" t="s">
        <v>515</v>
      </c>
      <c r="B4" s="507"/>
      <c r="C4" s="3489" t="s">
        <v>516</v>
      </c>
      <c r="D4" s="3490"/>
      <c r="E4" s="3515" t="s">
        <v>517</v>
      </c>
      <c r="F4" s="3516"/>
      <c r="G4" s="3489" t="s">
        <v>518</v>
      </c>
      <c r="H4" s="3490"/>
      <c r="I4" s="3489" t="s">
        <v>519</v>
      </c>
      <c r="J4" s="3490"/>
      <c r="K4" s="508" t="s">
        <v>520</v>
      </c>
      <c r="L4" s="2016"/>
      <c r="M4" s="2017"/>
      <c r="N4" s="2017"/>
      <c r="O4" s="2017"/>
      <c r="P4" s="3593" t="s">
        <v>521</v>
      </c>
      <c r="Q4" s="3492"/>
      <c r="R4" s="3477" t="s">
        <v>517</v>
      </c>
      <c r="S4" s="3478"/>
      <c r="T4" s="3477" t="s">
        <v>518</v>
      </c>
      <c r="U4" s="3478"/>
      <c r="V4" s="3497" t="s">
        <v>519</v>
      </c>
      <c r="W4" s="3497"/>
      <c r="X4" s="1502"/>
      <c r="Y4" s="3477" t="s">
        <v>521</v>
      </c>
      <c r="Z4" s="3478"/>
      <c r="AA4" s="3472" t="s">
        <v>517</v>
      </c>
      <c r="AB4" s="3472" t="s">
        <v>518</v>
      </c>
      <c r="AC4" s="3472" t="s">
        <v>519</v>
      </c>
    </row>
    <row r="5" spans="1:29" ht="15">
      <c r="A5" s="509"/>
      <c r="B5" s="510"/>
      <c r="C5" s="3500" t="s">
        <v>2892</v>
      </c>
      <c r="D5" s="3501"/>
      <c r="E5" s="3517" t="s">
        <v>2893</v>
      </c>
      <c r="F5" s="3518"/>
      <c r="G5" s="3500" t="s">
        <v>2894</v>
      </c>
      <c r="H5" s="3501"/>
      <c r="I5" s="3500" t="s">
        <v>2895</v>
      </c>
      <c r="J5" s="3501"/>
      <c r="K5" s="508"/>
      <c r="L5" s="2016"/>
      <c r="M5" s="2017"/>
      <c r="N5" s="2017"/>
      <c r="O5" s="2017"/>
      <c r="P5" s="3594"/>
      <c r="Q5" s="3494"/>
      <c r="R5" s="3479"/>
      <c r="S5" s="3480"/>
      <c r="T5" s="3479"/>
      <c r="U5" s="3480"/>
      <c r="V5" s="3497"/>
      <c r="W5" s="3497"/>
      <c r="X5" s="1502"/>
      <c r="Y5" s="3479"/>
      <c r="Z5" s="3480"/>
      <c r="AA5" s="3473"/>
      <c r="AB5" s="3473"/>
      <c r="AC5" s="3473"/>
    </row>
    <row r="6" spans="1:29" ht="15.75" thickBot="1">
      <c r="A6" s="511"/>
      <c r="B6" s="512"/>
      <c r="C6" s="3498" t="s">
        <v>2896</v>
      </c>
      <c r="D6" s="3499"/>
      <c r="E6" s="3519" t="s">
        <v>2896</v>
      </c>
      <c r="F6" s="3520"/>
      <c r="G6" s="3498" t="s">
        <v>2896</v>
      </c>
      <c r="H6" s="3499"/>
      <c r="I6" s="3498" t="s">
        <v>2896</v>
      </c>
      <c r="J6" s="3499"/>
      <c r="K6" s="508" t="s">
        <v>522</v>
      </c>
      <c r="L6" s="2016"/>
      <c r="M6" s="2017"/>
      <c r="N6" s="2017"/>
      <c r="O6" s="2017"/>
      <c r="P6" s="3595"/>
      <c r="Q6" s="3496"/>
      <c r="R6" s="3479"/>
      <c r="S6" s="3480"/>
      <c r="T6" s="3481"/>
      <c r="U6" s="3482"/>
      <c r="V6" s="3497"/>
      <c r="W6" s="3497"/>
      <c r="X6" s="1502"/>
      <c r="Y6" s="3481"/>
      <c r="Z6" s="3482"/>
      <c r="AA6" s="3474"/>
      <c r="AB6" s="3474"/>
      <c r="AC6" s="3474"/>
    </row>
    <row r="7" spans="1:29" s="1203" customFormat="1" ht="15.75" thickBot="1">
      <c r="A7" s="2630"/>
      <c r="B7" s="2637" t="s">
        <v>523</v>
      </c>
      <c r="C7" s="513">
        <f>'数据-取费表'!B2</f>
        <v>44273</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84" t="s">
        <v>524</v>
      </c>
      <c r="Q7" s="3484"/>
      <c r="R7" s="1503" t="s">
        <v>8</v>
      </c>
      <c r="S7" s="1504">
        <f t="shared" ref="S7:S15" si="0">F7</f>
        <v>0</v>
      </c>
      <c r="T7" s="1503" t="s">
        <v>8</v>
      </c>
      <c r="U7" s="1504">
        <f t="shared" ref="U7:U15" si="1">H7</f>
        <v>0</v>
      </c>
      <c r="V7" s="1503" t="s">
        <v>8</v>
      </c>
      <c r="W7" s="1504">
        <f t="shared" ref="W7:W15" si="2">J7</f>
        <v>0</v>
      </c>
      <c r="X7" s="1505"/>
      <c r="Y7" s="3475" t="s">
        <v>524</v>
      </c>
      <c r="Z7" s="3476"/>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84" t="s">
        <v>527</v>
      </c>
      <c r="Q8" s="3476"/>
      <c r="R8" s="1503" t="s">
        <v>8</v>
      </c>
      <c r="S8" s="1504">
        <f t="shared" si="0"/>
        <v>0</v>
      </c>
      <c r="T8" s="1503" t="s">
        <v>8</v>
      </c>
      <c r="U8" s="1504">
        <f t="shared" si="1"/>
        <v>0</v>
      </c>
      <c r="V8" s="1503" t="s">
        <v>8</v>
      </c>
      <c r="W8" s="1504">
        <f t="shared" si="2"/>
        <v>0</v>
      </c>
      <c r="X8" s="1505"/>
      <c r="Y8" s="3475" t="s">
        <v>527</v>
      </c>
      <c r="Z8" s="3476"/>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83" t="s">
        <v>529</v>
      </c>
      <c r="Q9" s="1134" t="str">
        <f t="shared" ref="Q9:Q15" si="6">B9</f>
        <v>用途</v>
      </c>
      <c r="R9" s="1503" t="s">
        <v>8</v>
      </c>
      <c r="S9" s="1504">
        <f t="shared" si="0"/>
        <v>100</v>
      </c>
      <c r="T9" s="1503" t="s">
        <v>8</v>
      </c>
      <c r="U9" s="1504">
        <f t="shared" si="1"/>
        <v>100</v>
      </c>
      <c r="V9" s="1503" t="s">
        <v>8</v>
      </c>
      <c r="W9" s="1504">
        <f t="shared" si="2"/>
        <v>100</v>
      </c>
      <c r="X9" s="1505"/>
      <c r="Y9" s="3434"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83"/>
      <c r="Q10" s="1134" t="str">
        <f t="shared" si="6"/>
        <v>土地使用年限（年）</v>
      </c>
      <c r="R10" s="1503" t="s">
        <v>8</v>
      </c>
      <c r="S10" s="1504">
        <f t="shared" si="0"/>
        <v>100</v>
      </c>
      <c r="T10" s="1503" t="s">
        <v>8</v>
      </c>
      <c r="U10" s="1504">
        <f t="shared" si="1"/>
        <v>100</v>
      </c>
      <c r="V10" s="1503" t="s">
        <v>8</v>
      </c>
      <c r="W10" s="1504">
        <f t="shared" si="2"/>
        <v>100</v>
      </c>
      <c r="X10" s="1505"/>
      <c r="Y10" s="3434"/>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83"/>
      <c r="Q11" s="1134" t="str">
        <f t="shared" si="6"/>
        <v>容积率</v>
      </c>
      <c r="R11" s="1503" t="s">
        <v>8</v>
      </c>
      <c r="S11" s="1504" t="e">
        <f t="shared" si="0"/>
        <v>#N/A</v>
      </c>
      <c r="T11" s="1503" t="s">
        <v>8</v>
      </c>
      <c r="U11" s="1504" t="e">
        <f t="shared" si="1"/>
        <v>#N/A</v>
      </c>
      <c r="V11" s="1503" t="s">
        <v>8</v>
      </c>
      <c r="W11" s="1504" t="e">
        <f t="shared" si="2"/>
        <v>#N/A</v>
      </c>
      <c r="X11" s="1505"/>
      <c r="Y11" s="3434"/>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83"/>
      <c r="Q12" s="1134">
        <f t="shared" si="6"/>
        <v>111</v>
      </c>
      <c r="R12" s="1503" t="s">
        <v>8</v>
      </c>
      <c r="S12" s="1504">
        <f t="shared" si="0"/>
        <v>100</v>
      </c>
      <c r="T12" s="1503" t="s">
        <v>8</v>
      </c>
      <c r="U12" s="1504">
        <f t="shared" si="1"/>
        <v>100</v>
      </c>
      <c r="V12" s="1503" t="s">
        <v>8</v>
      </c>
      <c r="W12" s="1504">
        <f t="shared" si="2"/>
        <v>100</v>
      </c>
      <c r="X12" s="1505"/>
      <c r="Y12" s="3434"/>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83"/>
      <c r="Q13" s="1134">
        <f t="shared" si="6"/>
        <v>111</v>
      </c>
      <c r="R13" s="1503" t="s">
        <v>8</v>
      </c>
      <c r="S13" s="1504">
        <f t="shared" si="0"/>
        <v>100</v>
      </c>
      <c r="T13" s="1503" t="s">
        <v>8</v>
      </c>
      <c r="U13" s="1504">
        <f t="shared" si="1"/>
        <v>100</v>
      </c>
      <c r="V13" s="1503" t="s">
        <v>8</v>
      </c>
      <c r="W13" s="1504">
        <f t="shared" si="2"/>
        <v>100</v>
      </c>
      <c r="X13" s="1505"/>
      <c r="Y13" s="3434"/>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83"/>
      <c r="Q14" s="1134">
        <f t="shared" si="6"/>
        <v>111</v>
      </c>
      <c r="R14" s="1503" t="s">
        <v>8</v>
      </c>
      <c r="S14" s="1504">
        <f t="shared" si="0"/>
        <v>100</v>
      </c>
      <c r="T14" s="1503" t="s">
        <v>8</v>
      </c>
      <c r="U14" s="1504">
        <f t="shared" si="1"/>
        <v>100</v>
      </c>
      <c r="V14" s="1503" t="s">
        <v>8</v>
      </c>
      <c r="W14" s="1504">
        <f t="shared" si="2"/>
        <v>100</v>
      </c>
      <c r="X14" s="1505"/>
      <c r="Y14" s="3434"/>
      <c r="Z14" s="1133">
        <f t="shared" si="7"/>
        <v>111</v>
      </c>
      <c r="AA14" s="1506">
        <f t="shared" si="3"/>
        <v>1</v>
      </c>
      <c r="AB14" s="1506">
        <f t="shared" si="4"/>
        <v>1</v>
      </c>
      <c r="AC14" s="1506">
        <f t="shared" si="5"/>
        <v>1</v>
      </c>
    </row>
    <row r="15" spans="1:29" ht="15">
      <c r="A15" s="2628" t="s">
        <v>2734</v>
      </c>
      <c r="B15" s="541" t="s">
        <v>536</v>
      </c>
      <c r="C15" s="542" t="str">
        <f>估价对象房地状况!C5</f>
        <v>一般</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85" t="s">
        <v>534</v>
      </c>
      <c r="Q15" s="1507" t="str">
        <f t="shared" si="6"/>
        <v>办公集聚程度</v>
      </c>
      <c r="R15" s="1508" t="s">
        <v>8</v>
      </c>
      <c r="S15" s="1509">
        <f t="shared" si="0"/>
        <v>100</v>
      </c>
      <c r="T15" s="1508" t="s">
        <v>8</v>
      </c>
      <c r="U15" s="1509">
        <f t="shared" si="1"/>
        <v>100</v>
      </c>
      <c r="V15" s="1508" t="s">
        <v>8</v>
      </c>
      <c r="W15" s="1509">
        <f t="shared" si="2"/>
        <v>100</v>
      </c>
      <c r="X15" s="1502"/>
      <c r="Y15" s="3485"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86"/>
      <c r="Q16" s="1507"/>
      <c r="R16" s="1508"/>
      <c r="S16" s="1509"/>
      <c r="T16" s="1508"/>
      <c r="U16" s="1509"/>
      <c r="V16" s="1508"/>
      <c r="W16" s="1509"/>
      <c r="X16" s="1502"/>
      <c r="Y16" s="3486"/>
      <c r="Z16" s="1510"/>
      <c r="AA16" s="1511">
        <v>1</v>
      </c>
      <c r="AB16" s="1511">
        <v>1</v>
      </c>
      <c r="AC16" s="1511">
        <v>1</v>
      </c>
    </row>
    <row r="17" spans="1:29" ht="15">
      <c r="A17" s="526"/>
      <c r="B17" s="554" t="s">
        <v>296</v>
      </c>
      <c r="C17" s="567" t="str">
        <f>估价对象房地状况!C6</f>
        <v>一般</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86"/>
      <c r="Q17" s="1507" t="str">
        <f>B17</f>
        <v>交通便捷度</v>
      </c>
      <c r="R17" s="1508" t="s">
        <v>8</v>
      </c>
      <c r="S17" s="1509">
        <f>F17</f>
        <v>100</v>
      </c>
      <c r="T17" s="1508" t="s">
        <v>8</v>
      </c>
      <c r="U17" s="1509">
        <f>H17</f>
        <v>100</v>
      </c>
      <c r="V17" s="1508" t="s">
        <v>8</v>
      </c>
      <c r="W17" s="1509">
        <f>J17</f>
        <v>100</v>
      </c>
      <c r="X17" s="1502"/>
      <c r="Y17" s="3486"/>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86"/>
      <c r="Q18" s="1507"/>
      <c r="R18" s="1508"/>
      <c r="S18" s="1509"/>
      <c r="T18" s="1508"/>
      <c r="U18" s="1509"/>
      <c r="V18" s="1508"/>
      <c r="W18" s="1509"/>
      <c r="X18" s="1502"/>
      <c r="Y18" s="3486"/>
      <c r="Z18" s="1510"/>
      <c r="AA18" s="1511">
        <v>1</v>
      </c>
      <c r="AB18" s="1511">
        <v>1</v>
      </c>
      <c r="AC18" s="1511">
        <v>1</v>
      </c>
    </row>
    <row r="19" spans="1:29" ht="15">
      <c r="A19" s="526"/>
      <c r="B19" s="2448" t="s">
        <v>2527</v>
      </c>
      <c r="C19" s="567" t="str">
        <f>估价对象房地状况!C7</f>
        <v>较差</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86"/>
      <c r="Q19" s="1507" t="str">
        <f>B19</f>
        <v>公共配套设施</v>
      </c>
      <c r="R19" s="1508" t="s">
        <v>8</v>
      </c>
      <c r="S19" s="1509">
        <f>F19</f>
        <v>100</v>
      </c>
      <c r="T19" s="1508" t="s">
        <v>8</v>
      </c>
      <c r="U19" s="1509">
        <f>H19</f>
        <v>100</v>
      </c>
      <c r="V19" s="1508" t="s">
        <v>8</v>
      </c>
      <c r="W19" s="1509">
        <f>J19</f>
        <v>100</v>
      </c>
      <c r="X19" s="1502"/>
      <c r="Y19" s="3486"/>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86"/>
      <c r="Q20" s="1507"/>
      <c r="R20" s="1508"/>
      <c r="S20" s="1509"/>
      <c r="T20" s="1508"/>
      <c r="U20" s="1509"/>
      <c r="V20" s="1508"/>
      <c r="W20" s="1509"/>
      <c r="X20" s="1502"/>
      <c r="Y20" s="3486"/>
      <c r="Z20" s="1510"/>
      <c r="AA20" s="1511">
        <v>1</v>
      </c>
      <c r="AB20" s="1511">
        <v>1</v>
      </c>
      <c r="AC20" s="1511">
        <v>1</v>
      </c>
    </row>
    <row r="21" spans="1:29" ht="15">
      <c r="A21" s="526"/>
      <c r="B21" s="2436" t="s">
        <v>2539</v>
      </c>
      <c r="C21" s="567" t="str">
        <f>估价对象房地状况!C8</f>
        <v>七通</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86"/>
      <c r="Q21" s="2430" t="str">
        <f>B21</f>
        <v>基础设施水平</v>
      </c>
      <c r="R21" s="1508" t="s">
        <v>8</v>
      </c>
      <c r="S21" s="1509">
        <f>F21</f>
        <v>100</v>
      </c>
      <c r="T21" s="1508" t="s">
        <v>8</v>
      </c>
      <c r="U21" s="1509">
        <f>H21</f>
        <v>100</v>
      </c>
      <c r="V21" s="1508" t="s">
        <v>8</v>
      </c>
      <c r="W21" s="1509">
        <f>J21</f>
        <v>100</v>
      </c>
      <c r="X21" s="2432"/>
      <c r="Y21" s="3486"/>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86"/>
      <c r="Q22" s="2430"/>
      <c r="R22" s="1508"/>
      <c r="S22" s="1509"/>
      <c r="T22" s="1508"/>
      <c r="U22" s="1509"/>
      <c r="V22" s="1508"/>
      <c r="W22" s="1509"/>
      <c r="X22" s="2432"/>
      <c r="Y22" s="3486"/>
      <c r="Z22" s="2431"/>
      <c r="AA22" s="1511">
        <v>1</v>
      </c>
      <c r="AB22" s="1511">
        <v>1</v>
      </c>
      <c r="AC22" s="1511">
        <v>1</v>
      </c>
    </row>
    <row r="23" spans="1:29" ht="15">
      <c r="A23" s="526"/>
      <c r="B23" s="554" t="s">
        <v>772</v>
      </c>
      <c r="C23" s="567" t="str">
        <f>估价对象房地状况!C9</f>
        <v>较好</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86"/>
      <c r="Q23" s="1507" t="str">
        <f>B23</f>
        <v>环境质量</v>
      </c>
      <c r="R23" s="1508" t="s">
        <v>8</v>
      </c>
      <c r="S23" s="1509">
        <f>F23</f>
        <v>100</v>
      </c>
      <c r="T23" s="1508" t="s">
        <v>8</v>
      </c>
      <c r="U23" s="1509">
        <f>H23</f>
        <v>100</v>
      </c>
      <c r="V23" s="1508" t="s">
        <v>8</v>
      </c>
      <c r="W23" s="1509">
        <f>J23</f>
        <v>100</v>
      </c>
      <c r="X23" s="1502"/>
      <c r="Y23" s="3486"/>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86"/>
      <c r="Q24" s="1507"/>
      <c r="R24" s="1508"/>
      <c r="S24" s="1509"/>
      <c r="T24" s="1508"/>
      <c r="U24" s="1509"/>
      <c r="V24" s="1508"/>
      <c r="W24" s="1509"/>
      <c r="X24" s="1502"/>
      <c r="Y24" s="3486"/>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86"/>
      <c r="Q25" s="1507" t="str">
        <f>B25</f>
        <v>毗邻道路的类型与等级</v>
      </c>
      <c r="R25" s="1508" t="s">
        <v>8</v>
      </c>
      <c r="S25" s="1509">
        <f>F25</f>
        <v>100</v>
      </c>
      <c r="T25" s="1508" t="s">
        <v>8</v>
      </c>
      <c r="U25" s="1509">
        <f>H25</f>
        <v>100</v>
      </c>
      <c r="V25" s="1508" t="s">
        <v>8</v>
      </c>
      <c r="W25" s="1509">
        <f>J25</f>
        <v>100</v>
      </c>
      <c r="X25" s="1502"/>
      <c r="Y25" s="3486"/>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86"/>
      <c r="Q26" s="1507"/>
      <c r="R26" s="1508"/>
      <c r="S26" s="1509"/>
      <c r="T26" s="1508"/>
      <c r="U26" s="1509"/>
      <c r="V26" s="1508"/>
      <c r="W26" s="1509"/>
      <c r="X26" s="1502"/>
      <c r="Y26" s="3486"/>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86"/>
      <c r="Q27" s="1507" t="str">
        <f t="shared" ref="Q27:Q47" si="11">B27</f>
        <v>楼层</v>
      </c>
      <c r="R27" s="1508" t="s">
        <v>8</v>
      </c>
      <c r="S27" s="1509">
        <f>F27</f>
        <v>100</v>
      </c>
      <c r="T27" s="1508" t="s">
        <v>8</v>
      </c>
      <c r="U27" s="1509">
        <f>H27</f>
        <v>100</v>
      </c>
      <c r="V27" s="1508" t="s">
        <v>8</v>
      </c>
      <c r="W27" s="1509">
        <f>J27</f>
        <v>100</v>
      </c>
      <c r="X27" s="1502"/>
      <c r="Y27" s="3486"/>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86"/>
      <c r="Q28" s="1134" t="str">
        <f t="shared" si="11"/>
        <v>朝向</v>
      </c>
      <c r="R28" s="1503" t="s">
        <v>8</v>
      </c>
      <c r="S28" s="1504">
        <f>F28</f>
        <v>100</v>
      </c>
      <c r="T28" s="1503" t="s">
        <v>8</v>
      </c>
      <c r="U28" s="1504">
        <f>H28</f>
        <v>100</v>
      </c>
      <c r="V28" s="1503" t="s">
        <v>8</v>
      </c>
      <c r="W28" s="1504">
        <f>J28</f>
        <v>100</v>
      </c>
      <c r="X28" s="1505"/>
      <c r="Y28" s="3486"/>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86"/>
      <c r="Q29" s="1507">
        <f t="shared" si="11"/>
        <v>111</v>
      </c>
      <c r="R29" s="1508" t="s">
        <v>8</v>
      </c>
      <c r="S29" s="1509">
        <f t="shared" ref="S29:S47" si="12">F29</f>
        <v>100</v>
      </c>
      <c r="T29" s="1508" t="s">
        <v>8</v>
      </c>
      <c r="U29" s="1509">
        <f t="shared" ref="U29:U47" si="13">H29</f>
        <v>100</v>
      </c>
      <c r="V29" s="1508" t="s">
        <v>8</v>
      </c>
      <c r="W29" s="1509">
        <f t="shared" ref="W29:W47" si="14">J29</f>
        <v>100</v>
      </c>
      <c r="X29" s="1502"/>
      <c r="Y29" s="3486"/>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86"/>
      <c r="Q30" s="1507">
        <f t="shared" si="11"/>
        <v>111</v>
      </c>
      <c r="R30" s="1508" t="s">
        <v>8</v>
      </c>
      <c r="S30" s="1509">
        <f t="shared" si="12"/>
        <v>100</v>
      </c>
      <c r="T30" s="1508" t="s">
        <v>8</v>
      </c>
      <c r="U30" s="1509">
        <f t="shared" si="13"/>
        <v>100</v>
      </c>
      <c r="V30" s="1508" t="s">
        <v>8</v>
      </c>
      <c r="W30" s="1509">
        <f t="shared" si="14"/>
        <v>100</v>
      </c>
      <c r="X30" s="1502"/>
      <c r="Y30" s="3486"/>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86"/>
      <c r="Q31" s="1507">
        <f t="shared" si="11"/>
        <v>111</v>
      </c>
      <c r="R31" s="1508" t="s">
        <v>8</v>
      </c>
      <c r="S31" s="1509">
        <f t="shared" si="12"/>
        <v>100</v>
      </c>
      <c r="T31" s="1508" t="s">
        <v>8</v>
      </c>
      <c r="U31" s="1509">
        <f t="shared" si="13"/>
        <v>100</v>
      </c>
      <c r="V31" s="1508" t="s">
        <v>8</v>
      </c>
      <c r="W31" s="1509">
        <f t="shared" si="14"/>
        <v>100</v>
      </c>
      <c r="X31" s="1502"/>
      <c r="Y31" s="3486"/>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86"/>
      <c r="Q32" s="1507">
        <f t="shared" si="11"/>
        <v>111</v>
      </c>
      <c r="R32" s="1508" t="s">
        <v>8</v>
      </c>
      <c r="S32" s="1509">
        <f t="shared" si="12"/>
        <v>100</v>
      </c>
      <c r="T32" s="1508" t="s">
        <v>8</v>
      </c>
      <c r="U32" s="1509">
        <f t="shared" si="13"/>
        <v>100</v>
      </c>
      <c r="V32" s="1508" t="s">
        <v>8</v>
      </c>
      <c r="W32" s="1509">
        <f t="shared" si="14"/>
        <v>100</v>
      </c>
      <c r="X32" s="1502"/>
      <c r="Y32" s="3486"/>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87" t="s">
        <v>544</v>
      </c>
      <c r="Q33" s="1507" t="str">
        <f t="shared" si="11"/>
        <v>建筑类型</v>
      </c>
      <c r="R33" s="1508" t="s">
        <v>8</v>
      </c>
      <c r="S33" s="1509">
        <f t="shared" si="12"/>
        <v>100</v>
      </c>
      <c r="T33" s="1508" t="s">
        <v>8</v>
      </c>
      <c r="U33" s="1509">
        <f t="shared" si="13"/>
        <v>100</v>
      </c>
      <c r="V33" s="1508" t="s">
        <v>8</v>
      </c>
      <c r="W33" s="1509">
        <f t="shared" si="14"/>
        <v>100</v>
      </c>
      <c r="X33" s="1502"/>
      <c r="Y33" s="3488"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88"/>
      <c r="Q34" s="1536" t="str">
        <f t="shared" si="11"/>
        <v>项目建筑规模</v>
      </c>
      <c r="R34" s="1512" t="s">
        <v>8</v>
      </c>
      <c r="S34" s="1513" t="e">
        <f t="shared" si="12"/>
        <v>#N/A</v>
      </c>
      <c r="T34" s="1512" t="s">
        <v>8</v>
      </c>
      <c r="U34" s="1513" t="e">
        <f t="shared" si="13"/>
        <v>#N/A</v>
      </c>
      <c r="V34" s="1512" t="s">
        <v>8</v>
      </c>
      <c r="W34" s="1513" t="e">
        <f t="shared" si="14"/>
        <v>#N/A</v>
      </c>
      <c r="X34" s="1514"/>
      <c r="Y34" s="3488"/>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88"/>
      <c r="Q35" s="1507" t="str">
        <f t="shared" si="11"/>
        <v>建筑结构</v>
      </c>
      <c r="R35" s="1508" t="s">
        <v>8</v>
      </c>
      <c r="S35" s="1509">
        <f t="shared" si="12"/>
        <v>100</v>
      </c>
      <c r="T35" s="1508" t="s">
        <v>8</v>
      </c>
      <c r="U35" s="1509">
        <f t="shared" si="13"/>
        <v>100</v>
      </c>
      <c r="V35" s="1508" t="s">
        <v>8</v>
      </c>
      <c r="W35" s="1509">
        <f t="shared" si="14"/>
        <v>100</v>
      </c>
      <c r="X35" s="1502"/>
      <c r="Y35" s="3488"/>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88"/>
      <c r="Q36" s="1507" t="str">
        <f t="shared" si="11"/>
        <v>公共部分装修</v>
      </c>
      <c r="R36" s="1508" t="s">
        <v>8</v>
      </c>
      <c r="S36" s="1509">
        <f t="shared" si="12"/>
        <v>100</v>
      </c>
      <c r="T36" s="1508" t="s">
        <v>8</v>
      </c>
      <c r="U36" s="1509">
        <f t="shared" si="13"/>
        <v>100</v>
      </c>
      <c r="V36" s="1508" t="s">
        <v>8</v>
      </c>
      <c r="W36" s="1509">
        <f t="shared" si="14"/>
        <v>100</v>
      </c>
      <c r="X36" s="1502"/>
      <c r="Y36" s="3488"/>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88"/>
      <c r="Q37" s="1507" t="str">
        <f t="shared" si="11"/>
        <v>成新度</v>
      </c>
      <c r="R37" s="1508" t="s">
        <v>8</v>
      </c>
      <c r="S37" s="1509" t="e">
        <f t="shared" si="12"/>
        <v>#N/A</v>
      </c>
      <c r="T37" s="1508" t="s">
        <v>8</v>
      </c>
      <c r="U37" s="1509" t="e">
        <f t="shared" si="13"/>
        <v>#N/A</v>
      </c>
      <c r="V37" s="1508" t="s">
        <v>8</v>
      </c>
      <c r="W37" s="1509" t="e">
        <f t="shared" si="14"/>
        <v>#N/A</v>
      </c>
      <c r="X37" s="1502"/>
      <c r="Y37" s="3488"/>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88"/>
      <c r="Q38" s="1134" t="str">
        <f t="shared" si="11"/>
        <v>写字楼等级</v>
      </c>
      <c r="R38" s="1503" t="s">
        <v>8</v>
      </c>
      <c r="S38" s="1504">
        <f t="shared" si="12"/>
        <v>100</v>
      </c>
      <c r="T38" s="1503" t="s">
        <v>8</v>
      </c>
      <c r="U38" s="1504">
        <f t="shared" si="13"/>
        <v>100</v>
      </c>
      <c r="V38" s="1503" t="s">
        <v>8</v>
      </c>
      <c r="W38" s="1504">
        <f t="shared" si="14"/>
        <v>100</v>
      </c>
      <c r="X38" s="1505"/>
      <c r="Y38" s="3488"/>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88" t="s">
        <v>544</v>
      </c>
      <c r="Q39" s="1507" t="str">
        <f t="shared" si="11"/>
        <v>物业管理</v>
      </c>
      <c r="R39" s="1508" t="s">
        <v>8</v>
      </c>
      <c r="S39" s="1509">
        <f t="shared" si="12"/>
        <v>100</v>
      </c>
      <c r="T39" s="1508" t="s">
        <v>8</v>
      </c>
      <c r="U39" s="1509">
        <f t="shared" si="13"/>
        <v>100</v>
      </c>
      <c r="V39" s="1508" t="s">
        <v>8</v>
      </c>
      <c r="W39" s="1509">
        <f t="shared" si="14"/>
        <v>100</v>
      </c>
      <c r="X39" s="1502"/>
      <c r="Y39" s="3488"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88"/>
      <c r="Q40" s="1507" t="str">
        <f t="shared" si="11"/>
        <v>市政基础设施</v>
      </c>
      <c r="R40" s="1508" t="s">
        <v>8</v>
      </c>
      <c r="S40" s="1509">
        <f t="shared" si="12"/>
        <v>100</v>
      </c>
      <c r="T40" s="1508" t="s">
        <v>8</v>
      </c>
      <c r="U40" s="1509">
        <f t="shared" si="13"/>
        <v>100</v>
      </c>
      <c r="V40" s="1508" t="s">
        <v>8</v>
      </c>
      <c r="W40" s="1509">
        <f t="shared" si="14"/>
        <v>100</v>
      </c>
      <c r="X40" s="1502"/>
      <c r="Y40" s="3488"/>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88"/>
      <c r="Q41" s="1507" t="str">
        <f t="shared" si="11"/>
        <v>层高</v>
      </c>
      <c r="R41" s="1508" t="s">
        <v>8</v>
      </c>
      <c r="S41" s="1509">
        <f t="shared" si="12"/>
        <v>100</v>
      </c>
      <c r="T41" s="1508" t="s">
        <v>8</v>
      </c>
      <c r="U41" s="1509">
        <f t="shared" si="13"/>
        <v>100</v>
      </c>
      <c r="V41" s="1508" t="s">
        <v>8</v>
      </c>
      <c r="W41" s="1509">
        <f t="shared" si="14"/>
        <v>100</v>
      </c>
      <c r="X41" s="1502"/>
      <c r="Y41" s="3488"/>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88"/>
      <c r="Q42" s="1536" t="str">
        <f t="shared" si="11"/>
        <v>单套建筑面积</v>
      </c>
      <c r="R42" s="1512" t="s">
        <v>8</v>
      </c>
      <c r="S42" s="1513">
        <f t="shared" si="12"/>
        <v>100</v>
      </c>
      <c r="T42" s="1512" t="s">
        <v>8</v>
      </c>
      <c r="U42" s="1513">
        <f t="shared" si="13"/>
        <v>100</v>
      </c>
      <c r="V42" s="1512" t="s">
        <v>8</v>
      </c>
      <c r="W42" s="1513">
        <f t="shared" si="14"/>
        <v>100</v>
      </c>
      <c r="X42" s="1514"/>
      <c r="Y42" s="3488"/>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88"/>
      <c r="Q43" s="1507" t="str">
        <f t="shared" si="11"/>
        <v>内部装修</v>
      </c>
      <c r="R43" s="1508" t="s">
        <v>8</v>
      </c>
      <c r="S43" s="1509">
        <f t="shared" si="12"/>
        <v>100</v>
      </c>
      <c r="T43" s="1508" t="s">
        <v>8</v>
      </c>
      <c r="U43" s="1509">
        <f t="shared" si="13"/>
        <v>100</v>
      </c>
      <c r="V43" s="1508" t="s">
        <v>8</v>
      </c>
      <c r="W43" s="1509">
        <f t="shared" si="14"/>
        <v>100</v>
      </c>
      <c r="X43" s="1502"/>
      <c r="Y43" s="3488"/>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88"/>
      <c r="Q44" s="1507" t="str">
        <f t="shared" si="11"/>
        <v>内部装修维护情况</v>
      </c>
      <c r="R44" s="1508" t="s">
        <v>8</v>
      </c>
      <c r="S44" s="1509">
        <f t="shared" si="12"/>
        <v>100</v>
      </c>
      <c r="T44" s="1508" t="s">
        <v>8</v>
      </c>
      <c r="U44" s="1509">
        <f t="shared" si="13"/>
        <v>100</v>
      </c>
      <c r="V44" s="1508" t="s">
        <v>8</v>
      </c>
      <c r="W44" s="1509">
        <f t="shared" si="14"/>
        <v>100</v>
      </c>
      <c r="X44" s="1502"/>
      <c r="Y44" s="3488"/>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88"/>
      <c r="Q45" s="1134">
        <f t="shared" si="11"/>
        <v>111</v>
      </c>
      <c r="R45" s="1503" t="s">
        <v>8</v>
      </c>
      <c r="S45" s="1504">
        <f t="shared" si="12"/>
        <v>100</v>
      </c>
      <c r="T45" s="1503" t="s">
        <v>8</v>
      </c>
      <c r="U45" s="1504">
        <f t="shared" si="13"/>
        <v>100</v>
      </c>
      <c r="V45" s="1503" t="s">
        <v>8</v>
      </c>
      <c r="W45" s="1504">
        <f t="shared" si="14"/>
        <v>100</v>
      </c>
      <c r="X45" s="1505"/>
      <c r="Y45" s="3488"/>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88"/>
      <c r="Q46" s="1507">
        <f t="shared" si="11"/>
        <v>111</v>
      </c>
      <c r="R46" s="1508" t="s">
        <v>8</v>
      </c>
      <c r="S46" s="1509">
        <f t="shared" si="12"/>
        <v>100</v>
      </c>
      <c r="T46" s="1508" t="s">
        <v>8</v>
      </c>
      <c r="U46" s="1509">
        <f t="shared" si="13"/>
        <v>100</v>
      </c>
      <c r="V46" s="1508" t="s">
        <v>8</v>
      </c>
      <c r="W46" s="1509">
        <f t="shared" si="14"/>
        <v>100</v>
      </c>
      <c r="X46" s="1502"/>
      <c r="Y46" s="3488"/>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69"/>
      <c r="Q47" s="1507">
        <f t="shared" si="11"/>
        <v>111</v>
      </c>
      <c r="R47" s="1508" t="s">
        <v>8</v>
      </c>
      <c r="S47" s="1509">
        <f t="shared" si="12"/>
        <v>100</v>
      </c>
      <c r="T47" s="1508" t="s">
        <v>8</v>
      </c>
      <c r="U47" s="1509">
        <f t="shared" si="13"/>
        <v>100</v>
      </c>
      <c r="V47" s="1508" t="s">
        <v>8</v>
      </c>
      <c r="W47" s="1509">
        <f t="shared" si="14"/>
        <v>100</v>
      </c>
      <c r="X47" s="1502"/>
      <c r="Y47" s="3569"/>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06" t="str">
        <f>A48</f>
        <v>成交单价（元/平方米）</v>
      </c>
      <c r="Q48" s="3483"/>
      <c r="R48" s="3568">
        <f>E48</f>
        <v>0</v>
      </c>
      <c r="S48" s="3568"/>
      <c r="T48" s="3568">
        <f>G48</f>
        <v>0</v>
      </c>
      <c r="U48" s="3568"/>
      <c r="V48" s="3568">
        <f>I48</f>
        <v>0</v>
      </c>
      <c r="W48" s="3568"/>
      <c r="X48" s="1497"/>
      <c r="Y48" s="1516"/>
      <c r="Z48" s="1497"/>
      <c r="AA48" s="1497"/>
      <c r="AB48" s="1497"/>
      <c r="AC48" s="1497"/>
    </row>
    <row r="49" spans="1:29" ht="15.75" thickBot="1">
      <c r="A49" s="609" t="s">
        <v>2740</v>
      </c>
      <c r="B49" s="877"/>
      <c r="C49" s="2477" t="e">
        <f>R50</f>
        <v>#DIV/0!</v>
      </c>
      <c r="D49" s="3015" t="s">
        <v>2966</v>
      </c>
      <c r="E49" s="2478" t="e">
        <f>R49</f>
        <v>#DIV/0!</v>
      </c>
      <c r="F49" s="3016"/>
      <c r="G49" s="2477" t="e">
        <f>T49</f>
        <v>#DIV/0!</v>
      </c>
      <c r="H49" s="3016"/>
      <c r="I49" s="2478" t="e">
        <f>V49</f>
        <v>#DIV/0!</v>
      </c>
      <c r="J49" s="3016"/>
      <c r="K49" s="3024">
        <f>F49+H49+J49</f>
        <v>0</v>
      </c>
      <c r="L49" s="2027"/>
      <c r="M49" s="2017"/>
      <c r="N49" s="2017"/>
      <c r="O49" s="2017"/>
      <c r="P49" s="3506" t="str">
        <f>A49</f>
        <v>比较价格（元/平方米）</v>
      </c>
      <c r="Q49" s="3483"/>
      <c r="R49" s="3568" t="e">
        <f>IF(F1="售价",ROUND(PRODUCT(R48,AA7:AA47),0),ROUND(PRODUCT(R48,AA7:AA47),1))</f>
        <v>#DIV/0!</v>
      </c>
      <c r="S49" s="3568"/>
      <c r="T49" s="3568" t="e">
        <f>IF(F1="售价",ROUND(PRODUCT(T48,AB7:AB47),0),ROUND(PRODUCT(T48,AB7:AB47),1))</f>
        <v>#DIV/0!</v>
      </c>
      <c r="U49" s="3568"/>
      <c r="V49" s="3568" t="e">
        <f>IF(F1="售价",ROUND(PRODUCT(V48,AC7:AC47),0),ROUND(PRODUCT(V48,AC7:AC47),1))</f>
        <v>#DIV/0!</v>
      </c>
      <c r="W49" s="3568"/>
      <c r="X49" s="1497"/>
      <c r="Y49" s="1497"/>
      <c r="Z49" s="1497"/>
      <c r="AA49" s="1497"/>
      <c r="AB49" s="1497"/>
      <c r="AC49" s="1497"/>
    </row>
    <row r="50" spans="1:29" ht="15.75" thickBot="1">
      <c r="A50" s="613" t="s">
        <v>2898</v>
      </c>
      <c r="B50" s="614"/>
      <c r="C50" s="2479" t="e">
        <f>R50</f>
        <v>#DIV/0!</v>
      </c>
      <c r="D50" s="2479"/>
      <c r="E50" s="2479"/>
      <c r="F50" s="2479"/>
      <c r="G50" s="2479"/>
      <c r="H50" s="2479"/>
      <c r="I50" s="2479"/>
      <c r="J50" s="2479"/>
      <c r="K50" s="1542"/>
      <c r="L50" s="2027"/>
      <c r="M50" s="2017"/>
      <c r="N50" s="2017"/>
      <c r="O50" s="2017"/>
      <c r="P50" s="3596" t="str">
        <f>A50</f>
        <v>估价对象XX用房的比较价格（楼面单价，元/平方米）</v>
      </c>
      <c r="Q50" s="3506"/>
      <c r="R50" s="3567" t="e">
        <f>IF(F1="售价",ROUND(IF(D49="简单平均",AVERAGE(R49:V49),R49*F49+T49*H49+V49*J49),0),ROUND(IF(D49="简单平均",AVERAGE(R49:V49),R49*F49+T49*H49+V49*J49),1))</f>
        <v>#DIV/0!</v>
      </c>
      <c r="S50" s="3567"/>
      <c r="T50" s="3567"/>
      <c r="U50" s="3567"/>
      <c r="V50" s="3567"/>
      <c r="W50" s="3567"/>
      <c r="X50" s="1497"/>
      <c r="Y50" s="1497"/>
      <c r="Z50" s="1497"/>
      <c r="AA50" s="1497"/>
      <c r="AB50" s="1497"/>
      <c r="AC50" s="1497"/>
    </row>
    <row r="51" spans="1:29">
      <c r="A51" s="3213"/>
      <c r="B51" s="3213"/>
      <c r="C51" s="3213"/>
      <c r="D51" s="3213"/>
      <c r="E51" s="3213"/>
      <c r="F51" s="3213"/>
      <c r="G51" s="3215"/>
      <c r="H51" s="3213"/>
      <c r="I51" s="3213"/>
      <c r="J51" s="3213"/>
      <c r="K51" s="3216"/>
      <c r="L51" s="2032"/>
      <c r="M51" s="2028"/>
      <c r="N51" s="2028"/>
      <c r="O51" s="2028"/>
      <c r="P51" s="2089"/>
      <c r="Q51" s="2028"/>
      <c r="R51" s="2028"/>
      <c r="S51" s="2028"/>
      <c r="T51" s="2028"/>
      <c r="U51" s="2028"/>
      <c r="V51" s="2028"/>
      <c r="W51" s="2028"/>
      <c r="X51" s="2028"/>
      <c r="Y51" s="2028"/>
      <c r="Z51" s="2028"/>
      <c r="AA51" s="2028"/>
      <c r="AB51" s="2028"/>
      <c r="AC51" s="2028"/>
    </row>
    <row r="52" spans="1:29">
      <c r="A52" s="3213"/>
      <c r="B52" s="3213"/>
      <c r="C52" s="3213"/>
      <c r="D52" s="3213"/>
      <c r="E52" s="3213"/>
      <c r="F52" s="3213"/>
      <c r="G52" s="3213"/>
      <c r="H52" s="3213"/>
      <c r="I52" s="3213"/>
      <c r="J52" s="3213"/>
      <c r="K52" s="3216"/>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2021-3</v>
      </c>
      <c r="D59" s="2522">
        <f>EDATE(C59,-1)</f>
        <v>44228</v>
      </c>
      <c r="E59" s="2522">
        <f t="shared" ref="E59:O59" si="16">EDATE(D59,-1)</f>
        <v>44197</v>
      </c>
      <c r="F59" s="2522">
        <f t="shared" si="16"/>
        <v>44166</v>
      </c>
      <c r="G59" s="2522">
        <f t="shared" si="16"/>
        <v>44136</v>
      </c>
      <c r="H59" s="2522">
        <f t="shared" si="16"/>
        <v>44105</v>
      </c>
      <c r="I59" s="2522">
        <f t="shared" si="16"/>
        <v>44075</v>
      </c>
      <c r="J59" s="2522">
        <f t="shared" si="16"/>
        <v>44044</v>
      </c>
      <c r="K59" s="2522">
        <f t="shared" si="16"/>
        <v>44013</v>
      </c>
      <c r="L59" s="2522">
        <f t="shared" si="16"/>
        <v>43983</v>
      </c>
      <c r="M59" s="2522">
        <f t="shared" si="16"/>
        <v>43952</v>
      </c>
      <c r="N59" s="2522">
        <f t="shared" si="16"/>
        <v>43922</v>
      </c>
      <c r="O59" s="2522">
        <f t="shared" si="16"/>
        <v>43891</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09"/>
      <c r="M1" s="3210"/>
      <c r="N1" s="3210"/>
      <c r="O1" s="3210"/>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2"/>
      <c r="AC3" s="1945"/>
    </row>
    <row r="4" spans="1:29" ht="15">
      <c r="A4" s="506" t="s">
        <v>515</v>
      </c>
      <c r="B4" s="507"/>
      <c r="C4" s="3489" t="s">
        <v>516</v>
      </c>
      <c r="D4" s="3490"/>
      <c r="E4" s="3515" t="s">
        <v>517</v>
      </c>
      <c r="F4" s="3516"/>
      <c r="G4" s="3489" t="s">
        <v>518</v>
      </c>
      <c r="H4" s="3490"/>
      <c r="I4" s="3489" t="s">
        <v>519</v>
      </c>
      <c r="J4" s="3490"/>
      <c r="K4" s="508" t="s">
        <v>520</v>
      </c>
      <c r="L4" s="2016"/>
      <c r="M4" s="2017"/>
      <c r="N4" s="2017"/>
      <c r="O4" s="2017"/>
      <c r="P4" s="3491" t="s">
        <v>521</v>
      </c>
      <c r="Q4" s="3492"/>
      <c r="R4" s="3477" t="s">
        <v>517</v>
      </c>
      <c r="S4" s="3478"/>
      <c r="T4" s="3477" t="s">
        <v>518</v>
      </c>
      <c r="U4" s="3478"/>
      <c r="V4" s="3497" t="s">
        <v>519</v>
      </c>
      <c r="W4" s="3497"/>
      <c r="X4" s="1502"/>
      <c r="Y4" s="3477" t="s">
        <v>521</v>
      </c>
      <c r="Z4" s="3478"/>
      <c r="AA4" s="3472" t="s">
        <v>517</v>
      </c>
      <c r="AB4" s="3473" t="s">
        <v>518</v>
      </c>
      <c r="AC4" s="3472" t="s">
        <v>519</v>
      </c>
    </row>
    <row r="5" spans="1:29" ht="15">
      <c r="A5" s="509"/>
      <c r="B5" s="510"/>
      <c r="C5" s="3500" t="s">
        <v>2892</v>
      </c>
      <c r="D5" s="3501"/>
      <c r="E5" s="3517" t="s">
        <v>2893</v>
      </c>
      <c r="F5" s="3518"/>
      <c r="G5" s="3500" t="s">
        <v>2894</v>
      </c>
      <c r="H5" s="3501"/>
      <c r="I5" s="3500" t="s">
        <v>2895</v>
      </c>
      <c r="J5" s="3501"/>
      <c r="K5" s="508"/>
      <c r="L5" s="2016"/>
      <c r="M5" s="2017"/>
      <c r="N5" s="2017"/>
      <c r="O5" s="2017"/>
      <c r="P5" s="3493"/>
      <c r="Q5" s="3494"/>
      <c r="R5" s="3479"/>
      <c r="S5" s="3480"/>
      <c r="T5" s="3479"/>
      <c r="U5" s="3480"/>
      <c r="V5" s="3497"/>
      <c r="W5" s="3497"/>
      <c r="X5" s="1502"/>
      <c r="Y5" s="3479"/>
      <c r="Z5" s="3480"/>
      <c r="AA5" s="3473"/>
      <c r="AB5" s="3473"/>
      <c r="AC5" s="3473"/>
    </row>
    <row r="6" spans="1:29" ht="15.75" thickBot="1">
      <c r="A6" s="511"/>
      <c r="B6" s="512"/>
      <c r="C6" s="3498" t="s">
        <v>2896</v>
      </c>
      <c r="D6" s="3499"/>
      <c r="E6" s="3519" t="s">
        <v>2896</v>
      </c>
      <c r="F6" s="3520"/>
      <c r="G6" s="3498" t="s">
        <v>2896</v>
      </c>
      <c r="H6" s="3499"/>
      <c r="I6" s="3498" t="s">
        <v>2896</v>
      </c>
      <c r="J6" s="3499"/>
      <c r="K6" s="508" t="s">
        <v>522</v>
      </c>
      <c r="L6" s="2016"/>
      <c r="M6" s="2017"/>
      <c r="N6" s="2017"/>
      <c r="O6" s="2017"/>
      <c r="P6" s="3495"/>
      <c r="Q6" s="3496"/>
      <c r="R6" s="3479"/>
      <c r="S6" s="3480"/>
      <c r="T6" s="3481"/>
      <c r="U6" s="3482"/>
      <c r="V6" s="3497"/>
      <c r="W6" s="3497"/>
      <c r="X6" s="1502"/>
      <c r="Y6" s="3481"/>
      <c r="Z6" s="3482"/>
      <c r="AA6" s="3474"/>
      <c r="AB6" s="3474"/>
      <c r="AC6" s="3474"/>
    </row>
    <row r="7" spans="1:29" s="1203" customFormat="1" ht="15.75" thickBot="1">
      <c r="A7" s="2630"/>
      <c r="B7" s="2637" t="s">
        <v>523</v>
      </c>
      <c r="C7" s="513">
        <f>'数据-取费表'!B2</f>
        <v>44273</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75" t="s">
        <v>524</v>
      </c>
      <c r="Q7" s="3484"/>
      <c r="R7" s="1503" t="s">
        <v>8</v>
      </c>
      <c r="S7" s="1504">
        <f t="shared" ref="S7:S15" si="0">F7</f>
        <v>0</v>
      </c>
      <c r="T7" s="1503" t="s">
        <v>8</v>
      </c>
      <c r="U7" s="1504">
        <f t="shared" ref="U7:U15" si="1">H7</f>
        <v>0</v>
      </c>
      <c r="V7" s="1503" t="s">
        <v>8</v>
      </c>
      <c r="W7" s="1504">
        <f t="shared" ref="W7:W15" si="2">J7</f>
        <v>0</v>
      </c>
      <c r="X7" s="1505"/>
      <c r="Y7" s="3475" t="s">
        <v>524</v>
      </c>
      <c r="Z7" s="3476"/>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75" t="s">
        <v>527</v>
      </c>
      <c r="Q8" s="3476"/>
      <c r="R8" s="1503" t="s">
        <v>8</v>
      </c>
      <c r="S8" s="1504">
        <f t="shared" si="0"/>
        <v>0</v>
      </c>
      <c r="T8" s="1503" t="s">
        <v>8</v>
      </c>
      <c r="U8" s="1504">
        <f t="shared" si="1"/>
        <v>0</v>
      </c>
      <c r="V8" s="1503" t="s">
        <v>8</v>
      </c>
      <c r="W8" s="1504">
        <f t="shared" si="2"/>
        <v>0</v>
      </c>
      <c r="X8" s="1505"/>
      <c r="Y8" s="3475" t="s">
        <v>527</v>
      </c>
      <c r="Z8" s="3476"/>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83" t="s">
        <v>529</v>
      </c>
      <c r="Q9" s="1134" t="str">
        <f t="shared" ref="Q9:Q15" si="6">B9</f>
        <v>用途</v>
      </c>
      <c r="R9" s="1503" t="s">
        <v>8</v>
      </c>
      <c r="S9" s="1504">
        <f t="shared" si="0"/>
        <v>100</v>
      </c>
      <c r="T9" s="1503" t="s">
        <v>8</v>
      </c>
      <c r="U9" s="1504">
        <f t="shared" si="1"/>
        <v>100</v>
      </c>
      <c r="V9" s="1503" t="s">
        <v>8</v>
      </c>
      <c r="W9" s="1504">
        <f t="shared" si="2"/>
        <v>100</v>
      </c>
      <c r="X9" s="1505"/>
      <c r="Y9" s="3434"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34"/>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83"/>
      <c r="Q11" s="1134" t="str">
        <f t="shared" si="6"/>
        <v>容积率</v>
      </c>
      <c r="R11" s="1503" t="s">
        <v>8</v>
      </c>
      <c r="S11" s="1504" t="e">
        <f t="shared" si="0"/>
        <v>#N/A</v>
      </c>
      <c r="T11" s="1503" t="s">
        <v>8</v>
      </c>
      <c r="U11" s="1504" t="e">
        <f t="shared" si="1"/>
        <v>#N/A</v>
      </c>
      <c r="V11" s="1503" t="s">
        <v>8</v>
      </c>
      <c r="W11" s="1504" t="e">
        <f t="shared" si="2"/>
        <v>#N/A</v>
      </c>
      <c r="X11" s="1505"/>
      <c r="Y11" s="3434"/>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83"/>
      <c r="Q12" s="1134">
        <f t="shared" si="6"/>
        <v>111</v>
      </c>
      <c r="R12" s="1503" t="s">
        <v>8</v>
      </c>
      <c r="S12" s="1504">
        <f t="shared" si="0"/>
        <v>100</v>
      </c>
      <c r="T12" s="1503" t="s">
        <v>8</v>
      </c>
      <c r="U12" s="1504">
        <f t="shared" si="1"/>
        <v>100</v>
      </c>
      <c r="V12" s="1503" t="s">
        <v>8</v>
      </c>
      <c r="W12" s="1504">
        <f t="shared" si="2"/>
        <v>100</v>
      </c>
      <c r="X12" s="1505"/>
      <c r="Y12" s="3434"/>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83"/>
      <c r="Q13" s="1134">
        <f t="shared" si="6"/>
        <v>111</v>
      </c>
      <c r="R13" s="1503" t="s">
        <v>8</v>
      </c>
      <c r="S13" s="1504">
        <f t="shared" si="0"/>
        <v>100</v>
      </c>
      <c r="T13" s="1503" t="s">
        <v>8</v>
      </c>
      <c r="U13" s="1504">
        <f t="shared" si="1"/>
        <v>100</v>
      </c>
      <c r="V13" s="1503" t="s">
        <v>8</v>
      </c>
      <c r="W13" s="1504">
        <f t="shared" si="2"/>
        <v>100</v>
      </c>
      <c r="X13" s="1505"/>
      <c r="Y13" s="3434"/>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83"/>
      <c r="Q14" s="1134">
        <f t="shared" si="6"/>
        <v>111</v>
      </c>
      <c r="R14" s="1503" t="s">
        <v>8</v>
      </c>
      <c r="S14" s="1504">
        <f t="shared" si="0"/>
        <v>100</v>
      </c>
      <c r="T14" s="1503" t="s">
        <v>8</v>
      </c>
      <c r="U14" s="1504">
        <f t="shared" si="1"/>
        <v>100</v>
      </c>
      <c r="V14" s="1503" t="s">
        <v>8</v>
      </c>
      <c r="W14" s="1504">
        <f t="shared" si="2"/>
        <v>100</v>
      </c>
      <c r="X14" s="1505"/>
      <c r="Y14" s="3434"/>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85" t="s">
        <v>534</v>
      </c>
      <c r="Q15" s="1507" t="str">
        <f t="shared" si="6"/>
        <v>产业集聚程度</v>
      </c>
      <c r="R15" s="1508" t="s">
        <v>8</v>
      </c>
      <c r="S15" s="1509">
        <f t="shared" si="0"/>
        <v>100</v>
      </c>
      <c r="T15" s="1508" t="s">
        <v>8</v>
      </c>
      <c r="U15" s="1509">
        <f t="shared" si="1"/>
        <v>100</v>
      </c>
      <c r="V15" s="1508" t="s">
        <v>8</v>
      </c>
      <c r="W15" s="1509">
        <f t="shared" si="2"/>
        <v>100</v>
      </c>
      <c r="X15" s="1502"/>
      <c r="Y15" s="3485"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86"/>
      <c r="Q16" s="1507"/>
      <c r="R16" s="1508"/>
      <c r="S16" s="1509"/>
      <c r="T16" s="1508"/>
      <c r="U16" s="1509"/>
      <c r="V16" s="1508"/>
      <c r="W16" s="1509"/>
      <c r="X16" s="1502"/>
      <c r="Y16" s="3486"/>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86"/>
      <c r="Q17" s="1507" t="str">
        <f>B17</f>
        <v>交通便捷度</v>
      </c>
      <c r="R17" s="1508" t="s">
        <v>8</v>
      </c>
      <c r="S17" s="1509">
        <f>F17</f>
        <v>100</v>
      </c>
      <c r="T17" s="1508" t="s">
        <v>8</v>
      </c>
      <c r="U17" s="1509">
        <f>H17</f>
        <v>100</v>
      </c>
      <c r="V17" s="1508" t="s">
        <v>8</v>
      </c>
      <c r="W17" s="1509">
        <f>J17</f>
        <v>100</v>
      </c>
      <c r="X17" s="1502"/>
      <c r="Y17" s="348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86"/>
      <c r="Q18" s="1507"/>
      <c r="R18" s="1508"/>
      <c r="S18" s="1509"/>
      <c r="T18" s="1508"/>
      <c r="U18" s="1509"/>
      <c r="V18" s="1508"/>
      <c r="W18" s="1509"/>
      <c r="X18" s="1502"/>
      <c r="Y18" s="3486"/>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86"/>
      <c r="Q19" s="1507" t="str">
        <f>B19</f>
        <v>公共配套设施</v>
      </c>
      <c r="R19" s="1508" t="s">
        <v>8</v>
      </c>
      <c r="S19" s="1509">
        <f>F19</f>
        <v>100</v>
      </c>
      <c r="T19" s="1508" t="s">
        <v>8</v>
      </c>
      <c r="U19" s="1509">
        <f>H19</f>
        <v>100</v>
      </c>
      <c r="V19" s="1508" t="s">
        <v>8</v>
      </c>
      <c r="W19" s="1509">
        <f>J19</f>
        <v>100</v>
      </c>
      <c r="X19" s="1502"/>
      <c r="Y19" s="3486"/>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86"/>
      <c r="Q20" s="1507"/>
      <c r="R20" s="1508"/>
      <c r="S20" s="1509"/>
      <c r="T20" s="1508"/>
      <c r="U20" s="1509"/>
      <c r="V20" s="1508"/>
      <c r="W20" s="1509"/>
      <c r="X20" s="1502"/>
      <c r="Y20" s="3486"/>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86"/>
      <c r="Q21" s="2430" t="str">
        <f>B21</f>
        <v>基础设施水平</v>
      </c>
      <c r="R21" s="1508" t="s">
        <v>8</v>
      </c>
      <c r="S21" s="1509">
        <f>F21</f>
        <v>100</v>
      </c>
      <c r="T21" s="1508" t="s">
        <v>8</v>
      </c>
      <c r="U21" s="1509">
        <f>H21</f>
        <v>100</v>
      </c>
      <c r="V21" s="1508" t="s">
        <v>8</v>
      </c>
      <c r="W21" s="1509">
        <f>J21</f>
        <v>100</v>
      </c>
      <c r="X21" s="2432"/>
      <c r="Y21" s="3486"/>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86"/>
      <c r="Q22" s="2430"/>
      <c r="R22" s="1508"/>
      <c r="S22" s="1509"/>
      <c r="T22" s="1508"/>
      <c r="U22" s="1509"/>
      <c r="V22" s="1508"/>
      <c r="W22" s="1509"/>
      <c r="X22" s="2432"/>
      <c r="Y22" s="3486"/>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86"/>
      <c r="Q23" s="1507" t="str">
        <f>B23</f>
        <v>环境质量</v>
      </c>
      <c r="R23" s="1508" t="s">
        <v>8</v>
      </c>
      <c r="S23" s="1509">
        <f>F23</f>
        <v>100</v>
      </c>
      <c r="T23" s="1508" t="s">
        <v>8</v>
      </c>
      <c r="U23" s="1509">
        <f>H23</f>
        <v>100</v>
      </c>
      <c r="V23" s="1508" t="s">
        <v>8</v>
      </c>
      <c r="W23" s="1509">
        <f>J23</f>
        <v>100</v>
      </c>
      <c r="X23" s="1502"/>
      <c r="Y23" s="3486"/>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86"/>
      <c r="Q24" s="1507"/>
      <c r="R24" s="1508"/>
      <c r="S24" s="1509"/>
      <c r="T24" s="1508"/>
      <c r="U24" s="1509"/>
      <c r="V24" s="1508"/>
      <c r="W24" s="1509"/>
      <c r="X24" s="1502"/>
      <c r="Y24" s="3486"/>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86"/>
      <c r="Q25" s="1507">
        <f>B25</f>
        <v>111</v>
      </c>
      <c r="R25" s="1508" t="s">
        <v>8</v>
      </c>
      <c r="S25" s="1509">
        <f>F25</f>
        <v>100</v>
      </c>
      <c r="T25" s="1508" t="s">
        <v>8</v>
      </c>
      <c r="U25" s="1509">
        <f>H25</f>
        <v>100</v>
      </c>
      <c r="V25" s="1508" t="s">
        <v>8</v>
      </c>
      <c r="W25" s="1509">
        <f>J25</f>
        <v>100</v>
      </c>
      <c r="X25" s="1502"/>
      <c r="Y25" s="3486"/>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86"/>
      <c r="Q26" s="1507">
        <f t="shared" ref="Q26:Q40" si="11">B26</f>
        <v>111</v>
      </c>
      <c r="R26" s="1508" t="s">
        <v>8</v>
      </c>
      <c r="S26" s="1509">
        <f>F26</f>
        <v>100</v>
      </c>
      <c r="T26" s="1508" t="s">
        <v>8</v>
      </c>
      <c r="U26" s="1509">
        <f>H26</f>
        <v>100</v>
      </c>
      <c r="V26" s="1508" t="s">
        <v>8</v>
      </c>
      <c r="W26" s="1509">
        <f>J26</f>
        <v>100</v>
      </c>
      <c r="X26" s="1502"/>
      <c r="Y26" s="3486"/>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86"/>
      <c r="Q27" s="1134">
        <f t="shared" si="11"/>
        <v>111</v>
      </c>
      <c r="R27" s="1503" t="s">
        <v>8</v>
      </c>
      <c r="S27" s="1504">
        <f>F27</f>
        <v>100</v>
      </c>
      <c r="T27" s="1503" t="s">
        <v>8</v>
      </c>
      <c r="U27" s="1504">
        <f>H27</f>
        <v>100</v>
      </c>
      <c r="V27" s="1503" t="s">
        <v>8</v>
      </c>
      <c r="W27" s="1504">
        <f>J27</f>
        <v>100</v>
      </c>
      <c r="X27" s="1505"/>
      <c r="Y27" s="3486"/>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86"/>
      <c r="Q28" s="1507">
        <f t="shared" si="11"/>
        <v>111</v>
      </c>
      <c r="R28" s="1508" t="s">
        <v>8</v>
      </c>
      <c r="S28" s="1509">
        <f t="shared" ref="S28:S40" si="12">F28</f>
        <v>100</v>
      </c>
      <c r="T28" s="1508" t="s">
        <v>8</v>
      </c>
      <c r="U28" s="1509">
        <f t="shared" ref="U28:U40" si="13">H28</f>
        <v>100</v>
      </c>
      <c r="V28" s="1508" t="s">
        <v>8</v>
      </c>
      <c r="W28" s="1509">
        <f t="shared" ref="W28:W40" si="14">J28</f>
        <v>100</v>
      </c>
      <c r="X28" s="1502"/>
      <c r="Y28" s="3486"/>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87" t="s">
        <v>544</v>
      </c>
      <c r="Q29" s="1507" t="str">
        <f t="shared" si="11"/>
        <v>建筑类型</v>
      </c>
      <c r="R29" s="1508" t="s">
        <v>8</v>
      </c>
      <c r="S29" s="1509">
        <f t="shared" si="12"/>
        <v>100</v>
      </c>
      <c r="T29" s="1508" t="s">
        <v>8</v>
      </c>
      <c r="U29" s="1509">
        <f t="shared" si="13"/>
        <v>100</v>
      </c>
      <c r="V29" s="1508" t="s">
        <v>8</v>
      </c>
      <c r="W29" s="1509">
        <f t="shared" si="14"/>
        <v>100</v>
      </c>
      <c r="X29" s="1502"/>
      <c r="Y29" s="3488"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88"/>
      <c r="Q30" s="1536" t="str">
        <f t="shared" si="11"/>
        <v>项目建筑规模</v>
      </c>
      <c r="R30" s="1512" t="s">
        <v>8</v>
      </c>
      <c r="S30" s="1513" t="e">
        <f t="shared" si="12"/>
        <v>#N/A</v>
      </c>
      <c r="T30" s="1512" t="s">
        <v>8</v>
      </c>
      <c r="U30" s="1513" t="e">
        <f t="shared" si="13"/>
        <v>#N/A</v>
      </c>
      <c r="V30" s="1512" t="s">
        <v>8</v>
      </c>
      <c r="W30" s="1513" t="e">
        <f t="shared" si="14"/>
        <v>#N/A</v>
      </c>
      <c r="X30" s="1514"/>
      <c r="Y30" s="3488"/>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88"/>
      <c r="Q31" s="1507" t="str">
        <f t="shared" si="11"/>
        <v>建筑结构</v>
      </c>
      <c r="R31" s="1508" t="s">
        <v>8</v>
      </c>
      <c r="S31" s="1509">
        <f t="shared" si="12"/>
        <v>100</v>
      </c>
      <c r="T31" s="1508" t="s">
        <v>8</v>
      </c>
      <c r="U31" s="1509">
        <f t="shared" si="13"/>
        <v>100</v>
      </c>
      <c r="V31" s="1508" t="s">
        <v>8</v>
      </c>
      <c r="W31" s="1509">
        <f t="shared" si="14"/>
        <v>100</v>
      </c>
      <c r="X31" s="1502"/>
      <c r="Y31" s="3488"/>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88"/>
      <c r="Q32" s="1507" t="str">
        <f t="shared" si="11"/>
        <v>公共部分装修</v>
      </c>
      <c r="R32" s="1508" t="s">
        <v>8</v>
      </c>
      <c r="S32" s="1509">
        <f t="shared" si="12"/>
        <v>100</v>
      </c>
      <c r="T32" s="1508" t="s">
        <v>8</v>
      </c>
      <c r="U32" s="1509">
        <f t="shared" si="13"/>
        <v>100</v>
      </c>
      <c r="V32" s="1508" t="s">
        <v>8</v>
      </c>
      <c r="W32" s="1509">
        <f t="shared" si="14"/>
        <v>100</v>
      </c>
      <c r="X32" s="1502"/>
      <c r="Y32" s="3488"/>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88"/>
      <c r="Q33" s="1507" t="str">
        <f t="shared" si="11"/>
        <v>成新度</v>
      </c>
      <c r="R33" s="1508" t="s">
        <v>8</v>
      </c>
      <c r="S33" s="1509" t="e">
        <f t="shared" si="12"/>
        <v>#N/A</v>
      </c>
      <c r="T33" s="1508" t="s">
        <v>8</v>
      </c>
      <c r="U33" s="1509" t="e">
        <f t="shared" si="13"/>
        <v>#N/A</v>
      </c>
      <c r="V33" s="1508" t="s">
        <v>8</v>
      </c>
      <c r="W33" s="1509" t="e">
        <f t="shared" si="14"/>
        <v>#N/A</v>
      </c>
      <c r="X33" s="1502"/>
      <c r="Y33" s="3488"/>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88"/>
      <c r="Q34" s="1134" t="str">
        <f t="shared" si="11"/>
        <v>物业管理</v>
      </c>
      <c r="R34" s="1503" t="s">
        <v>8</v>
      </c>
      <c r="S34" s="1504">
        <f t="shared" si="12"/>
        <v>100</v>
      </c>
      <c r="T34" s="1503" t="s">
        <v>8</v>
      </c>
      <c r="U34" s="1504">
        <f t="shared" si="13"/>
        <v>100</v>
      </c>
      <c r="V34" s="1503" t="s">
        <v>8</v>
      </c>
      <c r="W34" s="1504">
        <f t="shared" si="14"/>
        <v>100</v>
      </c>
      <c r="X34" s="1505"/>
      <c r="Y34" s="3488"/>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88" t="s">
        <v>544</v>
      </c>
      <c r="Q35" s="1507" t="str">
        <f t="shared" si="11"/>
        <v>市政基础设施</v>
      </c>
      <c r="R35" s="1508" t="s">
        <v>8</v>
      </c>
      <c r="S35" s="1509">
        <f t="shared" si="12"/>
        <v>100</v>
      </c>
      <c r="T35" s="1508" t="s">
        <v>8</v>
      </c>
      <c r="U35" s="1509">
        <f t="shared" si="13"/>
        <v>100</v>
      </c>
      <c r="V35" s="1508" t="s">
        <v>8</v>
      </c>
      <c r="W35" s="1509">
        <f t="shared" si="14"/>
        <v>100</v>
      </c>
      <c r="X35" s="1502"/>
      <c r="Y35" s="3488"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88"/>
      <c r="Q36" s="1507" t="str">
        <f t="shared" si="11"/>
        <v>内部装修</v>
      </c>
      <c r="R36" s="1508" t="s">
        <v>8</v>
      </c>
      <c r="S36" s="1509">
        <f t="shared" si="12"/>
        <v>100</v>
      </c>
      <c r="T36" s="1508" t="s">
        <v>8</v>
      </c>
      <c r="U36" s="1509">
        <f t="shared" si="13"/>
        <v>100</v>
      </c>
      <c r="V36" s="1508" t="s">
        <v>8</v>
      </c>
      <c r="W36" s="1509">
        <f t="shared" si="14"/>
        <v>100</v>
      </c>
      <c r="X36" s="1502"/>
      <c r="Y36" s="3488"/>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88"/>
      <c r="Q37" s="1507" t="str">
        <f t="shared" si="11"/>
        <v>内部装修状况</v>
      </c>
      <c r="R37" s="1508" t="s">
        <v>8</v>
      </c>
      <c r="S37" s="1509">
        <f t="shared" si="12"/>
        <v>100</v>
      </c>
      <c r="T37" s="1508" t="s">
        <v>8</v>
      </c>
      <c r="U37" s="1509">
        <f t="shared" si="13"/>
        <v>100</v>
      </c>
      <c r="V37" s="1508" t="s">
        <v>8</v>
      </c>
      <c r="W37" s="1509">
        <f t="shared" si="14"/>
        <v>100</v>
      </c>
      <c r="X37" s="1502"/>
      <c r="Y37" s="3488"/>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88"/>
      <c r="Q38" s="1536">
        <f t="shared" si="11"/>
        <v>111</v>
      </c>
      <c r="R38" s="1512" t="s">
        <v>8</v>
      </c>
      <c r="S38" s="1513">
        <f t="shared" si="12"/>
        <v>100</v>
      </c>
      <c r="T38" s="1512" t="s">
        <v>8</v>
      </c>
      <c r="U38" s="1513">
        <f t="shared" si="13"/>
        <v>100</v>
      </c>
      <c r="V38" s="1512" t="s">
        <v>8</v>
      </c>
      <c r="W38" s="1513">
        <f t="shared" si="14"/>
        <v>100</v>
      </c>
      <c r="X38" s="1514"/>
      <c r="Y38" s="3488"/>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88"/>
      <c r="Q39" s="1507">
        <f t="shared" si="11"/>
        <v>111</v>
      </c>
      <c r="R39" s="1508" t="s">
        <v>8</v>
      </c>
      <c r="S39" s="1509">
        <f t="shared" si="12"/>
        <v>100</v>
      </c>
      <c r="T39" s="1508" t="s">
        <v>8</v>
      </c>
      <c r="U39" s="1509">
        <f t="shared" si="13"/>
        <v>100</v>
      </c>
      <c r="V39" s="1508" t="s">
        <v>8</v>
      </c>
      <c r="W39" s="1509">
        <f t="shared" si="14"/>
        <v>100</v>
      </c>
      <c r="X39" s="1502"/>
      <c r="Y39" s="3488"/>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69"/>
      <c r="Q40" s="1507">
        <f t="shared" si="11"/>
        <v>111</v>
      </c>
      <c r="R40" s="1508" t="s">
        <v>8</v>
      </c>
      <c r="S40" s="1509">
        <f t="shared" si="12"/>
        <v>100</v>
      </c>
      <c r="T40" s="1508" t="s">
        <v>8</v>
      </c>
      <c r="U40" s="1509">
        <f t="shared" si="13"/>
        <v>100</v>
      </c>
      <c r="V40" s="1508" t="s">
        <v>8</v>
      </c>
      <c r="W40" s="1509">
        <f t="shared" si="14"/>
        <v>100</v>
      </c>
      <c r="X40" s="1502"/>
      <c r="Y40" s="3569"/>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83" t="str">
        <f>A41</f>
        <v>成交单价（元/平方米）</v>
      </c>
      <c r="Q41" s="3483"/>
      <c r="R41" s="3568">
        <f>E41</f>
        <v>0</v>
      </c>
      <c r="S41" s="3568"/>
      <c r="T41" s="3568">
        <f>G41</f>
        <v>0</v>
      </c>
      <c r="U41" s="3568"/>
      <c r="V41" s="3568">
        <f>I41</f>
        <v>0</v>
      </c>
      <c r="W41" s="3568"/>
      <c r="X41" s="1497"/>
      <c r="Y41" s="1516"/>
      <c r="Z41" s="1497"/>
      <c r="AA41" s="1497"/>
      <c r="AB41" s="1497"/>
      <c r="AC41" s="1497"/>
    </row>
    <row r="42" spans="1:29" ht="15.75" thickBot="1">
      <c r="A42" s="609" t="s">
        <v>2740</v>
      </c>
      <c r="B42" s="877"/>
      <c r="C42" s="2477" t="e">
        <f>R43</f>
        <v>#DIV/0!</v>
      </c>
      <c r="D42" s="3015" t="s">
        <v>2966</v>
      </c>
      <c r="E42" s="2478" t="e">
        <f>R42</f>
        <v>#DIV/0!</v>
      </c>
      <c r="F42" s="3016"/>
      <c r="G42" s="2477" t="e">
        <f>T42</f>
        <v>#DIV/0!</v>
      </c>
      <c r="H42" s="3016"/>
      <c r="I42" s="2478" t="e">
        <f>V42</f>
        <v>#DIV/0!</v>
      </c>
      <c r="J42" s="3016"/>
      <c r="K42" s="3024">
        <f>F42+H42+J42</f>
        <v>0</v>
      </c>
      <c r="L42" s="2027"/>
      <c r="M42" s="2028"/>
      <c r="N42" s="2017"/>
      <c r="O42" s="2028"/>
      <c r="P42" s="3483" t="str">
        <f>A42</f>
        <v>比较价格（元/平方米）</v>
      </c>
      <c r="Q42" s="3483"/>
      <c r="R42" s="3568" t="e">
        <f>IF(F1="售价",ROUND(PRODUCT(R41,AA7:AA40),0),ROUND(PRODUCT(R41,AA7:AA40),1))</f>
        <v>#DIV/0!</v>
      </c>
      <c r="S42" s="3568"/>
      <c r="T42" s="3568" t="e">
        <f>IF(F1="售价",ROUND(PRODUCT(T41,AB7:AB40),0),ROUND(PRODUCT(T41,AB7:AB40),1))</f>
        <v>#DIV/0!</v>
      </c>
      <c r="U42" s="3568"/>
      <c r="V42" s="3568" t="e">
        <f>IF(F1="售价",ROUND(PRODUCT(V41,AC7:AC40),0),ROUND(PRODUCT(V41,AC7:AC40),1))</f>
        <v>#DIV/0!</v>
      </c>
      <c r="W42" s="3568"/>
      <c r="X42" s="1497"/>
      <c r="Y42" s="1497"/>
      <c r="Z42" s="1497"/>
      <c r="AA42" s="1497"/>
      <c r="AB42" s="1497"/>
      <c r="AC42" s="1497"/>
    </row>
    <row r="43" spans="1:29" ht="15.75" thickBot="1">
      <c r="A43" s="613" t="s">
        <v>2898</v>
      </c>
      <c r="B43" s="614"/>
      <c r="C43" s="2479" t="e">
        <f>R43</f>
        <v>#DIV/0!</v>
      </c>
      <c r="D43" s="2479"/>
      <c r="E43" s="2479"/>
      <c r="F43" s="2479"/>
      <c r="G43" s="2479"/>
      <c r="H43" s="2479"/>
      <c r="I43" s="2479"/>
      <c r="J43" s="2479"/>
      <c r="K43" s="1542"/>
      <c r="L43" s="2027"/>
      <c r="M43" s="2028"/>
      <c r="N43" s="2028"/>
      <c r="O43" s="2028"/>
      <c r="P43" s="3505" t="str">
        <f>A43</f>
        <v>估价对象XX用房的比较价格（楼面单价，元/平方米）</v>
      </c>
      <c r="Q43" s="3506"/>
      <c r="R43" s="3567" t="e">
        <f>IF(F1="售价",ROUND(IF(D42="简单平均",AVERAGE(R42:V42),R42*F42+T42*H42+V42*J42),0),ROUND(IF(D42="简单平均",AVERAGE(R42:V42),R42*F42+T42*H42+V42*J42),1))</f>
        <v>#DIV/0!</v>
      </c>
      <c r="S43" s="3567"/>
      <c r="T43" s="3567"/>
      <c r="U43" s="3567"/>
      <c r="V43" s="3567"/>
      <c r="W43" s="3567"/>
      <c r="X43" s="1497"/>
      <c r="Y43" s="1497"/>
      <c r="Z43" s="1497"/>
      <c r="AA43" s="1497"/>
      <c r="AB43" s="1497"/>
      <c r="AC43" s="1497"/>
    </row>
    <row r="44" spans="1:29">
      <c r="A44" s="3213"/>
      <c r="B44" s="3213"/>
      <c r="C44" s="3213"/>
      <c r="D44" s="3213"/>
      <c r="E44" s="3213"/>
      <c r="F44" s="3213"/>
      <c r="G44" s="3215"/>
      <c r="H44" s="3213"/>
      <c r="I44" s="3213"/>
      <c r="J44" s="3213"/>
      <c r="K44" s="3216"/>
      <c r="L44" s="2032"/>
      <c r="M44" s="2028"/>
      <c r="N44" s="2028"/>
      <c r="O44" s="2028"/>
      <c r="P44" s="2028"/>
      <c r="Q44" s="2028"/>
      <c r="R44" s="2028"/>
      <c r="S44" s="2028"/>
      <c r="T44" s="2028"/>
      <c r="U44" s="2028"/>
      <c r="V44" s="2028"/>
      <c r="W44" s="2028"/>
      <c r="X44" s="2028"/>
      <c r="Y44" s="2028"/>
      <c r="Z44" s="2028"/>
      <c r="AA44" s="2028"/>
      <c r="AB44" s="2028"/>
      <c r="AC44" s="2028"/>
    </row>
    <row r="45" spans="1:29">
      <c r="A45" s="3213"/>
      <c r="B45" s="3213"/>
      <c r="C45" s="3213"/>
      <c r="D45" s="3213"/>
      <c r="E45" s="3213"/>
      <c r="F45" s="3213"/>
      <c r="G45" s="3213"/>
      <c r="H45" s="3213"/>
      <c r="I45" s="3213"/>
      <c r="J45" s="3213"/>
      <c r="K45" s="3216"/>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2021-3</v>
      </c>
      <c r="D52" s="2522">
        <f>EDATE(C52,-1)</f>
        <v>44228</v>
      </c>
      <c r="E52" s="2522">
        <f t="shared" ref="E52:O52" si="16">EDATE(D52,-1)</f>
        <v>44197</v>
      </c>
      <c r="F52" s="2522">
        <f t="shared" si="16"/>
        <v>44166</v>
      </c>
      <c r="G52" s="2522">
        <f t="shared" si="16"/>
        <v>44136</v>
      </c>
      <c r="H52" s="2522">
        <f t="shared" si="16"/>
        <v>44105</v>
      </c>
      <c r="I52" s="2522">
        <f t="shared" si="16"/>
        <v>44075</v>
      </c>
      <c r="J52" s="2522">
        <f t="shared" si="16"/>
        <v>44044</v>
      </c>
      <c r="K52" s="2522">
        <f t="shared" si="16"/>
        <v>44013</v>
      </c>
      <c r="L52" s="2522">
        <f t="shared" si="16"/>
        <v>43983</v>
      </c>
      <c r="M52" s="2522">
        <f t="shared" si="16"/>
        <v>43952</v>
      </c>
      <c r="N52" s="2522">
        <f t="shared" si="16"/>
        <v>43922</v>
      </c>
      <c r="O52" s="2522">
        <f t="shared" si="16"/>
        <v>43891</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2"/>
      <c r="AC3" s="1945"/>
    </row>
    <row r="4" spans="1:29" ht="15">
      <c r="A4" s="506" t="s">
        <v>791</v>
      </c>
      <c r="B4" s="507"/>
      <c r="C4" s="3489" t="s">
        <v>792</v>
      </c>
      <c r="D4" s="3490"/>
      <c r="E4" s="3489" t="s">
        <v>793</v>
      </c>
      <c r="F4" s="3490"/>
      <c r="G4" s="3489" t="s">
        <v>794</v>
      </c>
      <c r="H4" s="3490"/>
      <c r="I4" s="3489" t="s">
        <v>795</v>
      </c>
      <c r="J4" s="3490"/>
      <c r="K4" s="508" t="s">
        <v>796</v>
      </c>
      <c r="L4" s="2016"/>
      <c r="M4" s="2017"/>
      <c r="N4" s="2017"/>
      <c r="O4" s="2017"/>
      <c r="P4" s="3491" t="s">
        <v>797</v>
      </c>
      <c r="Q4" s="3492"/>
      <c r="R4" s="3477" t="s">
        <v>793</v>
      </c>
      <c r="S4" s="3478"/>
      <c r="T4" s="3477" t="s">
        <v>794</v>
      </c>
      <c r="U4" s="3478"/>
      <c r="V4" s="3497" t="s">
        <v>795</v>
      </c>
      <c r="W4" s="3497"/>
      <c r="X4" s="1502"/>
      <c r="Y4" s="3477" t="s">
        <v>797</v>
      </c>
      <c r="Z4" s="3478"/>
      <c r="AA4" s="3472" t="s">
        <v>793</v>
      </c>
      <c r="AB4" s="3473" t="s">
        <v>794</v>
      </c>
      <c r="AC4" s="3472" t="s">
        <v>795</v>
      </c>
    </row>
    <row r="5" spans="1:29" ht="15">
      <c r="A5" s="509"/>
      <c r="B5" s="510"/>
      <c r="C5" s="3500" t="s">
        <v>2892</v>
      </c>
      <c r="D5" s="3501"/>
      <c r="E5" s="3500" t="s">
        <v>2893</v>
      </c>
      <c r="F5" s="3501"/>
      <c r="G5" s="3500" t="s">
        <v>2894</v>
      </c>
      <c r="H5" s="3501"/>
      <c r="I5" s="3500" t="s">
        <v>2895</v>
      </c>
      <c r="J5" s="3501"/>
      <c r="K5" s="508"/>
      <c r="L5" s="2016"/>
      <c r="M5" s="2017"/>
      <c r="N5" s="2017"/>
      <c r="O5" s="2017"/>
      <c r="P5" s="3493"/>
      <c r="Q5" s="3494"/>
      <c r="R5" s="3479"/>
      <c r="S5" s="3480"/>
      <c r="T5" s="3479"/>
      <c r="U5" s="3480"/>
      <c r="V5" s="3497"/>
      <c r="W5" s="3497"/>
      <c r="X5" s="1502"/>
      <c r="Y5" s="3479"/>
      <c r="Z5" s="3480"/>
      <c r="AA5" s="3473"/>
      <c r="AB5" s="3473"/>
      <c r="AC5" s="3473"/>
    </row>
    <row r="6" spans="1:29" ht="15.75" thickBot="1">
      <c r="A6" s="511"/>
      <c r="B6" s="512"/>
      <c r="C6" s="3498" t="s">
        <v>2896</v>
      </c>
      <c r="D6" s="3499"/>
      <c r="E6" s="3503" t="s">
        <v>2896</v>
      </c>
      <c r="F6" s="3504"/>
      <c r="G6" s="3498" t="s">
        <v>2896</v>
      </c>
      <c r="H6" s="3499"/>
      <c r="I6" s="3498" t="s">
        <v>2896</v>
      </c>
      <c r="J6" s="3499"/>
      <c r="K6" s="508" t="s">
        <v>522</v>
      </c>
      <c r="L6" s="2016"/>
      <c r="M6" s="2017"/>
      <c r="N6" s="2017"/>
      <c r="O6" s="2017"/>
      <c r="P6" s="3495"/>
      <c r="Q6" s="3496"/>
      <c r="R6" s="3479"/>
      <c r="S6" s="3480"/>
      <c r="T6" s="3481"/>
      <c r="U6" s="3482"/>
      <c r="V6" s="3497"/>
      <c r="W6" s="3497"/>
      <c r="X6" s="1502"/>
      <c r="Y6" s="3481"/>
      <c r="Z6" s="3482"/>
      <c r="AA6" s="3474"/>
      <c r="AB6" s="3474"/>
      <c r="AC6" s="3474"/>
    </row>
    <row r="7" spans="1:29" s="1203" customFormat="1" ht="15.75" thickBot="1">
      <c r="A7" s="2630"/>
      <c r="B7" s="2637" t="s">
        <v>523</v>
      </c>
      <c r="C7" s="513">
        <f>'数据-取费表'!B2</f>
        <v>44273</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75" t="s">
        <v>524</v>
      </c>
      <c r="Q7" s="3484"/>
      <c r="R7" s="1503" t="s">
        <v>8</v>
      </c>
      <c r="S7" s="1504">
        <f t="shared" ref="S7:S14" si="0">F7</f>
        <v>0</v>
      </c>
      <c r="T7" s="1503" t="s">
        <v>8</v>
      </c>
      <c r="U7" s="1504">
        <f t="shared" ref="U7:U14" si="1">H7</f>
        <v>0</v>
      </c>
      <c r="V7" s="1503" t="s">
        <v>8</v>
      </c>
      <c r="W7" s="1504">
        <f t="shared" ref="W7:W14" si="2">J7</f>
        <v>0</v>
      </c>
      <c r="X7" s="1505"/>
      <c r="Y7" s="3475" t="s">
        <v>524</v>
      </c>
      <c r="Z7" s="3476"/>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75" t="s">
        <v>527</v>
      </c>
      <c r="Q8" s="3476"/>
      <c r="R8" s="1503" t="s">
        <v>8</v>
      </c>
      <c r="S8" s="1504">
        <f t="shared" si="0"/>
        <v>0</v>
      </c>
      <c r="T8" s="1503" t="s">
        <v>8</v>
      </c>
      <c r="U8" s="1504">
        <f t="shared" si="1"/>
        <v>0</v>
      </c>
      <c r="V8" s="1503" t="s">
        <v>8</v>
      </c>
      <c r="W8" s="1504">
        <f t="shared" si="2"/>
        <v>0</v>
      </c>
      <c r="X8" s="1505"/>
      <c r="Y8" s="3475" t="s">
        <v>527</v>
      </c>
      <c r="Z8" s="3476"/>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83" t="s">
        <v>529</v>
      </c>
      <c r="Q9" s="1134" t="str">
        <f t="shared" ref="Q9:Q14" si="6">B9</f>
        <v>用途</v>
      </c>
      <c r="R9" s="1503" t="s">
        <v>8</v>
      </c>
      <c r="S9" s="1504">
        <f t="shared" si="0"/>
        <v>100</v>
      </c>
      <c r="T9" s="1503" t="s">
        <v>8</v>
      </c>
      <c r="U9" s="1504">
        <f t="shared" si="1"/>
        <v>100</v>
      </c>
      <c r="V9" s="1503" t="s">
        <v>8</v>
      </c>
      <c r="W9" s="1504">
        <f t="shared" si="2"/>
        <v>100</v>
      </c>
      <c r="X9" s="1505"/>
      <c r="Y9" s="3434"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34"/>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83"/>
      <c r="Q11" s="1134">
        <f t="shared" si="6"/>
        <v>111</v>
      </c>
      <c r="R11" s="1503" t="s">
        <v>8</v>
      </c>
      <c r="S11" s="1504">
        <f t="shared" si="0"/>
        <v>100</v>
      </c>
      <c r="T11" s="1503" t="s">
        <v>8</v>
      </c>
      <c r="U11" s="1504">
        <f t="shared" si="1"/>
        <v>100</v>
      </c>
      <c r="V11" s="1503" t="s">
        <v>8</v>
      </c>
      <c r="W11" s="1504">
        <f t="shared" si="2"/>
        <v>100</v>
      </c>
      <c r="X11" s="1505"/>
      <c r="Y11" s="3434"/>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83"/>
      <c r="Q12" s="1134">
        <f t="shared" si="6"/>
        <v>111</v>
      </c>
      <c r="R12" s="1503" t="s">
        <v>8</v>
      </c>
      <c r="S12" s="1504">
        <f t="shared" si="0"/>
        <v>100</v>
      </c>
      <c r="T12" s="1503" t="s">
        <v>8</v>
      </c>
      <c r="U12" s="1504">
        <f t="shared" si="1"/>
        <v>100</v>
      </c>
      <c r="V12" s="1503" t="s">
        <v>8</v>
      </c>
      <c r="W12" s="1504">
        <f t="shared" si="2"/>
        <v>100</v>
      </c>
      <c r="X12" s="1505"/>
      <c r="Y12" s="3434"/>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83"/>
      <c r="Q13" s="1134">
        <f t="shared" si="6"/>
        <v>111</v>
      </c>
      <c r="R13" s="1503" t="s">
        <v>8</v>
      </c>
      <c r="S13" s="1504">
        <f t="shared" si="0"/>
        <v>100</v>
      </c>
      <c r="T13" s="1503" t="s">
        <v>8</v>
      </c>
      <c r="U13" s="1504">
        <f t="shared" si="1"/>
        <v>100</v>
      </c>
      <c r="V13" s="1503" t="s">
        <v>8</v>
      </c>
      <c r="W13" s="1504">
        <f t="shared" si="2"/>
        <v>100</v>
      </c>
      <c r="X13" s="1505"/>
      <c r="Y13" s="3434"/>
      <c r="Z13" s="1133">
        <f t="shared" si="7"/>
        <v>111</v>
      </c>
      <c r="AA13" s="1506">
        <f t="shared" si="3"/>
        <v>1</v>
      </c>
      <c r="AB13" s="1506">
        <f t="shared" si="4"/>
        <v>1</v>
      </c>
      <c r="AC13" s="1506">
        <f t="shared" si="5"/>
        <v>1</v>
      </c>
    </row>
    <row r="14" spans="1:29" ht="15">
      <c r="A14" s="2628" t="s">
        <v>2734</v>
      </c>
      <c r="B14" s="541" t="s">
        <v>537</v>
      </c>
      <c r="C14" s="910" t="str">
        <f>IF(B1="工业",估价对象房地状况!G4,估价对象房地状况!C6)</f>
        <v>一般</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85" t="s">
        <v>534</v>
      </c>
      <c r="Q14" s="1507" t="str">
        <f t="shared" si="6"/>
        <v>交通便捷度</v>
      </c>
      <c r="R14" s="1508" t="s">
        <v>8</v>
      </c>
      <c r="S14" s="1509">
        <f t="shared" si="0"/>
        <v>100</v>
      </c>
      <c r="T14" s="1508" t="s">
        <v>8</v>
      </c>
      <c r="U14" s="1509">
        <f t="shared" si="1"/>
        <v>100</v>
      </c>
      <c r="V14" s="1508" t="s">
        <v>8</v>
      </c>
      <c r="W14" s="1509">
        <f t="shared" si="2"/>
        <v>100</v>
      </c>
      <c r="X14" s="1502"/>
      <c r="Y14" s="3485"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86"/>
      <c r="Q15" s="1507"/>
      <c r="R15" s="1508"/>
      <c r="S15" s="1509"/>
      <c r="T15" s="1508"/>
      <c r="U15" s="1509"/>
      <c r="V15" s="1508"/>
      <c r="W15" s="1509"/>
      <c r="X15" s="1502"/>
      <c r="Y15" s="3486"/>
      <c r="Z15" s="1510"/>
      <c r="AA15" s="1511">
        <v>1</v>
      </c>
      <c r="AB15" s="1511">
        <v>1</v>
      </c>
      <c r="AC15" s="1511">
        <v>1</v>
      </c>
    </row>
    <row r="16" spans="1:29" ht="15">
      <c r="A16" s="509"/>
      <c r="B16" s="2448" t="s">
        <v>2527</v>
      </c>
      <c r="C16" s="861" t="str">
        <f>IF(B1="工业",估价对象房地状况!G5,估价对象房地状况!C7)</f>
        <v>较差</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86"/>
      <c r="Q16" s="1507" t="str">
        <f>B16</f>
        <v>公共配套设施</v>
      </c>
      <c r="R16" s="1508" t="s">
        <v>8</v>
      </c>
      <c r="S16" s="1509">
        <f>F16</f>
        <v>100</v>
      </c>
      <c r="T16" s="1508" t="s">
        <v>8</v>
      </c>
      <c r="U16" s="1509">
        <f>H16</f>
        <v>100</v>
      </c>
      <c r="V16" s="1508" t="s">
        <v>8</v>
      </c>
      <c r="W16" s="1509">
        <f>J16</f>
        <v>100</v>
      </c>
      <c r="X16" s="1502"/>
      <c r="Y16" s="3486"/>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86"/>
      <c r="Q17" s="1507"/>
      <c r="R17" s="1508"/>
      <c r="S17" s="1509"/>
      <c r="T17" s="1508"/>
      <c r="U17" s="1509"/>
      <c r="V17" s="1508"/>
      <c r="W17" s="1509"/>
      <c r="X17" s="1502"/>
      <c r="Y17" s="3486"/>
      <c r="Z17" s="1510"/>
      <c r="AA17" s="1511">
        <v>1</v>
      </c>
      <c r="AB17" s="1511">
        <v>1</v>
      </c>
      <c r="AC17" s="1511">
        <v>1</v>
      </c>
    </row>
    <row r="18" spans="1:29" ht="15">
      <c r="A18" s="509"/>
      <c r="B18" s="2436" t="s">
        <v>2539</v>
      </c>
      <c r="C18" s="861" t="str">
        <f>IF(B1="工业",估价对象房地状况!G6,估价对象房地状况!C8)</f>
        <v>七通</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86"/>
      <c r="Q18" s="2430" t="str">
        <f>B18</f>
        <v>基础设施水平</v>
      </c>
      <c r="R18" s="1508" t="s">
        <v>8</v>
      </c>
      <c r="S18" s="1509">
        <f>F18</f>
        <v>100</v>
      </c>
      <c r="T18" s="1508" t="s">
        <v>8</v>
      </c>
      <c r="U18" s="1509">
        <f>H18</f>
        <v>100</v>
      </c>
      <c r="V18" s="1508" t="s">
        <v>8</v>
      </c>
      <c r="W18" s="1509">
        <f>J18</f>
        <v>100</v>
      </c>
      <c r="X18" s="2432"/>
      <c r="Y18" s="3486"/>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86"/>
      <c r="Q19" s="2430"/>
      <c r="R19" s="1508"/>
      <c r="S19" s="1509"/>
      <c r="T19" s="1508"/>
      <c r="U19" s="1509"/>
      <c r="V19" s="1508"/>
      <c r="W19" s="1509"/>
      <c r="X19" s="2432"/>
      <c r="Y19" s="3486"/>
      <c r="Z19" s="2431"/>
      <c r="AA19" s="1511">
        <v>1</v>
      </c>
      <c r="AB19" s="1511">
        <v>1</v>
      </c>
      <c r="AC19" s="1511">
        <v>1</v>
      </c>
    </row>
    <row r="20" spans="1:29" ht="15">
      <c r="A20" s="509"/>
      <c r="B20" s="554" t="s">
        <v>798</v>
      </c>
      <c r="C20" s="861" t="str">
        <f>IF(B1="工业",估价对象房地状况!G7,估价对象房地状况!C9)</f>
        <v>较好</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86"/>
      <c r="Q20" s="1507" t="str">
        <f>B20</f>
        <v>自然及人文环境</v>
      </c>
      <c r="R20" s="1508" t="s">
        <v>8</v>
      </c>
      <c r="S20" s="1509">
        <f>F20</f>
        <v>100</v>
      </c>
      <c r="T20" s="1508" t="s">
        <v>8</v>
      </c>
      <c r="U20" s="1509">
        <f>H20</f>
        <v>100</v>
      </c>
      <c r="V20" s="1508" t="s">
        <v>8</v>
      </c>
      <c r="W20" s="1509">
        <f>J20</f>
        <v>100</v>
      </c>
      <c r="X20" s="1502"/>
      <c r="Y20" s="3486"/>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86"/>
      <c r="Q21" s="1507"/>
      <c r="R21" s="1508"/>
      <c r="S21" s="1509"/>
      <c r="T21" s="1508"/>
      <c r="U21" s="1509"/>
      <c r="V21" s="1508"/>
      <c r="W21" s="1509"/>
      <c r="X21" s="1502"/>
      <c r="Y21" s="3486"/>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86"/>
      <c r="Q22" s="1507" t="str">
        <f>B22</f>
        <v>楼层</v>
      </c>
      <c r="R22" s="1508" t="s">
        <v>8</v>
      </c>
      <c r="S22" s="1509">
        <f>F22</f>
        <v>100</v>
      </c>
      <c r="T22" s="1508" t="s">
        <v>8</v>
      </c>
      <c r="U22" s="1509">
        <f>H22</f>
        <v>100</v>
      </c>
      <c r="V22" s="1508" t="s">
        <v>8</v>
      </c>
      <c r="W22" s="1509">
        <f>J22</f>
        <v>100</v>
      </c>
      <c r="X22" s="1502"/>
      <c r="Y22" s="3486"/>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86"/>
      <c r="Q23" s="1507">
        <f>B23</f>
        <v>111</v>
      </c>
      <c r="R23" s="1508" t="s">
        <v>8</v>
      </c>
      <c r="S23" s="1509">
        <f>F23</f>
        <v>100</v>
      </c>
      <c r="T23" s="1508" t="s">
        <v>8</v>
      </c>
      <c r="U23" s="1509">
        <f>H23</f>
        <v>100</v>
      </c>
      <c r="V23" s="1508" t="s">
        <v>8</v>
      </c>
      <c r="W23" s="1509">
        <f>J23</f>
        <v>100</v>
      </c>
      <c r="X23" s="1502"/>
      <c r="Y23" s="3486"/>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86"/>
      <c r="Q24" s="1507">
        <f t="shared" ref="Q24:Q36" si="11">B24</f>
        <v>111</v>
      </c>
      <c r="R24" s="1508" t="s">
        <v>8</v>
      </c>
      <c r="S24" s="1509">
        <f>F24</f>
        <v>100</v>
      </c>
      <c r="T24" s="1508" t="s">
        <v>8</v>
      </c>
      <c r="U24" s="1509">
        <f>H24</f>
        <v>100</v>
      </c>
      <c r="V24" s="1508" t="s">
        <v>8</v>
      </c>
      <c r="W24" s="1509">
        <f>J24</f>
        <v>100</v>
      </c>
      <c r="X24" s="1502"/>
      <c r="Y24" s="3486"/>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86"/>
      <c r="Q25" s="1134">
        <f t="shared" si="11"/>
        <v>111</v>
      </c>
      <c r="R25" s="1503" t="s">
        <v>8</v>
      </c>
      <c r="S25" s="1504">
        <f>F25</f>
        <v>100</v>
      </c>
      <c r="T25" s="1503" t="s">
        <v>8</v>
      </c>
      <c r="U25" s="1504">
        <f>H25</f>
        <v>100</v>
      </c>
      <c r="V25" s="1503" t="s">
        <v>8</v>
      </c>
      <c r="W25" s="1504">
        <f>J25</f>
        <v>100</v>
      </c>
      <c r="X25" s="1505"/>
      <c r="Y25" s="3486"/>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87"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88"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88"/>
      <c r="Q27" s="1536" t="str">
        <f t="shared" si="11"/>
        <v>项目停车位配比</v>
      </c>
      <c r="R27" s="1512" t="s">
        <v>8</v>
      </c>
      <c r="S27" s="1513">
        <f t="shared" si="12"/>
        <v>100</v>
      </c>
      <c r="T27" s="1512" t="s">
        <v>8</v>
      </c>
      <c r="U27" s="1513">
        <f t="shared" si="13"/>
        <v>100</v>
      </c>
      <c r="V27" s="1512" t="s">
        <v>8</v>
      </c>
      <c r="W27" s="1513">
        <f t="shared" si="14"/>
        <v>100</v>
      </c>
      <c r="X27" s="1514"/>
      <c r="Y27" s="3488"/>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88"/>
      <c r="Q28" s="1507" t="str">
        <f t="shared" si="11"/>
        <v>公共部分装修</v>
      </c>
      <c r="R28" s="1508" t="s">
        <v>8</v>
      </c>
      <c r="S28" s="1509">
        <f t="shared" si="12"/>
        <v>100</v>
      </c>
      <c r="T28" s="1508" t="s">
        <v>8</v>
      </c>
      <c r="U28" s="1509">
        <f t="shared" si="13"/>
        <v>100</v>
      </c>
      <c r="V28" s="1508" t="s">
        <v>8</v>
      </c>
      <c r="W28" s="1509">
        <f t="shared" si="14"/>
        <v>100</v>
      </c>
      <c r="X28" s="1502"/>
      <c r="Y28" s="3488"/>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88"/>
      <c r="Q29" s="1507" t="str">
        <f t="shared" si="11"/>
        <v>成新率</v>
      </c>
      <c r="R29" s="1508" t="s">
        <v>8</v>
      </c>
      <c r="S29" s="1509" t="e">
        <f t="shared" si="12"/>
        <v>#N/A</v>
      </c>
      <c r="T29" s="1508" t="s">
        <v>8</v>
      </c>
      <c r="U29" s="1509" t="e">
        <f t="shared" si="13"/>
        <v>#N/A</v>
      </c>
      <c r="V29" s="1508" t="s">
        <v>8</v>
      </c>
      <c r="W29" s="1509" t="e">
        <f t="shared" si="14"/>
        <v>#N/A</v>
      </c>
      <c r="X29" s="1502"/>
      <c r="Y29" s="3488"/>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88"/>
      <c r="Q30" s="1507" t="str">
        <f t="shared" si="11"/>
        <v>物业等级</v>
      </c>
      <c r="R30" s="1508" t="s">
        <v>8</v>
      </c>
      <c r="S30" s="1509">
        <f t="shared" si="12"/>
        <v>100</v>
      </c>
      <c r="T30" s="1508" t="s">
        <v>8</v>
      </c>
      <c r="U30" s="1509">
        <f t="shared" si="13"/>
        <v>100</v>
      </c>
      <c r="V30" s="1508" t="s">
        <v>8</v>
      </c>
      <c r="W30" s="1509">
        <f t="shared" si="14"/>
        <v>100</v>
      </c>
      <c r="X30" s="1502"/>
      <c r="Y30" s="3488"/>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88"/>
      <c r="Q31" s="1134" t="str">
        <f t="shared" si="11"/>
        <v>停车位面积</v>
      </c>
      <c r="R31" s="1503" t="s">
        <v>8</v>
      </c>
      <c r="S31" s="1504" t="e">
        <f t="shared" si="12"/>
        <v>#N/A</v>
      </c>
      <c r="T31" s="1503" t="s">
        <v>8</v>
      </c>
      <c r="U31" s="1504" t="e">
        <f t="shared" si="13"/>
        <v>#N/A</v>
      </c>
      <c r="V31" s="1503" t="s">
        <v>8</v>
      </c>
      <c r="W31" s="1504" t="e">
        <f t="shared" si="14"/>
        <v>#N/A</v>
      </c>
      <c r="X31" s="1505"/>
      <c r="Y31" s="3488"/>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88" t="s">
        <v>544</v>
      </c>
      <c r="Q32" s="1507" t="str">
        <f t="shared" si="11"/>
        <v>车位类型</v>
      </c>
      <c r="R32" s="1508" t="s">
        <v>8</v>
      </c>
      <c r="S32" s="1509">
        <f t="shared" si="12"/>
        <v>100</v>
      </c>
      <c r="T32" s="1508" t="s">
        <v>8</v>
      </c>
      <c r="U32" s="1509">
        <f t="shared" si="13"/>
        <v>100</v>
      </c>
      <c r="V32" s="1508" t="s">
        <v>8</v>
      </c>
      <c r="W32" s="1509">
        <f t="shared" si="14"/>
        <v>100</v>
      </c>
      <c r="X32" s="1502"/>
      <c r="Y32" s="3488"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88"/>
      <c r="Q33" s="1507" t="str">
        <f t="shared" si="11"/>
        <v>是否直接入户</v>
      </c>
      <c r="R33" s="1508" t="s">
        <v>8</v>
      </c>
      <c r="S33" s="1509">
        <f t="shared" si="12"/>
        <v>100</v>
      </c>
      <c r="T33" s="1508" t="s">
        <v>8</v>
      </c>
      <c r="U33" s="1509">
        <f t="shared" si="13"/>
        <v>100</v>
      </c>
      <c r="V33" s="1508" t="s">
        <v>8</v>
      </c>
      <c r="W33" s="1509">
        <f t="shared" si="14"/>
        <v>100</v>
      </c>
      <c r="X33" s="1502"/>
      <c r="Y33" s="3488"/>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88"/>
      <c r="Q34" s="1507">
        <f t="shared" si="11"/>
        <v>111</v>
      </c>
      <c r="R34" s="1508" t="s">
        <v>8</v>
      </c>
      <c r="S34" s="1509">
        <f t="shared" si="12"/>
        <v>100</v>
      </c>
      <c r="T34" s="1508" t="s">
        <v>8</v>
      </c>
      <c r="U34" s="1509">
        <f t="shared" si="13"/>
        <v>100</v>
      </c>
      <c r="V34" s="1508" t="s">
        <v>8</v>
      </c>
      <c r="W34" s="1509">
        <f t="shared" si="14"/>
        <v>100</v>
      </c>
      <c r="X34" s="1502"/>
      <c r="Y34" s="3488"/>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88"/>
      <c r="Q35" s="1536">
        <f t="shared" si="11"/>
        <v>111</v>
      </c>
      <c r="R35" s="1512" t="s">
        <v>8</v>
      </c>
      <c r="S35" s="1513">
        <f t="shared" si="12"/>
        <v>100</v>
      </c>
      <c r="T35" s="1512" t="s">
        <v>8</v>
      </c>
      <c r="U35" s="1513">
        <f t="shared" si="13"/>
        <v>100</v>
      </c>
      <c r="V35" s="1512" t="s">
        <v>8</v>
      </c>
      <c r="W35" s="1513">
        <f t="shared" si="14"/>
        <v>100</v>
      </c>
      <c r="X35" s="1514"/>
      <c r="Y35" s="3488"/>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88"/>
      <c r="Q36" s="1507">
        <f t="shared" si="11"/>
        <v>111</v>
      </c>
      <c r="R36" s="1508" t="s">
        <v>8</v>
      </c>
      <c r="S36" s="1509">
        <f t="shared" si="12"/>
        <v>100</v>
      </c>
      <c r="T36" s="1508" t="s">
        <v>8</v>
      </c>
      <c r="U36" s="1509">
        <f t="shared" si="13"/>
        <v>100</v>
      </c>
      <c r="V36" s="1508" t="s">
        <v>8</v>
      </c>
      <c r="W36" s="1509">
        <f t="shared" si="14"/>
        <v>100</v>
      </c>
      <c r="X36" s="1502"/>
      <c r="Y36" s="3488"/>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83" t="str">
        <f>A37</f>
        <v>成交单价</v>
      </c>
      <c r="Q37" s="3483"/>
      <c r="R37" s="3568">
        <f>E37</f>
        <v>0</v>
      </c>
      <c r="S37" s="3568"/>
      <c r="T37" s="3568">
        <f>G37</f>
        <v>0</v>
      </c>
      <c r="U37" s="3568"/>
      <c r="V37" s="3568">
        <f>I37</f>
        <v>0</v>
      </c>
      <c r="W37" s="3568"/>
      <c r="X37" s="1497"/>
      <c r="Y37" s="1516"/>
      <c r="Z37" s="1497"/>
      <c r="AA37" s="1497"/>
      <c r="AB37" s="1497"/>
      <c r="AC37" s="1497"/>
    </row>
    <row r="38" spans="1:29" ht="15.75" thickBot="1">
      <c r="A38" s="609" t="s">
        <v>2740</v>
      </c>
      <c r="B38" s="877"/>
      <c r="C38" s="2477" t="e">
        <f>R39</f>
        <v>#DIV/0!</v>
      </c>
      <c r="D38" s="3015" t="s">
        <v>2966</v>
      </c>
      <c r="E38" s="2478" t="e">
        <f>R38</f>
        <v>#DIV/0!</v>
      </c>
      <c r="F38" s="3016"/>
      <c r="G38" s="2477" t="e">
        <f>T38</f>
        <v>#DIV/0!</v>
      </c>
      <c r="H38" s="3016"/>
      <c r="I38" s="2478" t="e">
        <f>V38</f>
        <v>#DIV/0!</v>
      </c>
      <c r="J38" s="3016"/>
      <c r="K38" s="3024">
        <f>F38+H38+J38</f>
        <v>0</v>
      </c>
      <c r="L38" s="2027"/>
      <c r="M38" s="2028"/>
      <c r="N38" s="2028"/>
      <c r="O38" s="2028"/>
      <c r="P38" s="3483" t="str">
        <f>A38</f>
        <v>比较价格（元/平方米）</v>
      </c>
      <c r="Q38" s="3483"/>
      <c r="R38" s="3568" t="e">
        <f>IF(F1="售价",ROUND(PRODUCT(R37,AA7:AA36),0),ROUND(PRODUCT(R37,AA7:AA36),1))</f>
        <v>#DIV/0!</v>
      </c>
      <c r="S38" s="3568"/>
      <c r="T38" s="3568" t="e">
        <f>IF(F1="售价",ROUND(PRODUCT(T37,AB7:AB36),0),ROUND(PRODUCT(T37,AB7:AB36),1))</f>
        <v>#DIV/0!</v>
      </c>
      <c r="U38" s="3568"/>
      <c r="V38" s="3568" t="e">
        <f>IF(F1="售价",ROUND(PRODUCT(V37,AC7:AC36),0),ROUND(PRODUCT(V37,AC7:AC36),1))</f>
        <v>#DIV/0!</v>
      </c>
      <c r="W38" s="3568"/>
      <c r="X38" s="1497"/>
      <c r="Y38" s="1497"/>
      <c r="Z38" s="1497"/>
      <c r="AA38" s="1497"/>
      <c r="AB38" s="1497"/>
      <c r="AC38" s="1497"/>
    </row>
    <row r="39" spans="1:29" ht="15.75" thickBot="1">
      <c r="A39" s="613" t="s">
        <v>2898</v>
      </c>
      <c r="B39" s="614"/>
      <c r="C39" s="2479" t="e">
        <f>R39</f>
        <v>#DIV/0!</v>
      </c>
      <c r="D39" s="2479"/>
      <c r="E39" s="2479"/>
      <c r="F39" s="2479"/>
      <c r="G39" s="2479"/>
      <c r="H39" s="2479"/>
      <c r="I39" s="2479"/>
      <c r="J39" s="2479"/>
      <c r="K39" s="1542"/>
      <c r="L39" s="2027"/>
      <c r="M39" s="2028"/>
      <c r="N39" s="2028"/>
      <c r="O39" s="2028"/>
      <c r="P39" s="3505" t="str">
        <f>A39</f>
        <v>估价对象XX用房的比较价格（楼面单价，元/平方米）</v>
      </c>
      <c r="Q39" s="3506"/>
      <c r="R39" s="3567" t="e">
        <f>IF(F1="售价",ROUND(IF(D38="简单平均",AVERAGE(R38:W38),R38*F38+T38*H38+V38*J38),0),ROUND(IF(D38="简单平均",AVERAGE(R38:V38),R38*F38+T38*H38+V38*J38),1))</f>
        <v>#DIV/0!</v>
      </c>
      <c r="S39" s="3567"/>
      <c r="T39" s="3567"/>
      <c r="U39" s="3567"/>
      <c r="V39" s="3567"/>
      <c r="W39" s="3567"/>
      <c r="X39" s="1497"/>
      <c r="Y39" s="1497"/>
      <c r="Z39" s="1497"/>
      <c r="AA39" s="1497"/>
      <c r="AB39" s="1497"/>
      <c r="AC39" s="1497"/>
    </row>
    <row r="40" spans="1:29">
      <c r="A40" s="3213"/>
      <c r="B40" s="3213"/>
      <c r="C40" s="3213"/>
      <c r="D40" s="3213"/>
      <c r="E40" s="3213"/>
      <c r="F40" s="3213"/>
      <c r="G40" s="3215"/>
      <c r="H40" s="3213"/>
      <c r="I40" s="3213"/>
      <c r="J40" s="3213"/>
      <c r="K40" s="3216"/>
      <c r="L40" s="2032"/>
      <c r="M40" s="2028"/>
      <c r="N40" s="2028"/>
      <c r="O40" s="2028"/>
      <c r="P40" s="2028"/>
      <c r="Q40" s="2028"/>
      <c r="R40" s="2028"/>
      <c r="S40" s="2028"/>
      <c r="T40" s="2028"/>
      <c r="U40" s="2028"/>
      <c r="V40" s="2028"/>
      <c r="W40" s="2028"/>
      <c r="X40" s="2028"/>
      <c r="Y40" s="2028"/>
      <c r="Z40" s="2028"/>
      <c r="AA40" s="2028"/>
      <c r="AB40" s="2028"/>
      <c r="AC40" s="2028"/>
    </row>
    <row r="41" spans="1:29">
      <c r="A41" s="3213"/>
      <c r="B41" s="3213"/>
      <c r="C41" s="3213"/>
      <c r="D41" s="3213"/>
      <c r="E41" s="3213"/>
      <c r="F41" s="3213"/>
      <c r="G41" s="3213"/>
      <c r="H41" s="3213"/>
      <c r="I41" s="3213"/>
      <c r="J41" s="3213"/>
      <c r="K41" s="3216"/>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2021-3</v>
      </c>
      <c r="D48" s="2522">
        <f>EDATE(C48,-1)</f>
        <v>44228</v>
      </c>
      <c r="E48" s="2522">
        <f t="shared" ref="E48:O48" si="16">EDATE(D48,-1)</f>
        <v>44197</v>
      </c>
      <c r="F48" s="2522">
        <f t="shared" si="16"/>
        <v>44166</v>
      </c>
      <c r="G48" s="2522">
        <f t="shared" si="16"/>
        <v>44136</v>
      </c>
      <c r="H48" s="2522">
        <f t="shared" si="16"/>
        <v>44105</v>
      </c>
      <c r="I48" s="2522">
        <f t="shared" si="16"/>
        <v>44075</v>
      </c>
      <c r="J48" s="2522">
        <f t="shared" si="16"/>
        <v>44044</v>
      </c>
      <c r="K48" s="2522">
        <f t="shared" si="16"/>
        <v>44013</v>
      </c>
      <c r="L48" s="2522">
        <f t="shared" si="16"/>
        <v>43983</v>
      </c>
      <c r="M48" s="2522">
        <f t="shared" si="16"/>
        <v>43952</v>
      </c>
      <c r="N48" s="2522">
        <f t="shared" si="16"/>
        <v>43922</v>
      </c>
      <c r="O48" s="2522">
        <f t="shared" si="16"/>
        <v>43891</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2"/>
      <c r="AC3" s="1945"/>
    </row>
    <row r="4" spans="1:29" ht="15">
      <c r="A4" s="506" t="s">
        <v>791</v>
      </c>
      <c r="B4" s="507"/>
      <c r="C4" s="3489" t="s">
        <v>792</v>
      </c>
      <c r="D4" s="3490"/>
      <c r="E4" s="3515" t="s">
        <v>793</v>
      </c>
      <c r="F4" s="3516"/>
      <c r="G4" s="3489" t="s">
        <v>794</v>
      </c>
      <c r="H4" s="3490"/>
      <c r="I4" s="3489" t="s">
        <v>795</v>
      </c>
      <c r="J4" s="3490"/>
      <c r="K4" s="508" t="s">
        <v>796</v>
      </c>
      <c r="L4" s="2016"/>
      <c r="M4" s="2017"/>
      <c r="N4" s="2017"/>
      <c r="O4" s="2017"/>
      <c r="P4" s="3491" t="s">
        <v>797</v>
      </c>
      <c r="Q4" s="3492"/>
      <c r="R4" s="3477" t="s">
        <v>793</v>
      </c>
      <c r="S4" s="3478"/>
      <c r="T4" s="3477" t="s">
        <v>794</v>
      </c>
      <c r="U4" s="3478"/>
      <c r="V4" s="3497" t="s">
        <v>795</v>
      </c>
      <c r="W4" s="3497"/>
      <c r="X4" s="1502"/>
      <c r="Y4" s="3477" t="s">
        <v>797</v>
      </c>
      <c r="Z4" s="3478"/>
      <c r="AA4" s="3472" t="s">
        <v>793</v>
      </c>
      <c r="AB4" s="3473" t="s">
        <v>794</v>
      </c>
      <c r="AC4" s="3472" t="s">
        <v>795</v>
      </c>
    </row>
    <row r="5" spans="1:29" ht="15">
      <c r="A5" s="509"/>
      <c r="B5" s="510"/>
      <c r="C5" s="3500" t="s">
        <v>2892</v>
      </c>
      <c r="D5" s="3501"/>
      <c r="E5" s="3517" t="s">
        <v>2893</v>
      </c>
      <c r="F5" s="3518"/>
      <c r="G5" s="3500" t="s">
        <v>2894</v>
      </c>
      <c r="H5" s="3501"/>
      <c r="I5" s="3500" t="s">
        <v>2895</v>
      </c>
      <c r="J5" s="3501"/>
      <c r="K5" s="508"/>
      <c r="L5" s="2016"/>
      <c r="M5" s="2017"/>
      <c r="N5" s="2017"/>
      <c r="O5" s="2017"/>
      <c r="P5" s="3493"/>
      <c r="Q5" s="3494"/>
      <c r="R5" s="3479"/>
      <c r="S5" s="3480"/>
      <c r="T5" s="3479"/>
      <c r="U5" s="3480"/>
      <c r="V5" s="3497"/>
      <c r="W5" s="3497"/>
      <c r="X5" s="1502"/>
      <c r="Y5" s="3479"/>
      <c r="Z5" s="3480"/>
      <c r="AA5" s="3473"/>
      <c r="AB5" s="3473"/>
      <c r="AC5" s="3473"/>
    </row>
    <row r="6" spans="1:29" ht="15.75" thickBot="1">
      <c r="A6" s="511"/>
      <c r="B6" s="512"/>
      <c r="C6" s="3498" t="s">
        <v>2896</v>
      </c>
      <c r="D6" s="3499"/>
      <c r="E6" s="3519" t="s">
        <v>2896</v>
      </c>
      <c r="F6" s="3520"/>
      <c r="G6" s="3498" t="s">
        <v>2896</v>
      </c>
      <c r="H6" s="3499"/>
      <c r="I6" s="3498" t="s">
        <v>2896</v>
      </c>
      <c r="J6" s="3499"/>
      <c r="K6" s="508" t="s">
        <v>522</v>
      </c>
      <c r="L6" s="2016"/>
      <c r="M6" s="2017"/>
      <c r="N6" s="2017"/>
      <c r="O6" s="2017"/>
      <c r="P6" s="3495"/>
      <c r="Q6" s="3496"/>
      <c r="R6" s="3479"/>
      <c r="S6" s="3480"/>
      <c r="T6" s="3481"/>
      <c r="U6" s="3482"/>
      <c r="V6" s="3497"/>
      <c r="W6" s="3497"/>
      <c r="X6" s="1502"/>
      <c r="Y6" s="3481"/>
      <c r="Z6" s="3482"/>
      <c r="AA6" s="3474"/>
      <c r="AB6" s="3474"/>
      <c r="AC6" s="3474"/>
    </row>
    <row r="7" spans="1:29" s="1203" customFormat="1" ht="15.75" thickBot="1">
      <c r="A7" s="2630"/>
      <c r="B7" s="2637" t="s">
        <v>523</v>
      </c>
      <c r="C7" s="513">
        <f>'数据-取费表'!B2</f>
        <v>44273</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75" t="s">
        <v>524</v>
      </c>
      <c r="Q7" s="3484"/>
      <c r="R7" s="1503" t="s">
        <v>8</v>
      </c>
      <c r="S7" s="1504">
        <f t="shared" ref="S7:S14" si="0">F7</f>
        <v>0</v>
      </c>
      <c r="T7" s="1503" t="s">
        <v>8</v>
      </c>
      <c r="U7" s="1504">
        <f t="shared" ref="U7:U14" si="1">H7</f>
        <v>0</v>
      </c>
      <c r="V7" s="1503" t="s">
        <v>8</v>
      </c>
      <c r="W7" s="1504">
        <f t="shared" ref="W7:W14" si="2">J7</f>
        <v>0</v>
      </c>
      <c r="X7" s="1505"/>
      <c r="Y7" s="3475" t="s">
        <v>524</v>
      </c>
      <c r="Z7" s="3476"/>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75" t="s">
        <v>527</v>
      </c>
      <c r="Q8" s="3476"/>
      <c r="R8" s="1503" t="s">
        <v>8</v>
      </c>
      <c r="S8" s="1504">
        <f t="shared" si="0"/>
        <v>0</v>
      </c>
      <c r="T8" s="1503" t="s">
        <v>8</v>
      </c>
      <c r="U8" s="1504">
        <f t="shared" si="1"/>
        <v>0</v>
      </c>
      <c r="V8" s="1503" t="s">
        <v>8</v>
      </c>
      <c r="W8" s="1504">
        <f t="shared" si="2"/>
        <v>0</v>
      </c>
      <c r="X8" s="1505"/>
      <c r="Y8" s="3475" t="s">
        <v>527</v>
      </c>
      <c r="Z8" s="3476"/>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83" t="s">
        <v>529</v>
      </c>
      <c r="Q9" s="1134" t="str">
        <f t="shared" ref="Q9:Q14" si="6">B9</f>
        <v>用途</v>
      </c>
      <c r="R9" s="1503" t="s">
        <v>8</v>
      </c>
      <c r="S9" s="1504">
        <f t="shared" si="0"/>
        <v>100</v>
      </c>
      <c r="T9" s="1503" t="s">
        <v>8</v>
      </c>
      <c r="U9" s="1504">
        <f t="shared" si="1"/>
        <v>100</v>
      </c>
      <c r="V9" s="1503" t="s">
        <v>8</v>
      </c>
      <c r="W9" s="1504">
        <f t="shared" si="2"/>
        <v>100</v>
      </c>
      <c r="X9" s="1505"/>
      <c r="Y9" s="3434"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34"/>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83"/>
      <c r="Q11" s="1134">
        <f t="shared" si="6"/>
        <v>111</v>
      </c>
      <c r="R11" s="1503" t="s">
        <v>8</v>
      </c>
      <c r="S11" s="1504">
        <f t="shared" si="0"/>
        <v>100</v>
      </c>
      <c r="T11" s="1503" t="s">
        <v>8</v>
      </c>
      <c r="U11" s="1504">
        <f t="shared" si="1"/>
        <v>100</v>
      </c>
      <c r="V11" s="1503" t="s">
        <v>8</v>
      </c>
      <c r="W11" s="1504">
        <f t="shared" si="2"/>
        <v>100</v>
      </c>
      <c r="X11" s="1505"/>
      <c r="Y11" s="3434"/>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83"/>
      <c r="Q12" s="1134">
        <f t="shared" si="6"/>
        <v>111</v>
      </c>
      <c r="R12" s="1503" t="s">
        <v>8</v>
      </c>
      <c r="S12" s="1504">
        <f t="shared" si="0"/>
        <v>100</v>
      </c>
      <c r="T12" s="1503" t="s">
        <v>8</v>
      </c>
      <c r="U12" s="1504">
        <f t="shared" si="1"/>
        <v>100</v>
      </c>
      <c r="V12" s="1503" t="s">
        <v>8</v>
      </c>
      <c r="W12" s="1504">
        <f t="shared" si="2"/>
        <v>100</v>
      </c>
      <c r="X12" s="1505"/>
      <c r="Y12" s="3434"/>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83"/>
      <c r="Q13" s="1134">
        <f t="shared" si="6"/>
        <v>111</v>
      </c>
      <c r="R13" s="1503" t="s">
        <v>8</v>
      </c>
      <c r="S13" s="1504">
        <f t="shared" si="0"/>
        <v>100</v>
      </c>
      <c r="T13" s="1503" t="s">
        <v>8</v>
      </c>
      <c r="U13" s="1504">
        <f t="shared" si="1"/>
        <v>100</v>
      </c>
      <c r="V13" s="1503" t="s">
        <v>8</v>
      </c>
      <c r="W13" s="1504">
        <f t="shared" si="2"/>
        <v>100</v>
      </c>
      <c r="X13" s="1505"/>
      <c r="Y13" s="3434"/>
      <c r="Z13" s="1133">
        <f t="shared" si="7"/>
        <v>111</v>
      </c>
      <c r="AA13" s="1506">
        <f t="shared" si="3"/>
        <v>1</v>
      </c>
      <c r="AB13" s="1506">
        <f t="shared" si="4"/>
        <v>1</v>
      </c>
      <c r="AC13" s="1506">
        <f t="shared" si="5"/>
        <v>1</v>
      </c>
    </row>
    <row r="14" spans="1:29" ht="15">
      <c r="A14" s="2628" t="s">
        <v>2734</v>
      </c>
      <c r="B14" s="164" t="s">
        <v>537</v>
      </c>
      <c r="C14" s="910" t="str">
        <f>IF(B1="工业",估价对象房地状况!G4,估价对象房地状况!C6)</f>
        <v>一般</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85" t="s">
        <v>534</v>
      </c>
      <c r="Q14" s="1507" t="str">
        <f t="shared" si="6"/>
        <v>交通便捷度</v>
      </c>
      <c r="R14" s="1508" t="s">
        <v>8</v>
      </c>
      <c r="S14" s="1509">
        <f t="shared" si="0"/>
        <v>100</v>
      </c>
      <c r="T14" s="1508" t="s">
        <v>8</v>
      </c>
      <c r="U14" s="1509">
        <f t="shared" si="1"/>
        <v>100</v>
      </c>
      <c r="V14" s="1508" t="s">
        <v>8</v>
      </c>
      <c r="W14" s="1509">
        <f t="shared" si="2"/>
        <v>100</v>
      </c>
      <c r="X14" s="1502"/>
      <c r="Y14" s="3485"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86"/>
      <c r="Q15" s="1507"/>
      <c r="R15" s="1508"/>
      <c r="S15" s="1509"/>
      <c r="T15" s="1508"/>
      <c r="U15" s="1509"/>
      <c r="V15" s="1508"/>
      <c r="W15" s="1509"/>
      <c r="X15" s="1502"/>
      <c r="Y15" s="3486"/>
      <c r="Z15" s="1510"/>
      <c r="AA15" s="1511">
        <v>1</v>
      </c>
      <c r="AB15" s="1511">
        <v>1</v>
      </c>
      <c r="AC15" s="1511">
        <v>1</v>
      </c>
    </row>
    <row r="16" spans="1:29" ht="15">
      <c r="A16" s="526"/>
      <c r="B16" s="2448" t="s">
        <v>2527</v>
      </c>
      <c r="C16" s="861" t="str">
        <f>IF(B1="工业",估价对象房地状况!G5,估价对象房地状况!C7)</f>
        <v>较差</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86"/>
      <c r="Q16" s="1507" t="str">
        <f>B16</f>
        <v>公共配套设施</v>
      </c>
      <c r="R16" s="1508" t="s">
        <v>8</v>
      </c>
      <c r="S16" s="1509">
        <f>F16</f>
        <v>100</v>
      </c>
      <c r="T16" s="1508" t="s">
        <v>8</v>
      </c>
      <c r="U16" s="1509">
        <f>H16</f>
        <v>100</v>
      </c>
      <c r="V16" s="1508" t="s">
        <v>8</v>
      </c>
      <c r="W16" s="1509">
        <f>J16</f>
        <v>100</v>
      </c>
      <c r="X16" s="1502"/>
      <c r="Y16" s="3486"/>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86"/>
      <c r="Q17" s="1507"/>
      <c r="R17" s="1508"/>
      <c r="S17" s="1509"/>
      <c r="T17" s="1508"/>
      <c r="U17" s="1509"/>
      <c r="V17" s="1508"/>
      <c r="W17" s="1509"/>
      <c r="X17" s="1502"/>
      <c r="Y17" s="3486"/>
      <c r="Z17" s="1510"/>
      <c r="AA17" s="1511">
        <v>1</v>
      </c>
      <c r="AB17" s="1511">
        <v>1</v>
      </c>
      <c r="AC17" s="1511">
        <v>1</v>
      </c>
    </row>
    <row r="18" spans="1:29" ht="15">
      <c r="A18" s="526"/>
      <c r="B18" s="2436" t="s">
        <v>2539</v>
      </c>
      <c r="C18" s="861" t="str">
        <f>IF(B1="工业",估价对象房地状况!G6,估价对象房地状况!C8)</f>
        <v>七通</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86"/>
      <c r="Q18" s="2430" t="str">
        <f>B18</f>
        <v>基础设施水平</v>
      </c>
      <c r="R18" s="1508" t="s">
        <v>8</v>
      </c>
      <c r="S18" s="1509">
        <f>F18</f>
        <v>100</v>
      </c>
      <c r="T18" s="1508" t="s">
        <v>8</v>
      </c>
      <c r="U18" s="1509">
        <f>H18</f>
        <v>100</v>
      </c>
      <c r="V18" s="1508" t="s">
        <v>8</v>
      </c>
      <c r="W18" s="1509">
        <f>J18</f>
        <v>100</v>
      </c>
      <c r="X18" s="2432"/>
      <c r="Y18" s="3486"/>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86"/>
      <c r="Q19" s="2430"/>
      <c r="R19" s="1508"/>
      <c r="S19" s="1509"/>
      <c r="T19" s="1508"/>
      <c r="U19" s="1509"/>
      <c r="V19" s="1508"/>
      <c r="W19" s="1509"/>
      <c r="X19" s="2432"/>
      <c r="Y19" s="3486"/>
      <c r="Z19" s="2431"/>
      <c r="AA19" s="1511">
        <v>1</v>
      </c>
      <c r="AB19" s="1511">
        <v>1</v>
      </c>
      <c r="AC19" s="1511">
        <v>1</v>
      </c>
    </row>
    <row r="20" spans="1:29" ht="15">
      <c r="A20" s="526"/>
      <c r="B20" s="860" t="s">
        <v>798</v>
      </c>
      <c r="C20" s="861" t="str">
        <f>IF(B1="工业",估价对象房地状况!G7,估价对象房地状况!C9)</f>
        <v>较好</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86"/>
      <c r="Q20" s="1507" t="str">
        <f>B20</f>
        <v>自然及人文环境</v>
      </c>
      <c r="R20" s="1508" t="s">
        <v>8</v>
      </c>
      <c r="S20" s="1509">
        <f>F20</f>
        <v>100</v>
      </c>
      <c r="T20" s="1508" t="s">
        <v>8</v>
      </c>
      <c r="U20" s="1509">
        <f>H20</f>
        <v>100</v>
      </c>
      <c r="V20" s="1508" t="s">
        <v>8</v>
      </c>
      <c r="W20" s="1509">
        <f>J20</f>
        <v>100</v>
      </c>
      <c r="X20" s="1502"/>
      <c r="Y20" s="3486"/>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86"/>
      <c r="Q21" s="1507"/>
      <c r="R21" s="1508"/>
      <c r="S21" s="1509"/>
      <c r="T21" s="1508"/>
      <c r="U21" s="1509"/>
      <c r="V21" s="1508"/>
      <c r="W21" s="1509"/>
      <c r="X21" s="1502"/>
      <c r="Y21" s="3486"/>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86"/>
      <c r="Q22" s="1507" t="str">
        <f>B22</f>
        <v>楼层</v>
      </c>
      <c r="R22" s="1508" t="s">
        <v>8</v>
      </c>
      <c r="S22" s="1509">
        <f>F22</f>
        <v>100</v>
      </c>
      <c r="T22" s="1508" t="s">
        <v>8</v>
      </c>
      <c r="U22" s="1509">
        <f>H22</f>
        <v>100</v>
      </c>
      <c r="V22" s="1508" t="s">
        <v>8</v>
      </c>
      <c r="W22" s="1509">
        <f>J22</f>
        <v>100</v>
      </c>
      <c r="X22" s="1502"/>
      <c r="Y22" s="3486"/>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86"/>
      <c r="Q23" s="1507">
        <f>B23</f>
        <v>111</v>
      </c>
      <c r="R23" s="1508" t="s">
        <v>8</v>
      </c>
      <c r="S23" s="1509">
        <f>F23</f>
        <v>100</v>
      </c>
      <c r="T23" s="1508" t="s">
        <v>8</v>
      </c>
      <c r="U23" s="1509">
        <f>H23</f>
        <v>100</v>
      </c>
      <c r="V23" s="1508" t="s">
        <v>8</v>
      </c>
      <c r="W23" s="1509">
        <f>J23</f>
        <v>100</v>
      </c>
      <c r="X23" s="1502"/>
      <c r="Y23" s="3486"/>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86"/>
      <c r="Q24" s="1507">
        <f t="shared" ref="Q24:Q34" si="11">B24</f>
        <v>111</v>
      </c>
      <c r="R24" s="1508" t="s">
        <v>8</v>
      </c>
      <c r="S24" s="1509">
        <f>F24</f>
        <v>100</v>
      </c>
      <c r="T24" s="1508" t="s">
        <v>8</v>
      </c>
      <c r="U24" s="1509">
        <f>H24</f>
        <v>100</v>
      </c>
      <c r="V24" s="1508" t="s">
        <v>8</v>
      </c>
      <c r="W24" s="1509">
        <f>J24</f>
        <v>100</v>
      </c>
      <c r="X24" s="1502"/>
      <c r="Y24" s="3486"/>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86"/>
      <c r="Q25" s="1134">
        <f t="shared" si="11"/>
        <v>111</v>
      </c>
      <c r="R25" s="1503" t="s">
        <v>8</v>
      </c>
      <c r="S25" s="1504">
        <f>F25</f>
        <v>100</v>
      </c>
      <c r="T25" s="1503" t="s">
        <v>8</v>
      </c>
      <c r="U25" s="1504">
        <f>H25</f>
        <v>100</v>
      </c>
      <c r="V25" s="1503" t="s">
        <v>8</v>
      </c>
      <c r="W25" s="1504">
        <f>J25</f>
        <v>100</v>
      </c>
      <c r="X25" s="1505"/>
      <c r="Y25" s="3486"/>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87"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88"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88"/>
      <c r="Q27" s="1536" t="str">
        <f t="shared" si="11"/>
        <v>成新率</v>
      </c>
      <c r="R27" s="1512" t="s">
        <v>8</v>
      </c>
      <c r="S27" s="1513" t="e">
        <f t="shared" si="12"/>
        <v>#N/A</v>
      </c>
      <c r="T27" s="1512" t="s">
        <v>8</v>
      </c>
      <c r="U27" s="1513" t="e">
        <f t="shared" si="13"/>
        <v>#N/A</v>
      </c>
      <c r="V27" s="1512" t="s">
        <v>8</v>
      </c>
      <c r="W27" s="1513" t="e">
        <f t="shared" si="14"/>
        <v>#N/A</v>
      </c>
      <c r="X27" s="1514"/>
      <c r="Y27" s="3488"/>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88"/>
      <c r="Q28" s="1507" t="str">
        <f t="shared" si="11"/>
        <v>物业等级</v>
      </c>
      <c r="R28" s="1508" t="s">
        <v>8</v>
      </c>
      <c r="S28" s="1509">
        <f t="shared" si="12"/>
        <v>100</v>
      </c>
      <c r="T28" s="1508" t="s">
        <v>8</v>
      </c>
      <c r="U28" s="1509">
        <f t="shared" si="13"/>
        <v>100</v>
      </c>
      <c r="V28" s="1508" t="s">
        <v>8</v>
      </c>
      <c r="W28" s="1509">
        <f t="shared" si="14"/>
        <v>100</v>
      </c>
      <c r="X28" s="1502"/>
      <c r="Y28" s="3488"/>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88"/>
      <c r="Q29" s="1507" t="str">
        <f t="shared" si="11"/>
        <v>有无电梯</v>
      </c>
      <c r="R29" s="1508" t="s">
        <v>8</v>
      </c>
      <c r="S29" s="1509">
        <f t="shared" si="12"/>
        <v>100</v>
      </c>
      <c r="T29" s="1508" t="s">
        <v>8</v>
      </c>
      <c r="U29" s="1509">
        <f t="shared" si="13"/>
        <v>100</v>
      </c>
      <c r="V29" s="1508" t="s">
        <v>8</v>
      </c>
      <c r="W29" s="1509">
        <f t="shared" si="14"/>
        <v>100</v>
      </c>
      <c r="X29" s="1502"/>
      <c r="Y29" s="3488"/>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88"/>
      <c r="Q30" s="1507" t="str">
        <f t="shared" si="11"/>
        <v>建筑面积</v>
      </c>
      <c r="R30" s="1508" t="s">
        <v>8</v>
      </c>
      <c r="S30" s="1509" t="e">
        <f t="shared" si="12"/>
        <v>#N/A</v>
      </c>
      <c r="T30" s="1508" t="s">
        <v>8</v>
      </c>
      <c r="U30" s="1509" t="e">
        <f t="shared" si="13"/>
        <v>#N/A</v>
      </c>
      <c r="V30" s="1508" t="s">
        <v>8</v>
      </c>
      <c r="W30" s="1509" t="e">
        <f t="shared" si="14"/>
        <v>#N/A</v>
      </c>
      <c r="X30" s="1502"/>
      <c r="Y30" s="3488"/>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88"/>
      <c r="Q31" s="1134" t="str">
        <f t="shared" si="11"/>
        <v>是否封闭</v>
      </c>
      <c r="R31" s="1503" t="s">
        <v>8</v>
      </c>
      <c r="S31" s="1504">
        <f t="shared" si="12"/>
        <v>100</v>
      </c>
      <c r="T31" s="1503" t="s">
        <v>8</v>
      </c>
      <c r="U31" s="1504">
        <f t="shared" si="13"/>
        <v>100</v>
      </c>
      <c r="V31" s="1503" t="s">
        <v>8</v>
      </c>
      <c r="W31" s="1504">
        <f t="shared" si="14"/>
        <v>100</v>
      </c>
      <c r="X31" s="1505"/>
      <c r="Y31" s="3488"/>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88" t="s">
        <v>544</v>
      </c>
      <c r="Q32" s="1507">
        <f t="shared" si="11"/>
        <v>111</v>
      </c>
      <c r="R32" s="1508" t="s">
        <v>8</v>
      </c>
      <c r="S32" s="1509">
        <f t="shared" si="12"/>
        <v>100</v>
      </c>
      <c r="T32" s="1508" t="s">
        <v>8</v>
      </c>
      <c r="U32" s="1509">
        <f t="shared" si="13"/>
        <v>100</v>
      </c>
      <c r="V32" s="1508" t="s">
        <v>8</v>
      </c>
      <c r="W32" s="1509">
        <f t="shared" si="14"/>
        <v>100</v>
      </c>
      <c r="X32" s="1502"/>
      <c r="Y32" s="3488"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88"/>
      <c r="Q33" s="1507">
        <f t="shared" si="11"/>
        <v>111</v>
      </c>
      <c r="R33" s="1508" t="s">
        <v>8</v>
      </c>
      <c r="S33" s="1509">
        <f t="shared" si="12"/>
        <v>100</v>
      </c>
      <c r="T33" s="1508" t="s">
        <v>8</v>
      </c>
      <c r="U33" s="1509">
        <f t="shared" si="13"/>
        <v>100</v>
      </c>
      <c r="V33" s="1508" t="s">
        <v>8</v>
      </c>
      <c r="W33" s="1509">
        <f t="shared" si="14"/>
        <v>100</v>
      </c>
      <c r="X33" s="1502"/>
      <c r="Y33" s="3488"/>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88"/>
      <c r="Q34" s="1507">
        <f t="shared" si="11"/>
        <v>111</v>
      </c>
      <c r="R34" s="1508" t="s">
        <v>8</v>
      </c>
      <c r="S34" s="1509">
        <f t="shared" si="12"/>
        <v>100</v>
      </c>
      <c r="T34" s="1508" t="s">
        <v>8</v>
      </c>
      <c r="U34" s="1509">
        <f t="shared" si="13"/>
        <v>100</v>
      </c>
      <c r="V34" s="1508" t="s">
        <v>8</v>
      </c>
      <c r="W34" s="1509">
        <f t="shared" si="14"/>
        <v>100</v>
      </c>
      <c r="X34" s="1502"/>
      <c r="Y34" s="3488"/>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83" t="str">
        <f>A35</f>
        <v>成交单价（元/平方米）</v>
      </c>
      <c r="Q35" s="3483"/>
      <c r="R35" s="3568">
        <f>E35</f>
        <v>0</v>
      </c>
      <c r="S35" s="3568"/>
      <c r="T35" s="3568">
        <f>G35</f>
        <v>0</v>
      </c>
      <c r="U35" s="3568"/>
      <c r="V35" s="3568">
        <f>I35</f>
        <v>0</v>
      </c>
      <c r="W35" s="3568"/>
      <c r="X35" s="1497"/>
      <c r="Y35" s="1516"/>
      <c r="Z35" s="1497"/>
      <c r="AA35" s="1497"/>
      <c r="AB35" s="1497"/>
      <c r="AC35" s="1497"/>
    </row>
    <row r="36" spans="1:29" ht="15.75" thickBot="1">
      <c r="A36" s="609" t="s">
        <v>2740</v>
      </c>
      <c r="B36" s="877"/>
      <c r="C36" s="2477" t="e">
        <f>R37</f>
        <v>#DIV/0!</v>
      </c>
      <c r="D36" s="3015" t="s">
        <v>2967</v>
      </c>
      <c r="E36" s="2478" t="e">
        <f>R36</f>
        <v>#DIV/0!</v>
      </c>
      <c r="F36" s="3016"/>
      <c r="G36" s="2477" t="e">
        <f>T36</f>
        <v>#DIV/0!</v>
      </c>
      <c r="H36" s="3016"/>
      <c r="I36" s="2478" t="e">
        <f>V36</f>
        <v>#DIV/0!</v>
      </c>
      <c r="J36" s="3016"/>
      <c r="K36" s="3024">
        <f>F36+H36+J36</f>
        <v>0</v>
      </c>
      <c r="L36" s="2027"/>
      <c r="M36" s="2028"/>
      <c r="N36" s="2017"/>
      <c r="O36" s="2028"/>
      <c r="P36" s="3483" t="str">
        <f>A36</f>
        <v>比较价格（元/平方米）</v>
      </c>
      <c r="Q36" s="3483"/>
      <c r="R36" s="3568" t="e">
        <f>IF(F1="售价",ROUND(PRODUCT(R35,AA7:AA34),0),ROUND(PRODUCT(R35,AA7:AA34),1))</f>
        <v>#DIV/0!</v>
      </c>
      <c r="S36" s="3568"/>
      <c r="T36" s="3568" t="e">
        <f>IF(F1="售价",ROUND(PRODUCT(T35,AB7:AB34),0),ROUND(PRODUCT(T35,AB7:AB34),1))</f>
        <v>#DIV/0!</v>
      </c>
      <c r="U36" s="3568"/>
      <c r="V36" s="3568" t="e">
        <f>IF(F1="售价",ROUND(PRODUCT(V35,AC7:AC34),0),ROUND(PRODUCT(V35,AC7:AC34),1))</f>
        <v>#DIV/0!</v>
      </c>
      <c r="W36" s="3568"/>
      <c r="X36" s="1497"/>
      <c r="Y36" s="1497"/>
      <c r="Z36" s="1497"/>
      <c r="AA36" s="1497"/>
      <c r="AB36" s="1497"/>
      <c r="AC36" s="1497"/>
    </row>
    <row r="37" spans="1:29" ht="15.75" thickBot="1">
      <c r="A37" s="613" t="s">
        <v>2898</v>
      </c>
      <c r="B37" s="614"/>
      <c r="C37" s="2479" t="e">
        <f>R37</f>
        <v>#DIV/0!</v>
      </c>
      <c r="D37" s="2479"/>
      <c r="E37" s="2479"/>
      <c r="F37" s="2479"/>
      <c r="G37" s="2479"/>
      <c r="H37" s="2479"/>
      <c r="I37" s="2479"/>
      <c r="J37" s="2479"/>
      <c r="K37" s="1542"/>
      <c r="L37" s="2027"/>
      <c r="M37" s="2028"/>
      <c r="N37" s="2028"/>
      <c r="O37" s="2028"/>
      <c r="P37" s="3505" t="str">
        <f>A37</f>
        <v>估价对象XX用房的比较价格（楼面单价，元/平方米）</v>
      </c>
      <c r="Q37" s="3506"/>
      <c r="R37" s="3567" t="e">
        <f>IF(F1="售价",ROUND(IF(D36="简单平均",AVERAGE(R36:W36),R36*F36+T36*H36+V36*J36),0),ROUND(IF(D36="简单平均",AVERAGE(R36:V36),R36*F36+T36*H36+V36*J36),1))</f>
        <v>#DIV/0!</v>
      </c>
      <c r="S37" s="3567"/>
      <c r="T37" s="3567"/>
      <c r="U37" s="3567"/>
      <c r="V37" s="3567"/>
      <c r="W37" s="3567"/>
      <c r="X37" s="1497"/>
      <c r="Y37" s="1497"/>
      <c r="Z37" s="1497"/>
      <c r="AA37" s="1497"/>
      <c r="AB37" s="1497"/>
      <c r="AC37" s="1497"/>
    </row>
    <row r="38" spans="1:29">
      <c r="A38" s="3213"/>
      <c r="B38" s="3213"/>
      <c r="C38" s="3213"/>
      <c r="D38" s="3213"/>
      <c r="E38" s="3213"/>
      <c r="F38" s="3213"/>
      <c r="G38" s="3215"/>
      <c r="H38" s="3213"/>
      <c r="I38" s="3213"/>
      <c r="J38" s="3213"/>
      <c r="K38" s="3216"/>
      <c r="L38" s="2032"/>
      <c r="M38" s="2028"/>
      <c r="N38" s="2028"/>
      <c r="O38" s="2028"/>
      <c r="P38" s="2028"/>
      <c r="Q38" s="2028"/>
      <c r="R38" s="2028"/>
      <c r="S38" s="2028"/>
      <c r="T38" s="2028"/>
      <c r="U38" s="2028"/>
      <c r="V38" s="2028"/>
      <c r="W38" s="2028"/>
      <c r="X38" s="2028"/>
      <c r="Y38" s="2028"/>
      <c r="Z38" s="2028"/>
      <c r="AA38" s="2028"/>
      <c r="AB38" s="2028"/>
      <c r="AC38" s="2028"/>
    </row>
    <row r="39" spans="1:29">
      <c r="A39" s="3213"/>
      <c r="B39" s="3213"/>
      <c r="C39" s="3213"/>
      <c r="D39" s="3213"/>
      <c r="E39" s="3213"/>
      <c r="F39" s="3213"/>
      <c r="G39" s="3213"/>
      <c r="H39" s="3213"/>
      <c r="I39" s="3213"/>
      <c r="J39" s="3213"/>
      <c r="K39" s="3216"/>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2021-3</v>
      </c>
      <c r="D46" s="2522">
        <f>EDATE(C46,-1)</f>
        <v>44228</v>
      </c>
      <c r="E46" s="2522">
        <f t="shared" ref="E46:O46" si="16">EDATE(D46,-1)</f>
        <v>44197</v>
      </c>
      <c r="F46" s="2522">
        <f t="shared" si="16"/>
        <v>44166</v>
      </c>
      <c r="G46" s="2522">
        <f t="shared" si="16"/>
        <v>44136</v>
      </c>
      <c r="H46" s="2522">
        <f t="shared" si="16"/>
        <v>44105</v>
      </c>
      <c r="I46" s="2522">
        <f t="shared" si="16"/>
        <v>44075</v>
      </c>
      <c r="J46" s="2522">
        <f t="shared" si="16"/>
        <v>44044</v>
      </c>
      <c r="K46" s="2522">
        <f t="shared" si="16"/>
        <v>44013</v>
      </c>
      <c r="L46" s="2522">
        <f t="shared" si="16"/>
        <v>43983</v>
      </c>
      <c r="M46" s="2522">
        <f t="shared" si="16"/>
        <v>43952</v>
      </c>
      <c r="N46" s="2522">
        <f t="shared" si="16"/>
        <v>43922</v>
      </c>
      <c r="O46" s="2522">
        <f t="shared" si="16"/>
        <v>43891</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4"/>
      <selection pane="bottomLeft" activeCell="F7" sqref="C7:Q3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00" t="s">
        <v>2292</v>
      </c>
      <c r="D1" s="3601"/>
      <c r="E1" s="3601"/>
      <c r="F1" s="3601"/>
      <c r="G1" s="3601"/>
      <c r="H1" s="3601"/>
      <c r="I1" s="3601"/>
      <c r="J1" s="3601"/>
      <c r="K1" s="3601"/>
      <c r="L1" s="3601"/>
      <c r="M1" s="3601"/>
      <c r="N1" s="3601"/>
      <c r="O1" s="3601"/>
      <c r="P1" s="3601"/>
      <c r="Q1" s="3601"/>
      <c r="R1" s="3601"/>
      <c r="S1" s="3602"/>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2891</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2890</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2889</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2902</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2888</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2887</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97" t="s">
        <v>20</v>
      </c>
      <c r="D22" s="3598"/>
      <c r="E22" s="3598"/>
      <c r="F22" s="3598"/>
      <c r="G22" s="3598"/>
      <c r="H22" s="3598"/>
      <c r="I22" s="3598"/>
      <c r="J22" s="3598"/>
      <c r="K22" s="3598"/>
      <c r="L22" s="3598"/>
      <c r="M22" s="3598"/>
      <c r="N22" s="3598"/>
      <c r="O22" s="3598"/>
      <c r="P22" s="3598"/>
      <c r="Q22" s="3599"/>
      <c r="R22" s="484" t="e">
        <f>ROUND(S22*10000/B22,0)</f>
        <v>#DIV/0!</v>
      </c>
      <c r="S22" s="53">
        <f>SUM(S24:S10000)</f>
        <v>0</v>
      </c>
    </row>
    <row r="23" spans="1:45" s="1543" customFormat="1" ht="24">
      <c r="A23" s="17" t="s">
        <v>824</v>
      </c>
      <c r="B23" s="2862" t="s">
        <v>2910</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5">
        <v>1</v>
      </c>
      <c r="D24" s="3276"/>
      <c r="E24" s="3275">
        <v>1</v>
      </c>
      <c r="F24" s="3276"/>
      <c r="G24" s="3275">
        <v>1</v>
      </c>
      <c r="H24" s="3276"/>
      <c r="I24" s="3275">
        <v>1</v>
      </c>
      <c r="J24" s="3276"/>
      <c r="K24" s="3275">
        <v>1</v>
      </c>
      <c r="L24" s="3276"/>
      <c r="M24" s="3275">
        <v>1</v>
      </c>
      <c r="N24" s="3276"/>
      <c r="O24" s="3275">
        <v>1</v>
      </c>
      <c r="P24" s="3276"/>
      <c r="Q24" s="3275">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昆仑信托有限责任公司：</v>
      </c>
    </row>
    <row r="4" spans="1:4" ht="37.5">
      <c r="A4" s="1707" t="str">
        <f>"受贵公司委托，我公司对"&amp;项目基本情况!K2&amp;项目基本情况!B9&amp;"进行了预评估。"</f>
        <v>受贵公司委托，我公司对山东省潍坊市青州市弥河流域二宗住宅用地出让国有建设用地使用权抵押价格进行了预评估。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州市城市建设投资开发有限公司使用的、位于山东省潍坊市青州市弥河流域二宗住宅用地出让国有建设用地使用权。根据《国有土地使用证》[]，估价对象（分摊）出让国有建设用地使用权面积为248287.39平方米。根据《建设工程规划许可证》[]、《出让合同》[]，估价对象规划建筑面积为494091.91平方米。</v>
      </c>
    </row>
    <row r="7" spans="1:4" ht="93.75">
      <c r="A7" s="2591" t="s">
        <v>2728</v>
      </c>
    </row>
    <row r="8" spans="1:4" ht="18.75">
      <c r="A8" s="1710" t="s">
        <v>1897</v>
      </c>
    </row>
    <row r="9" spans="1:4" ht="93.75">
      <c r="A9" s="1712" t="str">
        <f>IF(项目基本情况!B8="抵押",IF(项目基本情况!B5=项目基本情况!B6,定义!C51,定义!B51),定义!D51)</f>
        <v>潍坊水务投资有限责任公司拟使用山东省潍坊市青州市弥河流域二宗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2021年3月18日（评估专业人员勘察现场之日）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根据《国有土地使用证》[]，估价对象（分摊）出让国有建设用地使用权面积为248287.39平方米。根据《建设工程规划许可证》[]、《出让合同》[]，估价对象规划建筑面积为494091.91平方米。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93.75">
      <c r="A25" s="1707" t="str">
        <f>定义!C53</f>
        <v>本次估价的“出让国有建设用地使用权价格”是指在估价对象土地所有权为国家所有，使用权性质为出让，在公开市场条件下、于估价期日2021年3月18日，在规划利用条件下、设定土地开发程度为红线外“七通”、宗地内场地平整，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2767</v>
      </c>
      <c r="C1" s="2722">
        <f>项目基本情况!D3</f>
        <v>44273</v>
      </c>
      <c r="H1" s="2656">
        <f>IF(C1&gt;C13,0,MATCH(C1,C$13:C$104,-1))+IF(SUMIF(C13:C104,C1,D13:D104)=0,13,12)</f>
        <v>13</v>
      </c>
      <c r="I1" s="2656">
        <f>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2798</v>
      </c>
      <c r="C2" s="2723">
        <f>'数据-取费表'!B22</f>
        <v>2</v>
      </c>
      <c r="D2" s="2718" t="s">
        <v>2768</v>
      </c>
      <c r="E2" s="2721">
        <f ca="1">INDIRECT("I"&amp;$I$1)/100</f>
        <v>3.85E-2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2800</v>
      </c>
      <c r="C3" s="2720">
        <f>'数据-取费表'!B19</f>
        <v>0</v>
      </c>
      <c r="D3" s="2718" t="s">
        <v>2768</v>
      </c>
      <c r="E3" s="2721">
        <f ca="1">INDIRECT("J"&amp;$J$1)/100</f>
        <v>0</v>
      </c>
      <c r="G3" s="2660" t="s">
        <v>2771</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2799</v>
      </c>
      <c r="C4" s="2721">
        <f ca="1">N4/100</f>
        <v>1.4999999999999999E-2</v>
      </c>
      <c r="G4" s="2666" t="s">
        <v>2772</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2773</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2774</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2775</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6" ht="14.25">
      <c r="A17" s="2701"/>
      <c r="B17" s="2702" t="s">
        <v>2998</v>
      </c>
      <c r="C17" s="2711">
        <v>43697</v>
      </c>
      <c r="D17" s="3277">
        <v>4.25</v>
      </c>
      <c r="E17" s="3277">
        <v>4.25</v>
      </c>
      <c r="F17" s="3277">
        <v>4.25</v>
      </c>
      <c r="G17" s="3277">
        <v>4.25</v>
      </c>
      <c r="H17" s="3277">
        <v>4.8499999999999996</v>
      </c>
      <c r="I17" s="3277"/>
      <c r="J17" s="3277"/>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6" ht="15">
      <c r="B18" s="2708"/>
      <c r="C18" s="2709">
        <v>42242</v>
      </c>
      <c r="D18" s="2708">
        <v>4.5999999999999996</v>
      </c>
      <c r="E18" s="2708">
        <v>4.5999999999999996</v>
      </c>
      <c r="F18" s="2708">
        <v>5</v>
      </c>
      <c r="G18" s="2708">
        <v>5</v>
      </c>
      <c r="H18" s="2708">
        <v>5.15</v>
      </c>
      <c r="I18" s="2708">
        <v>2.75</v>
      </c>
      <c r="J18" s="2708">
        <v>3.25</v>
      </c>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1:26">
      <c r="B19" s="2708"/>
      <c r="C19" s="2709">
        <v>42183</v>
      </c>
      <c r="D19" s="2708">
        <v>4.8499999999999996</v>
      </c>
      <c r="E19" s="2708">
        <v>4.8499999999999996</v>
      </c>
      <c r="F19" s="2708">
        <v>5.25</v>
      </c>
      <c r="G19" s="2708">
        <v>5.25</v>
      </c>
      <c r="H19" s="2708">
        <v>5.4</v>
      </c>
      <c r="I19" s="2708">
        <v>3</v>
      </c>
      <c r="J19" s="2708">
        <v>3.5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6">
      <c r="B20" s="2708"/>
      <c r="C20" s="2709">
        <v>42135</v>
      </c>
      <c r="D20" s="2708">
        <v>5.0999999999999996</v>
      </c>
      <c r="E20" s="2708">
        <v>5.0999999999999996</v>
      </c>
      <c r="F20" s="2708">
        <v>5.5</v>
      </c>
      <c r="G20" s="2708">
        <v>5.5</v>
      </c>
      <c r="H20" s="2708">
        <v>5.65</v>
      </c>
      <c r="I20" s="2708">
        <v>3.25</v>
      </c>
      <c r="J20" s="2708">
        <v>3.75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6">
      <c r="B21" s="2708"/>
      <c r="C21" s="2709">
        <v>42064</v>
      </c>
      <c r="D21" s="2708">
        <v>5.35</v>
      </c>
      <c r="E21" s="2708">
        <v>5.35</v>
      </c>
      <c r="F21" s="2708">
        <v>5.75</v>
      </c>
      <c r="G21" s="2708">
        <v>5.75</v>
      </c>
      <c r="H21" s="2708">
        <v>5.9</v>
      </c>
      <c r="I21" s="2708"/>
      <c r="J21" s="2708"/>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6">
      <c r="B22" s="2708"/>
      <c r="C22" s="2709">
        <v>41965</v>
      </c>
      <c r="D22" s="2708">
        <v>5.6</v>
      </c>
      <c r="E22" s="2708">
        <v>5.6</v>
      </c>
      <c r="F22" s="2708">
        <v>6</v>
      </c>
      <c r="G22" s="2708">
        <v>6</v>
      </c>
      <c r="H22" s="2708">
        <v>6.15</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6">
      <c r="B23" s="2708"/>
      <c r="C23" s="2709">
        <v>41096</v>
      </c>
      <c r="D23" s="2708">
        <v>5.6</v>
      </c>
      <c r="E23" s="2708">
        <v>6</v>
      </c>
      <c r="F23" s="2708">
        <v>6.15</v>
      </c>
      <c r="G23" s="2708">
        <v>6.4</v>
      </c>
      <c r="H23" s="2708">
        <v>6.55</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6">
      <c r="B24" s="2708"/>
      <c r="C24" s="2709">
        <v>41068</v>
      </c>
      <c r="D24" s="2708">
        <v>5.85</v>
      </c>
      <c r="E24" s="2708">
        <v>6.31</v>
      </c>
      <c r="F24" s="2708">
        <v>6.4</v>
      </c>
      <c r="G24" s="2708">
        <v>6.65</v>
      </c>
      <c r="H24" s="2708">
        <v>6.8</v>
      </c>
      <c r="I24" s="2708">
        <v>4.2</v>
      </c>
      <c r="J24" s="2708">
        <v>4.7</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6">
      <c r="B25" s="2708"/>
      <c r="C25" s="2709">
        <v>40731</v>
      </c>
      <c r="D25" s="2708">
        <v>6.1</v>
      </c>
      <c r="E25" s="2708">
        <v>6.56</v>
      </c>
      <c r="F25" s="2708">
        <v>6.65</v>
      </c>
      <c r="G25" s="2708">
        <v>6.9</v>
      </c>
      <c r="H25" s="2708">
        <v>7.05</v>
      </c>
      <c r="I25" s="2708">
        <v>4.45</v>
      </c>
      <c r="J25" s="2708">
        <v>4.9000000000000004</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6">
      <c r="B26" s="2708"/>
      <c r="C26" s="2709">
        <v>40639</v>
      </c>
      <c r="D26" s="2708">
        <v>5.85</v>
      </c>
      <c r="E26" s="2708">
        <v>6.31</v>
      </c>
      <c r="F26" s="2708">
        <v>6.4</v>
      </c>
      <c r="G26" s="2708">
        <v>6.65</v>
      </c>
      <c r="H26" s="2708">
        <v>6.8</v>
      </c>
      <c r="I26" s="2708">
        <v>4.2</v>
      </c>
      <c r="J26" s="2708">
        <v>4.7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6">
      <c r="B27" s="2708"/>
      <c r="C27" s="2709">
        <v>40583</v>
      </c>
      <c r="D27" s="2708">
        <v>5.6</v>
      </c>
      <c r="E27" s="2708">
        <v>6.06</v>
      </c>
      <c r="F27" s="2708">
        <v>6.1</v>
      </c>
      <c r="G27" s="2708">
        <v>6.45</v>
      </c>
      <c r="H27" s="2708">
        <v>6.6</v>
      </c>
      <c r="I27" s="2708">
        <v>4</v>
      </c>
      <c r="J27" s="2708">
        <v>4.5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6">
      <c r="B28" s="2708"/>
      <c r="C28" s="2709">
        <v>40538</v>
      </c>
      <c r="D28" s="2708">
        <v>5.35</v>
      </c>
      <c r="E28" s="2708">
        <v>5.81</v>
      </c>
      <c r="F28" s="2708">
        <v>5.85</v>
      </c>
      <c r="G28" s="2708">
        <v>6.22</v>
      </c>
      <c r="H28" s="2708">
        <v>6.4</v>
      </c>
      <c r="I28" s="2708">
        <v>3.75</v>
      </c>
      <c r="J28" s="2708">
        <v>4.3</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6">
      <c r="B29" s="2708"/>
      <c r="C29" s="2709">
        <v>40471</v>
      </c>
      <c r="D29" s="2708">
        <v>5.0999999999999996</v>
      </c>
      <c r="E29" s="2708">
        <v>5.56</v>
      </c>
      <c r="F29" s="2708">
        <v>5.6</v>
      </c>
      <c r="G29" s="2708">
        <v>5.96</v>
      </c>
      <c r="H29" s="2708">
        <v>6.14</v>
      </c>
      <c r="I29" s="2708">
        <v>3.5</v>
      </c>
      <c r="J29" s="2708">
        <v>4.05</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6">
      <c r="B30" s="2708"/>
      <c r="C30" s="2709">
        <v>39805</v>
      </c>
      <c r="D30" s="2708">
        <v>4.8600000000000003</v>
      </c>
      <c r="E30" s="2708">
        <v>5.31</v>
      </c>
      <c r="F30" s="2708">
        <v>5.4</v>
      </c>
      <c r="G30" s="2708">
        <v>5.76</v>
      </c>
      <c r="H30" s="2708">
        <v>5.94</v>
      </c>
      <c r="I30" s="2708">
        <v>3.33</v>
      </c>
      <c r="J30" s="2708">
        <v>3.87</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6">
      <c r="B31" s="2708"/>
      <c r="C31" s="2709">
        <v>39779</v>
      </c>
      <c r="D31" s="2708">
        <v>5.04</v>
      </c>
      <c r="E31" s="2708">
        <v>5.58</v>
      </c>
      <c r="F31" s="2708">
        <v>5.67</v>
      </c>
      <c r="G31" s="2708">
        <v>5.94</v>
      </c>
      <c r="H31" s="2708">
        <v>6.12</v>
      </c>
      <c r="I31" s="2708">
        <v>3.51</v>
      </c>
      <c r="J31" s="2708">
        <v>4.05</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6">
      <c r="B32" s="2708"/>
      <c r="C32" s="2709">
        <v>39751</v>
      </c>
      <c r="D32" s="2708">
        <v>6.03</v>
      </c>
      <c r="E32" s="2708">
        <v>6.66</v>
      </c>
      <c r="F32" s="2708">
        <v>6.75</v>
      </c>
      <c r="G32" s="2708">
        <v>7.02</v>
      </c>
      <c r="H32" s="2708">
        <v>7.2</v>
      </c>
      <c r="I32" s="2708">
        <v>4.05</v>
      </c>
      <c r="J32" s="2708">
        <v>4.59</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11">
        <v>39748</v>
      </c>
      <c r="D33" s="2708">
        <v>6.12</v>
      </c>
      <c r="E33" s="2708">
        <v>6.93</v>
      </c>
      <c r="F33" s="2708">
        <v>7.02</v>
      </c>
      <c r="G33" s="2708">
        <v>7.29</v>
      </c>
      <c r="H33" s="2708">
        <v>7.47</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39730</v>
      </c>
      <c r="D34" s="2708">
        <v>6.12</v>
      </c>
      <c r="E34" s="2708">
        <v>6.93</v>
      </c>
      <c r="F34" s="2708">
        <v>7.02</v>
      </c>
      <c r="G34" s="2708">
        <v>7.29</v>
      </c>
      <c r="H34" s="2708">
        <v>7.47</v>
      </c>
      <c r="I34" s="2708">
        <v>4.32</v>
      </c>
      <c r="J34" s="2708">
        <v>4.8600000000000003</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39707</v>
      </c>
      <c r="D35" s="2708">
        <v>6.21</v>
      </c>
      <c r="E35" s="2708">
        <v>7.2</v>
      </c>
      <c r="F35" s="2708">
        <v>7.29</v>
      </c>
      <c r="G35" s="2708">
        <v>7.56</v>
      </c>
      <c r="H35" s="2708">
        <v>7.74</v>
      </c>
      <c r="I35" s="2708">
        <v>4.59</v>
      </c>
      <c r="J35" s="2708">
        <v>5.13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39437</v>
      </c>
      <c r="D36" s="2708">
        <v>6.57</v>
      </c>
      <c r="E36" s="2708">
        <v>7.47</v>
      </c>
      <c r="F36" s="2708">
        <v>7.56</v>
      </c>
      <c r="G36" s="2708">
        <v>7.74</v>
      </c>
      <c r="H36" s="2708">
        <v>7.83</v>
      </c>
      <c r="I36" s="2708">
        <v>4.7699999999999996</v>
      </c>
      <c r="J36" s="2708">
        <v>5.22</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39340</v>
      </c>
      <c r="D37" s="2708">
        <v>6.48</v>
      </c>
      <c r="E37" s="2708">
        <v>7.29</v>
      </c>
      <c r="F37" s="2708">
        <v>7.47</v>
      </c>
      <c r="G37" s="2708">
        <v>7.65</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39316</v>
      </c>
      <c r="D38" s="2708">
        <v>6.21</v>
      </c>
      <c r="E38" s="2708">
        <v>7.02</v>
      </c>
      <c r="F38" s="2708">
        <v>7.2</v>
      </c>
      <c r="G38" s="2708">
        <v>7.38</v>
      </c>
      <c r="H38" s="2708">
        <v>7.56</v>
      </c>
      <c r="I38" s="2708">
        <v>4.59</v>
      </c>
      <c r="J38" s="2708">
        <v>5.04</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39284</v>
      </c>
      <c r="D39" s="2708">
        <v>6.03</v>
      </c>
      <c r="E39" s="2708">
        <v>6.84</v>
      </c>
      <c r="F39" s="2708">
        <v>7.02</v>
      </c>
      <c r="G39" s="2708">
        <v>7.2</v>
      </c>
      <c r="H39" s="2708">
        <v>7.38</v>
      </c>
      <c r="I39" s="2708">
        <v>4.5</v>
      </c>
      <c r="J39" s="2708">
        <v>4.95</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39221</v>
      </c>
      <c r="D40" s="2708">
        <v>5.85</v>
      </c>
      <c r="E40" s="2708">
        <v>6.57</v>
      </c>
      <c r="F40" s="2708">
        <v>6.75</v>
      </c>
      <c r="G40" s="2708">
        <v>6.93</v>
      </c>
      <c r="H40" s="2708">
        <v>7.2</v>
      </c>
      <c r="I40" s="2708">
        <v>4.41</v>
      </c>
      <c r="J40" s="2708">
        <v>4.8600000000000003</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39159</v>
      </c>
      <c r="D41" s="2708">
        <v>5.67</v>
      </c>
      <c r="E41" s="2708">
        <v>6.39</v>
      </c>
      <c r="F41" s="2708">
        <v>6.57</v>
      </c>
      <c r="G41" s="2708">
        <v>6.75</v>
      </c>
      <c r="H41" s="2708">
        <v>7.11</v>
      </c>
      <c r="I41" s="2708">
        <v>4.32</v>
      </c>
      <c r="J41" s="2708">
        <v>4.7699999999999996</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38948</v>
      </c>
      <c r="D42" s="2708">
        <v>5.58</v>
      </c>
      <c r="E42" s="2708">
        <v>6.12</v>
      </c>
      <c r="F42" s="2708">
        <v>6.3</v>
      </c>
      <c r="G42" s="2708">
        <v>6.48</v>
      </c>
      <c r="H42" s="2708">
        <v>6.84</v>
      </c>
      <c r="I42" s="2708">
        <v>4.1399999999999997</v>
      </c>
      <c r="J42" s="2708">
        <v>4.59</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38835</v>
      </c>
      <c r="D43" s="2708">
        <v>5.4</v>
      </c>
      <c r="E43" s="2708">
        <v>5.85</v>
      </c>
      <c r="F43" s="2708">
        <v>6.03</v>
      </c>
      <c r="G43" s="2708">
        <v>6.12</v>
      </c>
      <c r="H43" s="2708">
        <v>6.39</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38428</v>
      </c>
      <c r="D44" s="2708">
        <v>5.22</v>
      </c>
      <c r="E44" s="2708">
        <v>5.58</v>
      </c>
      <c r="F44" s="2708">
        <v>5.76</v>
      </c>
      <c r="G44" s="2708">
        <v>5.85</v>
      </c>
      <c r="H44" s="2708">
        <v>6.12</v>
      </c>
      <c r="I44" s="2708">
        <v>3.96</v>
      </c>
      <c r="J44" s="2708">
        <v>4.41</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38289</v>
      </c>
      <c r="D45" s="2708">
        <v>5.22</v>
      </c>
      <c r="E45" s="2708">
        <v>5.58</v>
      </c>
      <c r="F45" s="2708">
        <v>5.76</v>
      </c>
      <c r="G45" s="2708">
        <v>5.85</v>
      </c>
      <c r="H45" s="2708">
        <v>6.12</v>
      </c>
      <c r="I45" s="2708">
        <v>3.78</v>
      </c>
      <c r="J45" s="2708">
        <v>4.2300000000000004</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37308</v>
      </c>
      <c r="D46" s="2708">
        <v>5.04</v>
      </c>
      <c r="E46" s="2708">
        <v>5.31</v>
      </c>
      <c r="F46" s="2708">
        <v>5.49</v>
      </c>
      <c r="G46" s="2708">
        <v>5.58</v>
      </c>
      <c r="H46" s="2708">
        <v>5.76</v>
      </c>
      <c r="I46" s="2708">
        <v>3.6</v>
      </c>
      <c r="J46" s="2708">
        <v>4.05</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36321</v>
      </c>
      <c r="D47" s="2708">
        <v>5.58</v>
      </c>
      <c r="E47" s="2708">
        <v>5.85</v>
      </c>
      <c r="F47" s="2708">
        <v>5.94</v>
      </c>
      <c r="G47" s="2708">
        <v>6.03</v>
      </c>
      <c r="H47" s="2708">
        <v>6.21</v>
      </c>
      <c r="I47" s="2708">
        <v>4.1399999999999997</v>
      </c>
      <c r="J47" s="2708">
        <v>4.59</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36136</v>
      </c>
      <c r="D48" s="2708">
        <v>6.12</v>
      </c>
      <c r="E48" s="2708">
        <v>6.39</v>
      </c>
      <c r="F48" s="2708">
        <v>6.66</v>
      </c>
      <c r="G48" s="2708">
        <v>7.2</v>
      </c>
      <c r="H48" s="2708">
        <v>7.56</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35977</v>
      </c>
      <c r="D49" s="2708">
        <v>6.57</v>
      </c>
      <c r="E49" s="2708">
        <v>6.93</v>
      </c>
      <c r="F49" s="2708">
        <v>7.11</v>
      </c>
      <c r="G49" s="2708">
        <v>7.65</v>
      </c>
      <c r="H49" s="2708">
        <v>8.01</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35879</v>
      </c>
      <c r="D50" s="2708">
        <v>7.02</v>
      </c>
      <c r="E50" s="2708">
        <v>7.92</v>
      </c>
      <c r="F50" s="2708">
        <v>9</v>
      </c>
      <c r="G50" s="2708">
        <v>9.7200000000000006</v>
      </c>
      <c r="H50" s="2708">
        <v>10.35</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35726</v>
      </c>
      <c r="D51" s="2708">
        <v>7.65</v>
      </c>
      <c r="E51" s="2708">
        <v>8.64</v>
      </c>
      <c r="F51" s="2708">
        <v>9.36</v>
      </c>
      <c r="G51" s="2708">
        <v>9.9</v>
      </c>
      <c r="H51" s="2708">
        <v>10.53</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35300</v>
      </c>
      <c r="D52" s="2708">
        <v>9.18</v>
      </c>
      <c r="E52" s="2708">
        <v>10.08</v>
      </c>
      <c r="F52" s="2708">
        <v>10.98</v>
      </c>
      <c r="G52" s="2708">
        <v>11.7</v>
      </c>
      <c r="H52" s="2708">
        <v>12.42</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35186</v>
      </c>
      <c r="D53" s="2708">
        <v>9.7200000000000006</v>
      </c>
      <c r="E53" s="2708">
        <v>10.98</v>
      </c>
      <c r="F53" s="2708">
        <v>13.14</v>
      </c>
      <c r="G53" s="2708">
        <v>14.94</v>
      </c>
      <c r="H53" s="2708">
        <v>15.12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34881</v>
      </c>
      <c r="D54" s="2708">
        <v>10.08</v>
      </c>
      <c r="E54" s="2708">
        <v>12.06</v>
      </c>
      <c r="F54" s="2708">
        <v>13.5</v>
      </c>
      <c r="G54" s="2708">
        <v>15.12</v>
      </c>
      <c r="H54" s="2708">
        <v>15.3</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34700</v>
      </c>
      <c r="D55" s="2708">
        <v>9</v>
      </c>
      <c r="E55" s="2708">
        <v>10.98</v>
      </c>
      <c r="F55" s="2708">
        <v>12.96</v>
      </c>
      <c r="G55" s="2708">
        <v>14.58</v>
      </c>
      <c r="H55" s="2708">
        <v>14.76</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34161</v>
      </c>
      <c r="D56" s="2708">
        <v>9</v>
      </c>
      <c r="E56" s="2708">
        <v>10.98</v>
      </c>
      <c r="F56" s="2708">
        <v>12.24</v>
      </c>
      <c r="G56" s="2708">
        <v>13.86</v>
      </c>
      <c r="H56" s="2708">
        <v>14.04</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34104</v>
      </c>
      <c r="D57" s="2708">
        <v>8.82</v>
      </c>
      <c r="E57" s="2708">
        <v>9.36</v>
      </c>
      <c r="F57" s="2708">
        <v>10.8</v>
      </c>
      <c r="G57" s="2708">
        <v>12.06</v>
      </c>
      <c r="H57" s="2708">
        <v>12.24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33349</v>
      </c>
      <c r="D58" s="2708">
        <v>8.1</v>
      </c>
      <c r="E58" s="2708">
        <v>8.64</v>
      </c>
      <c r="F58" s="2708">
        <v>9</v>
      </c>
      <c r="G58" s="2708">
        <v>9.5399999999999991</v>
      </c>
      <c r="H58" s="2708">
        <v>9.7200000000000006</v>
      </c>
      <c r="I58" s="2708">
        <v>0</v>
      </c>
      <c r="J58" s="2708">
        <v>0</v>
      </c>
    </row>
    <row r="59" spans="2:26">
      <c r="B59" s="2708"/>
      <c r="C59" s="2709">
        <v>33318</v>
      </c>
      <c r="D59" s="2708">
        <v>9</v>
      </c>
      <c r="E59" s="2708">
        <v>10.08</v>
      </c>
      <c r="F59" s="2708">
        <v>10.8</v>
      </c>
      <c r="G59" s="2708">
        <v>11.52</v>
      </c>
      <c r="H59" s="2708">
        <v>11.88</v>
      </c>
      <c r="I59" s="2708" t="s">
        <v>2797</v>
      </c>
      <c r="J59" s="2708" t="s">
        <v>2797</v>
      </c>
    </row>
    <row r="60" spans="2:26">
      <c r="B60" s="2708"/>
      <c r="C60" s="2709">
        <v>33106</v>
      </c>
      <c r="D60" s="2708">
        <v>8.64</v>
      </c>
      <c r="E60" s="2708">
        <v>9.36</v>
      </c>
      <c r="F60" s="2708">
        <v>10.08</v>
      </c>
      <c r="G60" s="2708">
        <v>10.8</v>
      </c>
      <c r="H60" s="2708">
        <v>11.16</v>
      </c>
      <c r="I60" s="2708">
        <v>0</v>
      </c>
      <c r="J60" s="2708">
        <v>0</v>
      </c>
    </row>
    <row r="61" spans="2:26">
      <c r="B61" s="2708"/>
      <c r="C61" s="2709">
        <v>32540</v>
      </c>
      <c r="D61" s="2708">
        <v>11.34</v>
      </c>
      <c r="E61" s="2708">
        <v>11.34</v>
      </c>
      <c r="F61" s="2708">
        <v>12.78</v>
      </c>
      <c r="G61" s="2708">
        <v>14.4</v>
      </c>
      <c r="H61" s="2708">
        <v>19.260000000000002</v>
      </c>
      <c r="I61" s="2708">
        <v>0</v>
      </c>
      <c r="J61" s="2708">
        <v>0</v>
      </c>
    </row>
    <row r="62" spans="2:26">
      <c r="B62" s="2708"/>
      <c r="C62" s="2709"/>
      <c r="D62" s="2708"/>
      <c r="E62" s="2708"/>
      <c r="F62" s="2708"/>
      <c r="G62" s="2708"/>
      <c r="H62" s="2708"/>
      <c r="I62" s="2708"/>
      <c r="J62" s="2708"/>
    </row>
    <row r="63" spans="2:26">
      <c r="B63" s="2712"/>
      <c r="C63" s="2713"/>
      <c r="D63" s="2712"/>
      <c r="E63" s="2712"/>
      <c r="F63" s="2712"/>
      <c r="G63" s="2712"/>
      <c r="H63" s="2712"/>
      <c r="I63" s="2712"/>
      <c r="J63" s="2712"/>
    </row>
    <row r="64" spans="2:26">
      <c r="B64" s="2712"/>
      <c r="C64" s="2713"/>
      <c r="D64" s="2712"/>
      <c r="E64" s="2712"/>
      <c r="F64" s="2712"/>
      <c r="G64" s="2712"/>
      <c r="H64" s="2712"/>
      <c r="I64" s="2712"/>
      <c r="J64" s="2712"/>
    </row>
    <row r="65" spans="2:10">
      <c r="B65" s="2712"/>
      <c r="C65" s="2713"/>
      <c r="D65" s="2712"/>
      <c r="E65" s="2712"/>
      <c r="F65" s="2712"/>
      <c r="G65" s="2712"/>
      <c r="H65" s="2712"/>
      <c r="I65" s="2712"/>
      <c r="J65" s="2712"/>
    </row>
    <row r="66" spans="2:10">
      <c r="B66" s="2659"/>
      <c r="C66" s="2659"/>
      <c r="D66" s="2659"/>
      <c r="E66" s="2659"/>
      <c r="F66" s="2659"/>
      <c r="G66" s="2659"/>
      <c r="H66" s="2659"/>
      <c r="I66" s="2659"/>
      <c r="J66" s="2659"/>
    </row>
    <row r="67" spans="2:10">
      <c r="B67" s="2659"/>
      <c r="C67" s="2659"/>
      <c r="D67" s="2659"/>
      <c r="E67" s="2659"/>
      <c r="F67" s="2659"/>
      <c r="G67" s="2659"/>
      <c r="H67" s="2659"/>
      <c r="I67" s="2659"/>
      <c r="J67" s="2659"/>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topLeftCell="A31" workbookViewId="0">
      <selection activeCell="M65" sqref="M65"/>
    </sheetView>
  </sheetViews>
  <sheetFormatPr defaultRowHeight="13.5"/>
  <cols>
    <col min="1" max="1" width="30" customWidth="1"/>
    <col min="10" max="10" width="19.125" customWidth="1"/>
  </cols>
  <sheetData>
    <row r="1" spans="1:16">
      <c r="A1" t="s">
        <v>3037</v>
      </c>
      <c r="B1" t="s">
        <v>3038</v>
      </c>
      <c r="C1" t="s">
        <v>3039</v>
      </c>
      <c r="D1" t="s">
        <v>3040</v>
      </c>
      <c r="E1" t="s">
        <v>3041</v>
      </c>
      <c r="F1" t="s">
        <v>3042</v>
      </c>
      <c r="G1" t="s">
        <v>3043</v>
      </c>
      <c r="H1" t="s">
        <v>2021</v>
      </c>
      <c r="I1" t="s">
        <v>3044</v>
      </c>
      <c r="J1" t="s">
        <v>3045</v>
      </c>
      <c r="K1" t="s">
        <v>3046</v>
      </c>
      <c r="L1" t="s">
        <v>3047</v>
      </c>
      <c r="M1" t="s">
        <v>3048</v>
      </c>
      <c r="N1" t="s">
        <v>3049</v>
      </c>
      <c r="O1" t="s">
        <v>3050</v>
      </c>
      <c r="P1" t="s">
        <v>3051</v>
      </c>
    </row>
    <row r="2" spans="1:16" s="3284" customFormat="1">
      <c r="A2" s="3291" t="s">
        <v>3192</v>
      </c>
      <c r="B2" s="3284" t="s">
        <v>3053</v>
      </c>
      <c r="C2" s="3284" t="s">
        <v>3054</v>
      </c>
      <c r="D2" s="3284" t="s">
        <v>3055</v>
      </c>
      <c r="E2" s="3284" t="s">
        <v>3107</v>
      </c>
      <c r="F2" s="3284">
        <v>2263</v>
      </c>
      <c r="G2" s="3284">
        <v>4526</v>
      </c>
      <c r="H2" s="3284">
        <v>1.99</v>
      </c>
      <c r="I2" s="3284" t="s">
        <v>3125</v>
      </c>
      <c r="J2" s="3284" t="s">
        <v>3139</v>
      </c>
      <c r="K2" s="3284">
        <v>375.1</v>
      </c>
      <c r="L2" s="3284">
        <v>110.5</v>
      </c>
      <c r="M2" s="3284">
        <v>828.76</v>
      </c>
      <c r="N2" s="3284">
        <v>0.46</v>
      </c>
      <c r="O2" s="3284" t="s">
        <v>3060</v>
      </c>
      <c r="P2" s="3284" t="s">
        <v>3061</v>
      </c>
    </row>
    <row r="3" spans="1:16" s="3284" customFormat="1">
      <c r="A3" s="3284" t="s">
        <v>3138</v>
      </c>
      <c r="B3" s="3284" t="s">
        <v>3053</v>
      </c>
      <c r="C3" s="3284" t="s">
        <v>3054</v>
      </c>
      <c r="D3" s="3284" t="s">
        <v>3055</v>
      </c>
      <c r="E3" s="3284" t="s">
        <v>3107</v>
      </c>
      <c r="F3" s="3284">
        <v>52188</v>
      </c>
      <c r="G3" s="3284">
        <v>104376</v>
      </c>
      <c r="H3" s="3284">
        <v>1.99</v>
      </c>
      <c r="I3" s="3284" t="s">
        <v>3125</v>
      </c>
      <c r="J3" s="3284" t="s">
        <v>3139</v>
      </c>
      <c r="K3" s="3284">
        <v>8611.02</v>
      </c>
      <c r="L3" s="3284">
        <v>110</v>
      </c>
      <c r="M3" s="3284">
        <v>825</v>
      </c>
      <c r="N3" s="3284">
        <v>0</v>
      </c>
      <c r="O3" s="3284" t="s">
        <v>3060</v>
      </c>
      <c r="P3" s="3284" t="s">
        <v>3065</v>
      </c>
    </row>
    <row r="4" spans="1:16" s="3284" customFormat="1">
      <c r="A4" s="3284" t="s">
        <v>3138</v>
      </c>
      <c r="B4" s="3284" t="s">
        <v>3053</v>
      </c>
      <c r="C4" s="3284" t="s">
        <v>3054</v>
      </c>
      <c r="D4" s="3284" t="s">
        <v>3055</v>
      </c>
      <c r="E4" s="3284" t="s">
        <v>3107</v>
      </c>
      <c r="F4" s="3284">
        <v>39441</v>
      </c>
      <c r="G4" s="3284">
        <v>78882</v>
      </c>
      <c r="H4" s="3284">
        <v>1.99</v>
      </c>
      <c r="I4" s="3284" t="s">
        <v>3125</v>
      </c>
      <c r="J4" s="3284" t="s">
        <v>3139</v>
      </c>
      <c r="K4" s="3284">
        <v>6507.77</v>
      </c>
      <c r="L4" s="3284">
        <v>110</v>
      </c>
      <c r="M4" s="3284">
        <v>825</v>
      </c>
      <c r="N4" s="3284">
        <v>0</v>
      </c>
      <c r="O4" s="3284" t="s">
        <v>3060</v>
      </c>
      <c r="P4" s="3284" t="s">
        <v>3065</v>
      </c>
    </row>
    <row r="9" spans="1:16">
      <c r="A9" t="s">
        <v>3037</v>
      </c>
      <c r="B9" t="s">
        <v>3038</v>
      </c>
      <c r="C9" t="s">
        <v>3039</v>
      </c>
      <c r="D9" t="s">
        <v>3040</v>
      </c>
      <c r="E9" t="s">
        <v>3041</v>
      </c>
      <c r="F9" t="s">
        <v>3042</v>
      </c>
      <c r="G9" t="s">
        <v>3043</v>
      </c>
      <c r="H9" t="s">
        <v>2021</v>
      </c>
      <c r="I9" t="s">
        <v>3044</v>
      </c>
      <c r="J9" t="s">
        <v>3045</v>
      </c>
      <c r="K9" t="s">
        <v>3046</v>
      </c>
      <c r="L9" t="s">
        <v>3047</v>
      </c>
      <c r="M9" t="s">
        <v>3048</v>
      </c>
      <c r="N9" t="s">
        <v>3049</v>
      </c>
      <c r="O9" t="s">
        <v>3050</v>
      </c>
      <c r="P9" t="s">
        <v>3051</v>
      </c>
    </row>
    <row r="10" spans="1:16">
      <c r="A10" t="s">
        <v>3052</v>
      </c>
      <c r="B10" t="s">
        <v>3053</v>
      </c>
      <c r="C10" t="s">
        <v>3054</v>
      </c>
      <c r="D10" t="s">
        <v>3055</v>
      </c>
      <c r="E10" t="s">
        <v>3056</v>
      </c>
      <c r="F10">
        <v>39388</v>
      </c>
      <c r="G10">
        <v>59082</v>
      </c>
      <c r="H10" t="s">
        <v>3057</v>
      </c>
      <c r="I10" t="s">
        <v>3058</v>
      </c>
      <c r="J10" t="s">
        <v>3059</v>
      </c>
      <c r="K10">
        <v>13588.86</v>
      </c>
      <c r="L10">
        <v>230</v>
      </c>
      <c r="M10">
        <v>2300</v>
      </c>
      <c r="N10">
        <v>0</v>
      </c>
      <c r="O10" t="s">
        <v>3060</v>
      </c>
      <c r="P10" t="s">
        <v>3061</v>
      </c>
    </row>
    <row r="11" spans="1:16">
      <c r="A11" t="s">
        <v>3062</v>
      </c>
      <c r="B11" t="s">
        <v>3053</v>
      </c>
      <c r="C11" t="s">
        <v>3054</v>
      </c>
      <c r="D11" t="s">
        <v>3055</v>
      </c>
      <c r="E11" t="s">
        <v>3056</v>
      </c>
      <c r="F11">
        <v>386</v>
      </c>
      <c r="G11">
        <v>617.6</v>
      </c>
      <c r="H11" t="s">
        <v>3063</v>
      </c>
      <c r="I11" t="s">
        <v>3058</v>
      </c>
      <c r="J11" t="s">
        <v>3064</v>
      </c>
      <c r="K11">
        <v>43.42</v>
      </c>
      <c r="L11">
        <v>74.989999999999995</v>
      </c>
      <c r="M11">
        <v>703.21</v>
      </c>
      <c r="N11">
        <v>0</v>
      </c>
      <c r="O11" t="s">
        <v>3060</v>
      </c>
      <c r="P11" t="s">
        <v>3065</v>
      </c>
    </row>
    <row r="12" spans="1:16">
      <c r="A12" t="s">
        <v>3066</v>
      </c>
      <c r="B12" t="s">
        <v>3053</v>
      </c>
      <c r="C12" t="s">
        <v>3054</v>
      </c>
      <c r="D12" t="s">
        <v>3055</v>
      </c>
      <c r="E12" t="s">
        <v>3056</v>
      </c>
      <c r="F12">
        <v>49205</v>
      </c>
      <c r="G12">
        <v>73807.5</v>
      </c>
      <c r="H12" t="s">
        <v>3057</v>
      </c>
      <c r="I12" t="s">
        <v>3058</v>
      </c>
      <c r="J12" t="s">
        <v>3067</v>
      </c>
      <c r="K12">
        <v>4723.68</v>
      </c>
      <c r="L12">
        <v>64</v>
      </c>
      <c r="M12">
        <v>640</v>
      </c>
      <c r="N12">
        <v>0</v>
      </c>
      <c r="O12" t="s">
        <v>3060</v>
      </c>
      <c r="P12" t="s">
        <v>3065</v>
      </c>
    </row>
    <row r="13" spans="1:16">
      <c r="A13" t="s">
        <v>3062</v>
      </c>
      <c r="B13" t="s">
        <v>3053</v>
      </c>
      <c r="C13" t="s">
        <v>3054</v>
      </c>
      <c r="D13" t="s">
        <v>3055</v>
      </c>
      <c r="E13" t="s">
        <v>3056</v>
      </c>
      <c r="F13">
        <v>33691</v>
      </c>
      <c r="G13">
        <v>53905.599999999999</v>
      </c>
      <c r="H13" t="s">
        <v>3063</v>
      </c>
      <c r="I13" t="s">
        <v>3058</v>
      </c>
      <c r="J13" t="s">
        <v>3068</v>
      </c>
      <c r="K13">
        <v>3790.23</v>
      </c>
      <c r="L13">
        <v>75</v>
      </c>
      <c r="M13">
        <v>703.12</v>
      </c>
      <c r="N13">
        <v>0</v>
      </c>
      <c r="O13" t="s">
        <v>3060</v>
      </c>
      <c r="P13" t="s">
        <v>3065</v>
      </c>
    </row>
    <row r="14" spans="1:16">
      <c r="A14" t="s">
        <v>3066</v>
      </c>
      <c r="B14" t="s">
        <v>3053</v>
      </c>
      <c r="C14" t="s">
        <v>3054</v>
      </c>
      <c r="D14" t="s">
        <v>3055</v>
      </c>
      <c r="E14" t="s">
        <v>3056</v>
      </c>
      <c r="F14">
        <v>32724</v>
      </c>
      <c r="G14">
        <v>49086</v>
      </c>
      <c r="H14" t="s">
        <v>3057</v>
      </c>
      <c r="I14" t="s">
        <v>3058</v>
      </c>
      <c r="J14" t="s">
        <v>3067</v>
      </c>
      <c r="K14">
        <v>3141.5</v>
      </c>
      <c r="L14">
        <v>64</v>
      </c>
      <c r="M14">
        <v>640</v>
      </c>
      <c r="N14">
        <v>0</v>
      </c>
      <c r="O14" t="s">
        <v>3060</v>
      </c>
      <c r="P14" t="s">
        <v>3069</v>
      </c>
    </row>
    <row r="15" spans="1:16">
      <c r="A15" t="s">
        <v>3070</v>
      </c>
      <c r="B15" t="s">
        <v>3053</v>
      </c>
      <c r="C15" t="s">
        <v>3054</v>
      </c>
      <c r="D15" t="s">
        <v>3055</v>
      </c>
      <c r="E15" t="s">
        <v>3056</v>
      </c>
      <c r="F15">
        <v>32690</v>
      </c>
      <c r="G15">
        <v>45766</v>
      </c>
      <c r="H15" t="s">
        <v>3071</v>
      </c>
      <c r="I15" t="s">
        <v>3058</v>
      </c>
      <c r="J15" t="s">
        <v>3072</v>
      </c>
      <c r="K15">
        <v>2451.75</v>
      </c>
      <c r="L15">
        <v>50</v>
      </c>
      <c r="M15">
        <v>535.71</v>
      </c>
      <c r="N15">
        <v>0</v>
      </c>
      <c r="O15" t="s">
        <v>3060</v>
      </c>
      <c r="P15" t="s">
        <v>3069</v>
      </c>
    </row>
    <row r="16" spans="1:16">
      <c r="A16" t="s">
        <v>3066</v>
      </c>
      <c r="B16" t="s">
        <v>3053</v>
      </c>
      <c r="C16" t="s">
        <v>3054</v>
      </c>
      <c r="D16" t="s">
        <v>3055</v>
      </c>
      <c r="E16" t="s">
        <v>3056</v>
      </c>
      <c r="F16">
        <v>4480</v>
      </c>
      <c r="G16">
        <v>6720</v>
      </c>
      <c r="H16" t="s">
        <v>3057</v>
      </c>
      <c r="I16" t="s">
        <v>3058</v>
      </c>
      <c r="J16" t="s">
        <v>3067</v>
      </c>
      <c r="K16">
        <v>430.07</v>
      </c>
      <c r="L16">
        <v>64</v>
      </c>
      <c r="M16">
        <v>640</v>
      </c>
      <c r="N16">
        <v>0</v>
      </c>
      <c r="O16" t="s">
        <v>3060</v>
      </c>
      <c r="P16" t="s">
        <v>3065</v>
      </c>
    </row>
    <row r="17" spans="1:16">
      <c r="A17" t="s">
        <v>3066</v>
      </c>
      <c r="B17" t="s">
        <v>3053</v>
      </c>
      <c r="C17" t="s">
        <v>3054</v>
      </c>
      <c r="D17" t="s">
        <v>3055</v>
      </c>
      <c r="E17" t="s">
        <v>3056</v>
      </c>
      <c r="F17">
        <v>34548</v>
      </c>
      <c r="G17">
        <v>51822</v>
      </c>
      <c r="H17" t="s">
        <v>3057</v>
      </c>
      <c r="I17" t="s">
        <v>3058</v>
      </c>
      <c r="J17" t="s">
        <v>3067</v>
      </c>
      <c r="K17">
        <v>3316.61</v>
      </c>
      <c r="L17">
        <v>64</v>
      </c>
      <c r="M17">
        <v>640</v>
      </c>
      <c r="N17">
        <v>0</v>
      </c>
      <c r="O17" t="s">
        <v>3060</v>
      </c>
      <c r="P17" t="s">
        <v>3065</v>
      </c>
    </row>
    <row r="18" spans="1:16">
      <c r="A18" t="s">
        <v>3073</v>
      </c>
      <c r="B18" t="s">
        <v>3053</v>
      </c>
      <c r="C18" t="s">
        <v>3054</v>
      </c>
      <c r="D18" t="s">
        <v>3055</v>
      </c>
      <c r="E18" t="s">
        <v>3056</v>
      </c>
      <c r="F18">
        <v>45142</v>
      </c>
      <c r="G18">
        <v>99312.4</v>
      </c>
      <c r="H18" t="s">
        <v>3074</v>
      </c>
      <c r="I18" t="s">
        <v>3075</v>
      </c>
      <c r="J18" t="s">
        <v>3076</v>
      </c>
      <c r="K18">
        <v>8125.56</v>
      </c>
      <c r="L18">
        <v>120</v>
      </c>
      <c r="M18">
        <v>818.17</v>
      </c>
      <c r="N18">
        <v>0</v>
      </c>
      <c r="O18" t="s">
        <v>3060</v>
      </c>
      <c r="P18" t="s">
        <v>3061</v>
      </c>
    </row>
    <row r="19" spans="1:16">
      <c r="A19" t="s">
        <v>3077</v>
      </c>
      <c r="B19" t="s">
        <v>3053</v>
      </c>
      <c r="C19" t="s">
        <v>3054</v>
      </c>
      <c r="D19" t="s">
        <v>3055</v>
      </c>
      <c r="E19" t="s">
        <v>3056</v>
      </c>
      <c r="F19">
        <v>39450</v>
      </c>
      <c r="G19">
        <v>51285</v>
      </c>
      <c r="H19" t="s">
        <v>3078</v>
      </c>
      <c r="I19" t="s">
        <v>3079</v>
      </c>
      <c r="J19" t="s">
        <v>3080</v>
      </c>
      <c r="K19">
        <v>3550.5</v>
      </c>
      <c r="L19">
        <v>60</v>
      </c>
      <c r="M19">
        <v>692.3</v>
      </c>
      <c r="N19">
        <v>0</v>
      </c>
      <c r="O19" t="s">
        <v>3060</v>
      </c>
      <c r="P19" t="s">
        <v>3081</v>
      </c>
    </row>
    <row r="20" spans="1:16">
      <c r="A20" t="s">
        <v>3077</v>
      </c>
      <c r="B20" t="s">
        <v>3053</v>
      </c>
      <c r="C20" t="s">
        <v>3054</v>
      </c>
      <c r="D20" t="s">
        <v>3055</v>
      </c>
      <c r="E20" t="s">
        <v>3056</v>
      </c>
      <c r="F20">
        <v>10575</v>
      </c>
      <c r="G20">
        <v>13747.5</v>
      </c>
      <c r="H20" t="s">
        <v>3078</v>
      </c>
      <c r="I20" t="s">
        <v>3079</v>
      </c>
      <c r="J20" t="s">
        <v>3080</v>
      </c>
      <c r="K20">
        <v>951.75</v>
      </c>
      <c r="L20">
        <v>60</v>
      </c>
      <c r="M20">
        <v>692.3</v>
      </c>
      <c r="N20">
        <v>0</v>
      </c>
      <c r="O20" t="s">
        <v>3060</v>
      </c>
      <c r="P20" t="s">
        <v>3081</v>
      </c>
    </row>
    <row r="21" spans="1:16">
      <c r="A21" s="3247" t="s">
        <v>3194</v>
      </c>
      <c r="B21" t="s">
        <v>3053</v>
      </c>
      <c r="C21" t="s">
        <v>3054</v>
      </c>
      <c r="D21" t="s">
        <v>3055</v>
      </c>
      <c r="E21" t="s">
        <v>3056</v>
      </c>
      <c r="F21">
        <v>4800</v>
      </c>
      <c r="G21">
        <v>7200</v>
      </c>
      <c r="H21" t="s">
        <v>3057</v>
      </c>
      <c r="I21" t="s">
        <v>3079</v>
      </c>
      <c r="J21" t="s">
        <v>3082</v>
      </c>
      <c r="K21">
        <v>864</v>
      </c>
      <c r="L21">
        <v>120</v>
      </c>
      <c r="M21">
        <v>1200</v>
      </c>
      <c r="N21">
        <v>0</v>
      </c>
      <c r="O21" t="s">
        <v>3060</v>
      </c>
      <c r="P21" t="s">
        <v>3065</v>
      </c>
    </row>
    <row r="22" spans="1:16">
      <c r="A22" t="s">
        <v>3083</v>
      </c>
      <c r="B22" t="s">
        <v>3053</v>
      </c>
      <c r="C22" t="s">
        <v>3054</v>
      </c>
      <c r="D22" t="s">
        <v>3055</v>
      </c>
      <c r="E22" t="s">
        <v>3056</v>
      </c>
      <c r="F22">
        <v>49104</v>
      </c>
      <c r="G22">
        <v>78566.399999999994</v>
      </c>
      <c r="H22" t="s">
        <v>3063</v>
      </c>
      <c r="I22" t="s">
        <v>3079</v>
      </c>
      <c r="J22" t="s">
        <v>3084</v>
      </c>
      <c r="K22">
        <v>18782.27</v>
      </c>
      <c r="L22">
        <v>255</v>
      </c>
      <c r="M22">
        <v>2390.61</v>
      </c>
      <c r="N22">
        <v>0</v>
      </c>
      <c r="O22" t="s">
        <v>3060</v>
      </c>
      <c r="P22" t="s">
        <v>3061</v>
      </c>
    </row>
    <row r="23" spans="1:16">
      <c r="A23" t="s">
        <v>3085</v>
      </c>
      <c r="B23" t="s">
        <v>3053</v>
      </c>
      <c r="C23" t="s">
        <v>3054</v>
      </c>
      <c r="D23" t="s">
        <v>3055</v>
      </c>
      <c r="E23" t="s">
        <v>3056</v>
      </c>
      <c r="F23">
        <v>4212</v>
      </c>
      <c r="G23">
        <v>7581.6</v>
      </c>
      <c r="H23" t="s">
        <v>3086</v>
      </c>
      <c r="I23" t="s">
        <v>3079</v>
      </c>
      <c r="J23" t="s">
        <v>3087</v>
      </c>
      <c r="K23">
        <v>1130.92</v>
      </c>
      <c r="L23">
        <v>179</v>
      </c>
      <c r="M23">
        <v>1491.66</v>
      </c>
      <c r="N23">
        <v>0</v>
      </c>
      <c r="O23" t="s">
        <v>3060</v>
      </c>
      <c r="P23" t="s">
        <v>3088</v>
      </c>
    </row>
    <row r="24" spans="1:16">
      <c r="A24" t="s">
        <v>3077</v>
      </c>
      <c r="B24" t="s">
        <v>3053</v>
      </c>
      <c r="C24" t="s">
        <v>3054</v>
      </c>
      <c r="D24" t="s">
        <v>3055</v>
      </c>
      <c r="E24" t="s">
        <v>3056</v>
      </c>
      <c r="F24">
        <v>18823</v>
      </c>
      <c r="G24">
        <v>24469.9</v>
      </c>
      <c r="H24" t="s">
        <v>3078</v>
      </c>
      <c r="I24" t="s">
        <v>3079</v>
      </c>
      <c r="J24" t="s">
        <v>3080</v>
      </c>
      <c r="K24">
        <v>1694.06</v>
      </c>
      <c r="L24">
        <v>60</v>
      </c>
      <c r="M24">
        <v>692.3</v>
      </c>
      <c r="N24">
        <v>0</v>
      </c>
      <c r="O24" t="s">
        <v>3060</v>
      </c>
      <c r="P24" t="s">
        <v>3081</v>
      </c>
    </row>
    <row r="25" spans="1:16">
      <c r="A25" t="s">
        <v>3089</v>
      </c>
      <c r="B25" t="s">
        <v>3053</v>
      </c>
      <c r="C25" t="s">
        <v>3054</v>
      </c>
      <c r="D25" t="s">
        <v>3055</v>
      </c>
      <c r="E25" t="s">
        <v>3056</v>
      </c>
      <c r="F25">
        <v>12781</v>
      </c>
      <c r="G25">
        <v>16615.3</v>
      </c>
      <c r="H25" t="s">
        <v>3078</v>
      </c>
      <c r="I25" t="s">
        <v>3079</v>
      </c>
      <c r="J25" t="s">
        <v>3084</v>
      </c>
      <c r="K25">
        <v>575.14</v>
      </c>
      <c r="L25">
        <v>30</v>
      </c>
      <c r="M25">
        <v>346.16</v>
      </c>
      <c r="N25">
        <v>0</v>
      </c>
      <c r="O25" t="s">
        <v>3060</v>
      </c>
      <c r="P25" t="s">
        <v>3065</v>
      </c>
    </row>
    <row r="26" spans="1:16">
      <c r="A26" t="s">
        <v>3090</v>
      </c>
      <c r="B26" t="s">
        <v>3053</v>
      </c>
      <c r="C26" t="s">
        <v>3054</v>
      </c>
      <c r="D26" t="s">
        <v>3055</v>
      </c>
      <c r="E26" t="s">
        <v>3056</v>
      </c>
      <c r="F26">
        <v>18119</v>
      </c>
      <c r="G26">
        <v>36238</v>
      </c>
      <c r="H26" t="s">
        <v>3091</v>
      </c>
      <c r="I26" t="s">
        <v>3092</v>
      </c>
      <c r="J26" t="s">
        <v>3093</v>
      </c>
      <c r="K26">
        <v>7093.76</v>
      </c>
      <c r="L26">
        <v>261.01</v>
      </c>
      <c r="M26">
        <v>1957.54</v>
      </c>
      <c r="N26">
        <v>74</v>
      </c>
      <c r="O26" t="s">
        <v>3060</v>
      </c>
      <c r="P26" t="s">
        <v>3061</v>
      </c>
    </row>
    <row r="27" spans="1:16">
      <c r="A27" t="s">
        <v>3094</v>
      </c>
      <c r="B27" t="s">
        <v>3053</v>
      </c>
      <c r="C27" t="s">
        <v>3054</v>
      </c>
      <c r="D27" t="s">
        <v>3055</v>
      </c>
      <c r="E27" t="s">
        <v>3056</v>
      </c>
      <c r="F27">
        <v>29094</v>
      </c>
      <c r="G27">
        <v>34912.800000000003</v>
      </c>
      <c r="H27" t="s">
        <v>3095</v>
      </c>
      <c r="I27" t="s">
        <v>3092</v>
      </c>
      <c r="J27" t="s">
        <v>3096</v>
      </c>
      <c r="K27">
        <v>5236.92</v>
      </c>
      <c r="L27">
        <v>120</v>
      </c>
      <c r="M27">
        <v>1500</v>
      </c>
      <c r="N27">
        <v>0</v>
      </c>
      <c r="O27" t="s">
        <v>3060</v>
      </c>
      <c r="P27" t="s">
        <v>3061</v>
      </c>
    </row>
    <row r="28" spans="1:16">
      <c r="A28" t="s">
        <v>3094</v>
      </c>
      <c r="B28" t="s">
        <v>3053</v>
      </c>
      <c r="C28" t="s">
        <v>3054</v>
      </c>
      <c r="D28" t="s">
        <v>3055</v>
      </c>
      <c r="E28" t="s">
        <v>3056</v>
      </c>
      <c r="F28">
        <v>31860</v>
      </c>
      <c r="G28">
        <v>38232</v>
      </c>
      <c r="H28" t="s">
        <v>3095</v>
      </c>
      <c r="I28" t="s">
        <v>3092</v>
      </c>
      <c r="J28" t="s">
        <v>3096</v>
      </c>
      <c r="K28">
        <v>4779</v>
      </c>
      <c r="L28">
        <v>100</v>
      </c>
      <c r="M28">
        <v>1250</v>
      </c>
      <c r="N28">
        <v>0</v>
      </c>
      <c r="O28" t="s">
        <v>3060</v>
      </c>
      <c r="P28" t="s">
        <v>3061</v>
      </c>
    </row>
    <row r="29" spans="1:16">
      <c r="A29" t="s">
        <v>3097</v>
      </c>
      <c r="B29" t="s">
        <v>3053</v>
      </c>
      <c r="C29" t="s">
        <v>3054</v>
      </c>
      <c r="D29" t="s">
        <v>3055</v>
      </c>
      <c r="E29" t="s">
        <v>3056</v>
      </c>
      <c r="F29">
        <v>10691</v>
      </c>
      <c r="G29">
        <v>19243.8</v>
      </c>
      <c r="H29" t="s">
        <v>3086</v>
      </c>
      <c r="I29" t="s">
        <v>3098</v>
      </c>
      <c r="J29" t="s">
        <v>3099</v>
      </c>
      <c r="K29">
        <v>3367.67</v>
      </c>
      <c r="L29">
        <v>210</v>
      </c>
      <c r="M29">
        <v>1750</v>
      </c>
      <c r="N29">
        <v>0</v>
      </c>
      <c r="O29" t="s">
        <v>3060</v>
      </c>
      <c r="P29" t="s">
        <v>3088</v>
      </c>
    </row>
    <row r="30" spans="1:16">
      <c r="A30" t="s">
        <v>3097</v>
      </c>
      <c r="B30" t="s">
        <v>3053</v>
      </c>
      <c r="C30" t="s">
        <v>3054</v>
      </c>
      <c r="D30" t="s">
        <v>3055</v>
      </c>
      <c r="E30" t="s">
        <v>3056</v>
      </c>
      <c r="F30">
        <v>22635</v>
      </c>
      <c r="G30">
        <v>40743</v>
      </c>
      <c r="H30" t="s">
        <v>3086</v>
      </c>
      <c r="I30" t="s">
        <v>3100</v>
      </c>
      <c r="J30" t="s">
        <v>3099</v>
      </c>
      <c r="K30">
        <v>7147.01</v>
      </c>
      <c r="L30">
        <v>210.5</v>
      </c>
      <c r="M30">
        <v>1754.17</v>
      </c>
      <c r="N30">
        <v>0.24</v>
      </c>
      <c r="O30" t="s">
        <v>3060</v>
      </c>
      <c r="P30" t="s">
        <v>3088</v>
      </c>
    </row>
    <row r="31" spans="1:16">
      <c r="A31" t="s">
        <v>3101</v>
      </c>
      <c r="B31" t="s">
        <v>3053</v>
      </c>
      <c r="C31" t="s">
        <v>3054</v>
      </c>
      <c r="D31" t="s">
        <v>3055</v>
      </c>
      <c r="E31" t="s">
        <v>3056</v>
      </c>
      <c r="F31">
        <v>22240.59</v>
      </c>
      <c r="G31">
        <v>48929.3</v>
      </c>
      <c r="H31" t="s">
        <v>3074</v>
      </c>
      <c r="I31" t="s">
        <v>3102</v>
      </c>
      <c r="J31" t="s">
        <v>3103</v>
      </c>
      <c r="K31">
        <v>4003.3</v>
      </c>
      <c r="L31">
        <v>120</v>
      </c>
      <c r="M31">
        <v>818.17</v>
      </c>
      <c r="N31">
        <v>0</v>
      </c>
      <c r="O31" t="s">
        <v>3060</v>
      </c>
      <c r="P31" t="s">
        <v>3065</v>
      </c>
    </row>
    <row r="32" spans="1:16">
      <c r="A32" t="s">
        <v>3101</v>
      </c>
      <c r="B32" t="s">
        <v>3053</v>
      </c>
      <c r="C32" t="s">
        <v>3054</v>
      </c>
      <c r="D32" t="s">
        <v>3055</v>
      </c>
      <c r="E32" t="s">
        <v>3056</v>
      </c>
      <c r="F32">
        <v>8442</v>
      </c>
      <c r="G32">
        <v>18572.400000000001</v>
      </c>
      <c r="H32" t="s">
        <v>3074</v>
      </c>
      <c r="I32" t="s">
        <v>3102</v>
      </c>
      <c r="J32" t="s">
        <v>3103</v>
      </c>
      <c r="K32">
        <v>1519.55</v>
      </c>
      <c r="L32">
        <v>120</v>
      </c>
      <c r="M32">
        <v>818.17</v>
      </c>
      <c r="N32">
        <v>0</v>
      </c>
      <c r="O32" t="s">
        <v>3060</v>
      </c>
      <c r="P32" t="s">
        <v>3065</v>
      </c>
    </row>
    <row r="33" spans="1:16">
      <c r="A33" t="s">
        <v>3104</v>
      </c>
      <c r="B33" t="s">
        <v>3053</v>
      </c>
      <c r="C33" t="s">
        <v>3054</v>
      </c>
      <c r="D33" t="s">
        <v>3055</v>
      </c>
      <c r="E33" t="s">
        <v>3056</v>
      </c>
      <c r="F33">
        <v>13975</v>
      </c>
      <c r="G33">
        <v>22360</v>
      </c>
      <c r="H33" t="s">
        <v>3063</v>
      </c>
      <c r="I33" t="s">
        <v>3105</v>
      </c>
      <c r="J33" t="s">
        <v>3059</v>
      </c>
      <c r="K33">
        <v>2829.94</v>
      </c>
      <c r="L33">
        <v>135</v>
      </c>
      <c r="M33">
        <v>1265.6300000000001</v>
      </c>
      <c r="N33">
        <v>0</v>
      </c>
      <c r="O33" t="s">
        <v>3060</v>
      </c>
      <c r="P33" t="s">
        <v>3061</v>
      </c>
    </row>
    <row r="34" spans="1:16">
      <c r="A34" t="s">
        <v>3106</v>
      </c>
      <c r="B34" t="s">
        <v>3053</v>
      </c>
      <c r="C34" t="s">
        <v>3054</v>
      </c>
      <c r="D34" t="s">
        <v>3055</v>
      </c>
      <c r="E34" t="s">
        <v>3107</v>
      </c>
      <c r="F34">
        <v>2599</v>
      </c>
      <c r="G34">
        <v>3898.5</v>
      </c>
      <c r="H34" t="s">
        <v>3057</v>
      </c>
      <c r="I34" t="s">
        <v>3108</v>
      </c>
      <c r="J34" t="s">
        <v>3109</v>
      </c>
      <c r="K34">
        <v>896.65</v>
      </c>
      <c r="L34">
        <v>230</v>
      </c>
      <c r="M34">
        <v>2300.0100000000002</v>
      </c>
      <c r="N34">
        <v>0</v>
      </c>
      <c r="O34" t="s">
        <v>3060</v>
      </c>
      <c r="P34" t="s">
        <v>3061</v>
      </c>
    </row>
    <row r="35" spans="1:16">
      <c r="A35" t="s">
        <v>3106</v>
      </c>
      <c r="B35" t="s">
        <v>3053</v>
      </c>
      <c r="C35" t="s">
        <v>3054</v>
      </c>
      <c r="D35" t="s">
        <v>3055</v>
      </c>
      <c r="E35" t="s">
        <v>3107</v>
      </c>
      <c r="F35">
        <v>3654</v>
      </c>
      <c r="G35">
        <v>5481</v>
      </c>
      <c r="H35" t="s">
        <v>3057</v>
      </c>
      <c r="I35" t="s">
        <v>3108</v>
      </c>
      <c r="J35" t="s">
        <v>3109</v>
      </c>
      <c r="K35">
        <v>1260.6300000000001</v>
      </c>
      <c r="L35">
        <v>230</v>
      </c>
      <c r="M35">
        <v>2300</v>
      </c>
      <c r="N35">
        <v>0</v>
      </c>
      <c r="O35" t="s">
        <v>3060</v>
      </c>
      <c r="P35" t="s">
        <v>3088</v>
      </c>
    </row>
    <row r="36" spans="1:16">
      <c r="A36" t="s">
        <v>3110</v>
      </c>
      <c r="B36" t="s">
        <v>3053</v>
      </c>
      <c r="C36" t="s">
        <v>3054</v>
      </c>
      <c r="D36" t="s">
        <v>3055</v>
      </c>
      <c r="E36" t="s">
        <v>3107</v>
      </c>
      <c r="F36">
        <v>3332</v>
      </c>
      <c r="G36">
        <v>4998</v>
      </c>
      <c r="H36" t="s">
        <v>3111</v>
      </c>
      <c r="I36" t="s">
        <v>3112</v>
      </c>
      <c r="J36" t="s">
        <v>3067</v>
      </c>
      <c r="K36">
        <v>374.85</v>
      </c>
      <c r="L36">
        <v>75</v>
      </c>
      <c r="M36">
        <v>750</v>
      </c>
      <c r="N36">
        <v>0</v>
      </c>
      <c r="O36" t="s">
        <v>3060</v>
      </c>
      <c r="P36" t="s">
        <v>3081</v>
      </c>
    </row>
    <row r="37" spans="1:16">
      <c r="A37" t="s">
        <v>3113</v>
      </c>
      <c r="B37" t="s">
        <v>3053</v>
      </c>
      <c r="C37" t="s">
        <v>3054</v>
      </c>
      <c r="D37" t="s">
        <v>3055</v>
      </c>
      <c r="E37" t="s">
        <v>3107</v>
      </c>
      <c r="F37">
        <v>9750</v>
      </c>
      <c r="G37">
        <v>13650</v>
      </c>
      <c r="H37" t="s">
        <v>3071</v>
      </c>
      <c r="I37" t="s">
        <v>3112</v>
      </c>
      <c r="J37" t="s">
        <v>3008</v>
      </c>
      <c r="K37">
        <v>1330.88</v>
      </c>
      <c r="L37">
        <v>91</v>
      </c>
      <c r="M37">
        <v>975</v>
      </c>
      <c r="N37">
        <v>0</v>
      </c>
      <c r="O37" t="s">
        <v>3060</v>
      </c>
      <c r="P37" t="s">
        <v>3065</v>
      </c>
    </row>
    <row r="38" spans="1:16">
      <c r="A38" t="s">
        <v>3114</v>
      </c>
      <c r="B38" t="s">
        <v>3053</v>
      </c>
      <c r="C38" t="s">
        <v>3054</v>
      </c>
      <c r="D38" t="s">
        <v>3055</v>
      </c>
      <c r="E38" t="s">
        <v>3107</v>
      </c>
      <c r="F38">
        <v>30545</v>
      </c>
      <c r="G38">
        <v>54981</v>
      </c>
      <c r="H38" t="s">
        <v>3086</v>
      </c>
      <c r="I38" t="s">
        <v>3115</v>
      </c>
      <c r="J38" t="s">
        <v>3116</v>
      </c>
      <c r="K38">
        <v>11252.78</v>
      </c>
      <c r="L38">
        <v>245.6</v>
      </c>
      <c r="M38">
        <v>2046.67</v>
      </c>
      <c r="N38">
        <v>0</v>
      </c>
      <c r="O38" t="s">
        <v>3060</v>
      </c>
      <c r="P38" t="s">
        <v>3061</v>
      </c>
    </row>
    <row r="39" spans="1:16">
      <c r="A39" t="s">
        <v>3117</v>
      </c>
      <c r="B39" t="s">
        <v>3053</v>
      </c>
      <c r="C39" t="s">
        <v>3054</v>
      </c>
      <c r="D39" t="s">
        <v>3055</v>
      </c>
      <c r="E39" t="s">
        <v>3107</v>
      </c>
      <c r="F39">
        <v>7151</v>
      </c>
      <c r="G39">
        <v>14302</v>
      </c>
      <c r="H39" t="s">
        <v>3091</v>
      </c>
      <c r="I39" t="s">
        <v>3118</v>
      </c>
      <c r="J39" t="s">
        <v>3119</v>
      </c>
      <c r="K39">
        <v>1019.01</v>
      </c>
      <c r="L39">
        <v>95</v>
      </c>
      <c r="M39">
        <v>712.5</v>
      </c>
      <c r="N39">
        <v>0</v>
      </c>
      <c r="O39" t="s">
        <v>3060</v>
      </c>
      <c r="P39" t="s">
        <v>3061</v>
      </c>
    </row>
    <row r="40" spans="1:16">
      <c r="A40" t="s">
        <v>3117</v>
      </c>
      <c r="B40" t="s">
        <v>3053</v>
      </c>
      <c r="C40" t="s">
        <v>3054</v>
      </c>
      <c r="D40" t="s">
        <v>3055</v>
      </c>
      <c r="E40" t="s">
        <v>3107</v>
      </c>
      <c r="F40">
        <v>17921</v>
      </c>
      <c r="G40">
        <v>35842</v>
      </c>
      <c r="H40" t="s">
        <v>3091</v>
      </c>
      <c r="I40" t="s">
        <v>3118</v>
      </c>
      <c r="J40" t="s">
        <v>3120</v>
      </c>
      <c r="K40">
        <v>2553.73</v>
      </c>
      <c r="L40">
        <v>95</v>
      </c>
      <c r="M40">
        <v>712.5</v>
      </c>
      <c r="N40">
        <v>0</v>
      </c>
      <c r="O40" t="s">
        <v>3060</v>
      </c>
      <c r="P40" t="s">
        <v>3061</v>
      </c>
    </row>
    <row r="41" spans="1:16">
      <c r="A41" t="s">
        <v>3117</v>
      </c>
      <c r="B41" t="s">
        <v>3053</v>
      </c>
      <c r="C41" t="s">
        <v>3054</v>
      </c>
      <c r="D41" t="s">
        <v>3055</v>
      </c>
      <c r="E41" t="s">
        <v>3107</v>
      </c>
      <c r="F41">
        <v>59464</v>
      </c>
      <c r="G41">
        <v>118928</v>
      </c>
      <c r="H41" t="s">
        <v>3091</v>
      </c>
      <c r="I41" t="s">
        <v>3118</v>
      </c>
      <c r="J41" t="s">
        <v>3120</v>
      </c>
      <c r="K41">
        <v>8473.6200000000008</v>
      </c>
      <c r="L41">
        <v>95</v>
      </c>
      <c r="M41">
        <v>712.5</v>
      </c>
      <c r="N41">
        <v>0</v>
      </c>
      <c r="O41" t="s">
        <v>3060</v>
      </c>
      <c r="P41" t="s">
        <v>3061</v>
      </c>
    </row>
    <row r="42" spans="1:16">
      <c r="A42" t="s">
        <v>3097</v>
      </c>
      <c r="B42" t="s">
        <v>3053</v>
      </c>
      <c r="C42" t="s">
        <v>3054</v>
      </c>
      <c r="D42" t="s">
        <v>3055</v>
      </c>
      <c r="E42" t="s">
        <v>3107</v>
      </c>
      <c r="F42">
        <v>13722</v>
      </c>
      <c r="G42">
        <v>24699.599999999999</v>
      </c>
      <c r="H42" t="s">
        <v>3086</v>
      </c>
      <c r="I42" t="s">
        <v>3121</v>
      </c>
      <c r="J42" t="s">
        <v>3099</v>
      </c>
      <c r="K42">
        <v>4322.43</v>
      </c>
      <c r="L42">
        <v>210</v>
      </c>
      <c r="M42">
        <v>1750</v>
      </c>
      <c r="N42">
        <v>0</v>
      </c>
      <c r="O42" t="s">
        <v>3060</v>
      </c>
      <c r="P42" t="s">
        <v>3088</v>
      </c>
    </row>
    <row r="43" spans="1:16">
      <c r="A43" t="s">
        <v>3097</v>
      </c>
      <c r="B43" t="s">
        <v>3053</v>
      </c>
      <c r="C43" t="s">
        <v>3054</v>
      </c>
      <c r="D43" t="s">
        <v>3055</v>
      </c>
      <c r="E43" t="s">
        <v>3107</v>
      </c>
      <c r="F43">
        <v>2246</v>
      </c>
      <c r="G43">
        <v>4042.8</v>
      </c>
      <c r="H43" t="s">
        <v>3086</v>
      </c>
      <c r="I43" t="s">
        <v>3121</v>
      </c>
      <c r="J43" t="s">
        <v>3122</v>
      </c>
      <c r="K43">
        <v>707.49</v>
      </c>
      <c r="L43">
        <v>210</v>
      </c>
      <c r="M43">
        <v>1750</v>
      </c>
      <c r="N43">
        <v>0</v>
      </c>
      <c r="O43" t="s">
        <v>3060</v>
      </c>
      <c r="P43" t="s">
        <v>3088</v>
      </c>
    </row>
    <row r="44" spans="1:16">
      <c r="A44" t="s">
        <v>3097</v>
      </c>
      <c r="B44" t="s">
        <v>3053</v>
      </c>
      <c r="C44" t="s">
        <v>3054</v>
      </c>
      <c r="D44" t="s">
        <v>3055</v>
      </c>
      <c r="E44" t="s">
        <v>3107</v>
      </c>
      <c r="F44">
        <v>827</v>
      </c>
      <c r="G44">
        <v>1488.6</v>
      </c>
      <c r="H44" t="s">
        <v>3086</v>
      </c>
      <c r="I44" t="s">
        <v>3121</v>
      </c>
      <c r="J44" t="s">
        <v>3122</v>
      </c>
      <c r="K44">
        <v>260.5</v>
      </c>
      <c r="L44">
        <v>210</v>
      </c>
      <c r="M44">
        <v>1750.02</v>
      </c>
      <c r="N44">
        <v>0</v>
      </c>
      <c r="O44" t="s">
        <v>3060</v>
      </c>
      <c r="P44" t="s">
        <v>3088</v>
      </c>
    </row>
    <row r="45" spans="1:16">
      <c r="A45" t="s">
        <v>3123</v>
      </c>
      <c r="B45" t="s">
        <v>3053</v>
      </c>
      <c r="C45" t="s">
        <v>3054</v>
      </c>
      <c r="D45" t="s">
        <v>3055</v>
      </c>
      <c r="E45" t="s">
        <v>3107</v>
      </c>
      <c r="F45">
        <v>23086</v>
      </c>
      <c r="G45">
        <v>53097.8</v>
      </c>
      <c r="H45" t="s">
        <v>3124</v>
      </c>
      <c r="I45" t="s">
        <v>3126</v>
      </c>
      <c r="J45" t="s">
        <v>3127</v>
      </c>
      <c r="K45">
        <v>12207.95</v>
      </c>
      <c r="L45">
        <v>352.54</v>
      </c>
      <c r="M45">
        <v>2299.15</v>
      </c>
      <c r="N45">
        <v>46.89</v>
      </c>
      <c r="O45" t="s">
        <v>3060</v>
      </c>
      <c r="P45" t="s">
        <v>3061</v>
      </c>
    </row>
    <row r="46" spans="1:16">
      <c r="A46" t="s">
        <v>3128</v>
      </c>
      <c r="B46" t="s">
        <v>3053</v>
      </c>
      <c r="C46" t="s">
        <v>3054</v>
      </c>
      <c r="D46" t="s">
        <v>3055</v>
      </c>
      <c r="E46" t="s">
        <v>3107</v>
      </c>
      <c r="F46">
        <v>13727</v>
      </c>
      <c r="G46">
        <v>16472.400000000001</v>
      </c>
      <c r="H46" t="s">
        <v>3095</v>
      </c>
      <c r="I46" t="s">
        <v>3126</v>
      </c>
      <c r="J46" t="s">
        <v>3084</v>
      </c>
      <c r="K46">
        <v>1029.52</v>
      </c>
      <c r="L46">
        <v>50</v>
      </c>
      <c r="M46">
        <v>625</v>
      </c>
      <c r="N46">
        <v>0</v>
      </c>
      <c r="O46" t="s">
        <v>3060</v>
      </c>
      <c r="P46" t="s">
        <v>3061</v>
      </c>
    </row>
    <row r="47" spans="1:16">
      <c r="A47" t="s">
        <v>3129</v>
      </c>
      <c r="B47" t="s">
        <v>3053</v>
      </c>
      <c r="C47" t="s">
        <v>3054</v>
      </c>
      <c r="D47" t="s">
        <v>3055</v>
      </c>
      <c r="E47" t="s">
        <v>3107</v>
      </c>
      <c r="F47">
        <v>5102</v>
      </c>
      <c r="G47">
        <v>8163.2</v>
      </c>
      <c r="H47" t="s">
        <v>3063</v>
      </c>
      <c r="I47" t="s">
        <v>3126</v>
      </c>
      <c r="J47" t="s">
        <v>3008</v>
      </c>
      <c r="K47">
        <v>994.88</v>
      </c>
      <c r="L47">
        <v>130</v>
      </c>
      <c r="M47">
        <v>1218.75</v>
      </c>
      <c r="N47">
        <v>0</v>
      </c>
      <c r="O47" t="s">
        <v>3060</v>
      </c>
      <c r="P47" t="s">
        <v>3088</v>
      </c>
    </row>
    <row r="48" spans="1:16">
      <c r="A48" t="s">
        <v>3130</v>
      </c>
      <c r="B48" t="s">
        <v>3053</v>
      </c>
      <c r="C48" t="s">
        <v>3054</v>
      </c>
      <c r="D48" t="s">
        <v>3055</v>
      </c>
      <c r="E48" t="s">
        <v>3107</v>
      </c>
      <c r="F48">
        <v>46737</v>
      </c>
      <c r="G48">
        <v>65431.8</v>
      </c>
      <c r="H48" t="s">
        <v>3071</v>
      </c>
      <c r="I48" t="s">
        <v>3126</v>
      </c>
      <c r="J48" t="s">
        <v>3084</v>
      </c>
      <c r="K48">
        <v>8412.65</v>
      </c>
      <c r="L48">
        <v>120</v>
      </c>
      <c r="M48">
        <v>1285.71</v>
      </c>
      <c r="N48">
        <v>0</v>
      </c>
      <c r="O48" t="s">
        <v>3060</v>
      </c>
      <c r="P48" t="s">
        <v>3065</v>
      </c>
    </row>
    <row r="49" spans="1:16">
      <c r="A49" t="s">
        <v>3131</v>
      </c>
      <c r="B49" t="s">
        <v>3053</v>
      </c>
      <c r="C49" t="s">
        <v>3054</v>
      </c>
      <c r="D49" t="s">
        <v>3055</v>
      </c>
      <c r="E49" t="s">
        <v>3107</v>
      </c>
      <c r="F49">
        <v>11054</v>
      </c>
      <c r="G49">
        <v>16581</v>
      </c>
      <c r="H49" t="s">
        <v>3111</v>
      </c>
      <c r="I49" t="s">
        <v>3132</v>
      </c>
      <c r="J49" t="s">
        <v>3084</v>
      </c>
      <c r="K49">
        <v>497.43</v>
      </c>
      <c r="L49">
        <v>30</v>
      </c>
      <c r="M49">
        <v>300</v>
      </c>
      <c r="N49">
        <v>0</v>
      </c>
      <c r="O49" t="s">
        <v>3060</v>
      </c>
      <c r="P49" t="s">
        <v>3065</v>
      </c>
    </row>
    <row r="50" spans="1:16">
      <c r="A50" t="s">
        <v>3133</v>
      </c>
      <c r="B50" t="s">
        <v>3053</v>
      </c>
      <c r="C50" t="s">
        <v>3054</v>
      </c>
      <c r="D50" t="s">
        <v>3055</v>
      </c>
      <c r="E50" t="s">
        <v>3107</v>
      </c>
      <c r="F50">
        <v>4410</v>
      </c>
      <c r="G50">
        <v>7056</v>
      </c>
      <c r="H50" t="s">
        <v>3063</v>
      </c>
      <c r="I50" t="s">
        <v>3134</v>
      </c>
      <c r="J50" t="s">
        <v>3080</v>
      </c>
      <c r="K50">
        <v>476.27</v>
      </c>
      <c r="L50">
        <v>72</v>
      </c>
      <c r="M50">
        <v>675</v>
      </c>
      <c r="N50">
        <v>0</v>
      </c>
      <c r="O50" t="s">
        <v>3060</v>
      </c>
      <c r="P50" t="s">
        <v>3061</v>
      </c>
    </row>
    <row r="51" spans="1:16">
      <c r="A51" t="s">
        <v>3133</v>
      </c>
      <c r="B51" t="s">
        <v>3053</v>
      </c>
      <c r="C51" t="s">
        <v>3054</v>
      </c>
      <c r="D51" t="s">
        <v>3055</v>
      </c>
      <c r="E51" t="s">
        <v>3107</v>
      </c>
      <c r="F51">
        <v>31761</v>
      </c>
      <c r="G51">
        <v>50817.599999999999</v>
      </c>
      <c r="H51" t="s">
        <v>3063</v>
      </c>
      <c r="I51" t="s">
        <v>3134</v>
      </c>
      <c r="J51" t="s">
        <v>3080</v>
      </c>
      <c r="K51">
        <v>3430.19</v>
      </c>
      <c r="L51">
        <v>72</v>
      </c>
      <c r="M51">
        <v>675</v>
      </c>
      <c r="N51">
        <v>0</v>
      </c>
      <c r="O51" t="s">
        <v>3060</v>
      </c>
      <c r="P51" t="s">
        <v>3061</v>
      </c>
    </row>
    <row r="52" spans="1:16">
      <c r="A52" t="s">
        <v>3133</v>
      </c>
      <c r="B52" t="s">
        <v>3053</v>
      </c>
      <c r="C52" t="s">
        <v>3135</v>
      </c>
      <c r="D52" t="s">
        <v>3055</v>
      </c>
      <c r="E52" t="s">
        <v>3136</v>
      </c>
      <c r="F52">
        <v>31761</v>
      </c>
      <c r="G52">
        <v>50817.599999999999</v>
      </c>
      <c r="H52" t="s">
        <v>3063</v>
      </c>
      <c r="I52" t="s">
        <v>3134</v>
      </c>
      <c r="J52" t="s">
        <v>3080</v>
      </c>
      <c r="K52">
        <v>3430.19</v>
      </c>
      <c r="L52">
        <v>72</v>
      </c>
      <c r="M52">
        <v>675</v>
      </c>
      <c r="N52">
        <v>0</v>
      </c>
      <c r="O52" t="s">
        <v>3137</v>
      </c>
      <c r="P52" t="s">
        <v>3061</v>
      </c>
    </row>
    <row r="53" spans="1:16">
      <c r="A53" t="s">
        <v>3133</v>
      </c>
      <c r="B53" t="s">
        <v>3053</v>
      </c>
      <c r="C53" t="s">
        <v>3135</v>
      </c>
      <c r="D53" t="s">
        <v>3055</v>
      </c>
      <c r="E53" t="s">
        <v>3136</v>
      </c>
      <c r="F53">
        <v>4410</v>
      </c>
      <c r="G53">
        <v>7056</v>
      </c>
      <c r="H53" t="s">
        <v>3063</v>
      </c>
      <c r="I53" t="s">
        <v>3134</v>
      </c>
      <c r="J53" t="s">
        <v>3080</v>
      </c>
      <c r="K53">
        <v>476.27</v>
      </c>
      <c r="L53">
        <v>72</v>
      </c>
      <c r="M53">
        <v>675</v>
      </c>
      <c r="N53">
        <v>0</v>
      </c>
      <c r="O53" t="s">
        <v>3137</v>
      </c>
      <c r="P53" t="s">
        <v>3088</v>
      </c>
    </row>
    <row r="54" spans="1:16" s="3284" customFormat="1">
      <c r="A54" s="3284" t="s">
        <v>3138</v>
      </c>
      <c r="B54" s="3284" t="s">
        <v>3053</v>
      </c>
      <c r="C54" s="3284" t="s">
        <v>3054</v>
      </c>
      <c r="D54" s="3284" t="s">
        <v>3055</v>
      </c>
      <c r="E54" s="3284" t="s">
        <v>3107</v>
      </c>
      <c r="F54" s="3284">
        <v>2263</v>
      </c>
      <c r="G54" s="3284">
        <v>4526</v>
      </c>
      <c r="H54" s="3284" t="s">
        <v>3091</v>
      </c>
      <c r="I54" s="3284" t="s">
        <v>3125</v>
      </c>
      <c r="J54" s="3284" t="s">
        <v>3139</v>
      </c>
      <c r="K54" s="3284">
        <v>375.1</v>
      </c>
      <c r="L54" s="3284">
        <v>110.5</v>
      </c>
      <c r="M54" s="3284">
        <v>828.76</v>
      </c>
      <c r="N54" s="3284">
        <v>0.46</v>
      </c>
      <c r="O54" s="3284" t="s">
        <v>3060</v>
      </c>
      <c r="P54" s="3284" t="s">
        <v>3061</v>
      </c>
    </row>
    <row r="55" spans="1:16" s="3284" customFormat="1">
      <c r="A55" s="3284" t="s">
        <v>3138</v>
      </c>
      <c r="B55" s="3284" t="s">
        <v>3053</v>
      </c>
      <c r="C55" s="3284" t="s">
        <v>3054</v>
      </c>
      <c r="D55" s="3284" t="s">
        <v>3055</v>
      </c>
      <c r="E55" s="3284" t="s">
        <v>3107</v>
      </c>
      <c r="F55" s="3284">
        <v>52188</v>
      </c>
      <c r="G55" s="3284">
        <v>104376</v>
      </c>
      <c r="H55" s="3284" t="s">
        <v>3091</v>
      </c>
      <c r="I55" s="3284" t="s">
        <v>3125</v>
      </c>
      <c r="J55" s="3284" t="s">
        <v>3139</v>
      </c>
      <c r="K55" s="3284">
        <v>8611.02</v>
      </c>
      <c r="L55" s="3284">
        <v>110</v>
      </c>
      <c r="M55" s="3284">
        <v>825</v>
      </c>
      <c r="N55" s="3284">
        <v>0</v>
      </c>
      <c r="O55" s="3284" t="s">
        <v>3060</v>
      </c>
      <c r="P55" s="3284" t="s">
        <v>3065</v>
      </c>
    </row>
    <row r="56" spans="1:16" s="3284" customFormat="1">
      <c r="A56" s="3284" t="s">
        <v>3138</v>
      </c>
      <c r="B56" s="3284" t="s">
        <v>3053</v>
      </c>
      <c r="C56" s="3284" t="s">
        <v>3054</v>
      </c>
      <c r="D56" s="3284" t="s">
        <v>3055</v>
      </c>
      <c r="E56" s="3284" t="s">
        <v>3107</v>
      </c>
      <c r="F56" s="3284">
        <v>39441</v>
      </c>
      <c r="G56" s="3284">
        <v>78882</v>
      </c>
      <c r="H56" s="3284" t="s">
        <v>3091</v>
      </c>
      <c r="I56" s="3284" t="s">
        <v>3125</v>
      </c>
      <c r="J56" s="3284" t="s">
        <v>3139</v>
      </c>
      <c r="K56" s="3284">
        <v>6507.77</v>
      </c>
      <c r="L56" s="3284">
        <v>110</v>
      </c>
      <c r="M56" s="3284">
        <v>825</v>
      </c>
      <c r="N56" s="3284">
        <v>0</v>
      </c>
      <c r="O56" s="3284" t="s">
        <v>3060</v>
      </c>
      <c r="P56" s="3284" t="s">
        <v>3065</v>
      </c>
    </row>
    <row r="57" spans="1:16" s="3284" customFormat="1">
      <c r="A57" s="3284" t="s">
        <v>3140</v>
      </c>
      <c r="B57" s="3284" t="s">
        <v>3053</v>
      </c>
      <c r="C57" s="3284" t="s">
        <v>3054</v>
      </c>
      <c r="D57" s="3284" t="s">
        <v>3055</v>
      </c>
      <c r="E57" s="3284" t="s">
        <v>3107</v>
      </c>
      <c r="F57" s="3284">
        <v>46635</v>
      </c>
      <c r="G57" s="3284">
        <v>93270</v>
      </c>
      <c r="H57" s="3284" t="s">
        <v>3091</v>
      </c>
      <c r="I57" s="3284" t="s">
        <v>3125</v>
      </c>
      <c r="J57" s="3284" t="s">
        <v>3139</v>
      </c>
      <c r="K57" s="3284">
        <v>7694.77</v>
      </c>
      <c r="L57" s="3284">
        <v>110</v>
      </c>
      <c r="M57" s="3284">
        <v>825</v>
      </c>
      <c r="N57" s="3284">
        <v>0</v>
      </c>
      <c r="O57" s="3284" t="s">
        <v>3060</v>
      </c>
      <c r="P57" s="3284" t="s">
        <v>3065</v>
      </c>
    </row>
    <row r="58" spans="1:16">
      <c r="A58" t="s">
        <v>3141</v>
      </c>
      <c r="B58" t="s">
        <v>3053</v>
      </c>
      <c r="C58" t="s">
        <v>3054</v>
      </c>
      <c r="D58" t="s">
        <v>3055</v>
      </c>
      <c r="E58" t="s">
        <v>3107</v>
      </c>
      <c r="F58">
        <v>7592</v>
      </c>
      <c r="G58">
        <v>8351.2000000000007</v>
      </c>
      <c r="H58" t="s">
        <v>3142</v>
      </c>
      <c r="I58" t="s">
        <v>3143</v>
      </c>
      <c r="J58" t="s">
        <v>3144</v>
      </c>
      <c r="K58">
        <v>4418.53</v>
      </c>
      <c r="L58">
        <v>388</v>
      </c>
      <c r="M58">
        <v>5290.89</v>
      </c>
      <c r="N58">
        <v>0</v>
      </c>
      <c r="O58" t="s">
        <v>3060</v>
      </c>
      <c r="P58" t="s">
        <v>3061</v>
      </c>
    </row>
    <row r="59" spans="1:16">
      <c r="A59" t="s">
        <v>3145</v>
      </c>
      <c r="B59" t="s">
        <v>3053</v>
      </c>
      <c r="C59" t="s">
        <v>3054</v>
      </c>
      <c r="D59" t="s">
        <v>3055</v>
      </c>
      <c r="E59" t="s">
        <v>3107</v>
      </c>
      <c r="F59">
        <v>17064</v>
      </c>
      <c r="G59">
        <v>25596</v>
      </c>
      <c r="H59" t="s">
        <v>3057</v>
      </c>
      <c r="I59" t="s">
        <v>3143</v>
      </c>
      <c r="J59" t="s">
        <v>3067</v>
      </c>
      <c r="K59">
        <v>5887.07</v>
      </c>
      <c r="L59">
        <v>230</v>
      </c>
      <c r="M59">
        <v>2300</v>
      </c>
      <c r="N59">
        <v>0</v>
      </c>
      <c r="O59" t="s">
        <v>3060</v>
      </c>
      <c r="P59" t="s">
        <v>3088</v>
      </c>
    </row>
  </sheetData>
  <autoFilter ref="A9:AT59"/>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7:P73"/>
  <sheetViews>
    <sheetView topLeftCell="A46" workbookViewId="0">
      <selection activeCell="I80" sqref="I80"/>
    </sheetView>
  </sheetViews>
  <sheetFormatPr defaultRowHeight="13.5"/>
  <sheetData>
    <row r="47" spans="2:11">
      <c r="B47">
        <v>394</v>
      </c>
      <c r="C47">
        <v>394</v>
      </c>
      <c r="D47">
        <v>165</v>
      </c>
      <c r="E47">
        <v>165</v>
      </c>
      <c r="F47">
        <v>450</v>
      </c>
      <c r="G47">
        <v>750</v>
      </c>
      <c r="H47">
        <v>750</v>
      </c>
      <c r="I47">
        <v>153</v>
      </c>
      <c r="J47">
        <v>153</v>
      </c>
      <c r="K47">
        <v>128</v>
      </c>
    </row>
    <row r="48" spans="2:11">
      <c r="B48">
        <v>382</v>
      </c>
      <c r="C48">
        <v>382</v>
      </c>
      <c r="D48">
        <v>184</v>
      </c>
      <c r="E48">
        <v>185</v>
      </c>
      <c r="F48">
        <v>440</v>
      </c>
      <c r="G48">
        <v>537</v>
      </c>
      <c r="H48">
        <v>537</v>
      </c>
      <c r="I48">
        <v>167</v>
      </c>
      <c r="J48">
        <v>167</v>
      </c>
      <c r="K48">
        <v>145</v>
      </c>
    </row>
    <row r="49" spans="2:16">
      <c r="B49">
        <f>B47*10000/B48</f>
        <v>10314.13612565445</v>
      </c>
      <c r="C49">
        <f t="shared" ref="C49:P49" si="0">C47*10000/C48</f>
        <v>10314.13612565445</v>
      </c>
      <c r="D49" s="3284">
        <f t="shared" si="0"/>
        <v>8967.391304347826</v>
      </c>
      <c r="E49">
        <f t="shared" si="0"/>
        <v>8918.9189189189183</v>
      </c>
      <c r="F49">
        <f t="shared" si="0"/>
        <v>10227.272727272728</v>
      </c>
      <c r="G49">
        <f t="shared" si="0"/>
        <v>13966.480446927375</v>
      </c>
      <c r="H49">
        <f t="shared" si="0"/>
        <v>13966.480446927375</v>
      </c>
      <c r="I49" s="3284">
        <f t="shared" si="0"/>
        <v>9161.6766467065863</v>
      </c>
      <c r="J49">
        <f t="shared" si="0"/>
        <v>9161.6766467065863</v>
      </c>
      <c r="K49" s="3284">
        <f t="shared" si="0"/>
        <v>8827.5862068965525</v>
      </c>
      <c r="L49" t="e">
        <f t="shared" si="0"/>
        <v>#DIV/0!</v>
      </c>
      <c r="M49" t="e">
        <f t="shared" si="0"/>
        <v>#DIV/0!</v>
      </c>
      <c r="N49" t="e">
        <f t="shared" si="0"/>
        <v>#DIV/0!</v>
      </c>
      <c r="O49" t="e">
        <f t="shared" si="0"/>
        <v>#DIV/0!</v>
      </c>
      <c r="P49" t="e">
        <f t="shared" si="0"/>
        <v>#DIV/0!</v>
      </c>
    </row>
    <row r="50" spans="2:16">
      <c r="D50">
        <f>D49*0.9</f>
        <v>8070.652173913044</v>
      </c>
      <c r="I50">
        <f>I49*0.9</f>
        <v>8245.5089820359281</v>
      </c>
      <c r="K50">
        <f>K49*0.9</f>
        <v>7944.8275862068976</v>
      </c>
    </row>
    <row r="71" spans="2:5">
      <c r="B71">
        <v>110</v>
      </c>
      <c r="C71">
        <v>120</v>
      </c>
      <c r="D71">
        <v>110</v>
      </c>
    </row>
    <row r="72" spans="2:5">
      <c r="B72">
        <v>136</v>
      </c>
      <c r="C72">
        <v>133.5</v>
      </c>
      <c r="D72">
        <v>110</v>
      </c>
    </row>
    <row r="73" spans="2:5">
      <c r="B73">
        <f>B71*10000/B72</f>
        <v>8088.2352941176468</v>
      </c>
      <c r="C73">
        <f t="shared" ref="C73:E73" si="1">C71*10000/C72</f>
        <v>8988.7640449438204</v>
      </c>
      <c r="D73">
        <f t="shared" si="1"/>
        <v>10000</v>
      </c>
      <c r="E73" t="e">
        <f t="shared" si="1"/>
        <v>#DIV/0!</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5" t="s">
        <v>2027</v>
      </c>
      <c r="B1" s="3295"/>
      <c r="C1" s="3295"/>
      <c r="D1" s="3295"/>
      <c r="E1" s="3295"/>
      <c r="F1" s="3295"/>
      <c r="G1" s="3295"/>
      <c r="H1" s="3295"/>
      <c r="I1" s="3295"/>
      <c r="J1" s="3295"/>
      <c r="K1" s="3295"/>
      <c r="L1" s="3295"/>
      <c r="M1" s="3295"/>
      <c r="N1" s="3295"/>
      <c r="O1" s="3295"/>
      <c r="P1" s="3295"/>
      <c r="Q1" s="3295"/>
      <c r="R1" s="3295"/>
    </row>
    <row r="2" spans="1:18">
      <c r="A2" s="1723" t="s">
        <v>2029</v>
      </c>
      <c r="B2" s="1723"/>
      <c r="C2" s="1723"/>
      <c r="D2" s="1723"/>
      <c r="E2" s="1723"/>
      <c r="F2" s="1723"/>
      <c r="G2" s="1723"/>
      <c r="H2" s="1723"/>
      <c r="I2" s="1724"/>
      <c r="J2" s="1724"/>
      <c r="K2" s="1725" t="str">
        <f>"估价期日："&amp;TEXT(项目基本情况!D3,"yyyy年m月d日;;")</f>
        <v>估价期日：2021年3月18日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96" t="s">
        <v>2018</v>
      </c>
      <c r="B3" s="3296" t="s">
        <v>2711</v>
      </c>
      <c r="C3" s="3297" t="s">
        <v>2019</v>
      </c>
      <c r="D3" s="3296" t="s">
        <v>2715</v>
      </c>
      <c r="E3" s="3299" t="s">
        <v>2020</v>
      </c>
      <c r="F3" s="3299"/>
      <c r="G3" s="3299"/>
      <c r="H3" s="3299" t="s">
        <v>2021</v>
      </c>
      <c r="I3" s="3299"/>
      <c r="J3" s="3299"/>
      <c r="K3" s="3297" t="s">
        <v>2022</v>
      </c>
      <c r="L3" s="3297" t="s">
        <v>2023</v>
      </c>
      <c r="M3" s="3296" t="s">
        <v>2712</v>
      </c>
      <c r="N3" s="3298" t="str">
        <f>"（分摊）"&amp;项目基本情况!B16&amp;"国有建设用地使用权面积/㎡"</f>
        <v>（分摊）出让国有建设用地使用权面积/㎡</v>
      </c>
      <c r="O3" s="3296" t="s">
        <v>2052</v>
      </c>
      <c r="P3" s="3297" t="s">
        <v>2032</v>
      </c>
      <c r="Q3" s="3297" t="s">
        <v>2053</v>
      </c>
      <c r="R3" s="3297" t="s">
        <v>2024</v>
      </c>
    </row>
    <row r="4" spans="1:18" ht="36.75" customHeight="1">
      <c r="A4" s="3296"/>
      <c r="B4" s="3296"/>
      <c r="C4" s="3297"/>
      <c r="D4" s="3296"/>
      <c r="E4" s="2492" t="s">
        <v>2031</v>
      </c>
      <c r="F4" s="2492" t="s">
        <v>2724</v>
      </c>
      <c r="G4" s="2492" t="s">
        <v>2025</v>
      </c>
      <c r="H4" s="2492" t="s">
        <v>2026</v>
      </c>
      <c r="I4" s="2492" t="s">
        <v>2725</v>
      </c>
      <c r="J4" s="2492" t="s">
        <v>2025</v>
      </c>
      <c r="K4" s="3297"/>
      <c r="L4" s="3297"/>
      <c r="M4" s="3296"/>
      <c r="N4" s="3298"/>
      <c r="O4" s="3296"/>
      <c r="P4" s="3297"/>
      <c r="Q4" s="3297"/>
      <c r="R4" s="3297"/>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红线外七通、宗地红线内场地平整</v>
      </c>
      <c r="L5" s="1726" t="str">
        <f>"红线外"&amp;项目基本情况!T40&amp;"、宗地红线内场地"&amp;项目基本情况!D36</f>
        <v>红线外七通、宗地红线内场地平整</v>
      </c>
      <c r="M5" s="1726">
        <f>IF(项目基本情况!B16="出让",项目基本情况!D20,"——")</f>
        <v>0</v>
      </c>
      <c r="N5" s="1726">
        <f>项目基本情况!C22</f>
        <v>248287.39</v>
      </c>
      <c r="O5" s="1726">
        <f>项目基本情况!C21</f>
        <v>494091.91</v>
      </c>
      <c r="P5" s="1726">
        <f ca="1">结果表!E42</f>
        <v>2757</v>
      </c>
      <c r="Q5" s="1726">
        <f ca="1">结果表!D42</f>
        <v>1386</v>
      </c>
      <c r="R5" s="1727">
        <f ca="1">结果表!C42</f>
        <v>68460</v>
      </c>
    </row>
    <row r="6" spans="1:18">
      <c r="A6" s="3300" t="str">
        <f>IF(项目基本情况!B9="市场价格","——","抵押价格")</f>
        <v>抵押价格</v>
      </c>
      <c r="B6" s="3301"/>
      <c r="C6" s="3301"/>
      <c r="D6" s="3301"/>
      <c r="E6" s="3301"/>
      <c r="F6" s="3301"/>
      <c r="G6" s="3301"/>
      <c r="H6" s="3301"/>
      <c r="I6" s="3301"/>
      <c r="J6" s="3301"/>
      <c r="K6" s="3301"/>
      <c r="L6" s="3301"/>
      <c r="M6" s="3301"/>
      <c r="N6" s="3301"/>
      <c r="O6" s="3301"/>
      <c r="P6" s="3301"/>
      <c r="Q6" s="3302"/>
      <c r="R6" s="1728">
        <f ca="1">结果表!O39</f>
        <v>68460</v>
      </c>
    </row>
    <row r="7" spans="1:18">
      <c r="A7" s="3300" t="str">
        <f>IF(项目基本情况!B9="市场价格","——",IF(项目基本情况!E8="已注销及未注销","抵押担保权已注销时的抵押价格","——"))</f>
        <v>——</v>
      </c>
      <c r="B7" s="3301"/>
      <c r="C7" s="3301"/>
      <c r="D7" s="3301"/>
      <c r="E7" s="3301"/>
      <c r="F7" s="3301"/>
      <c r="G7" s="3301"/>
      <c r="H7" s="3301"/>
      <c r="I7" s="3301"/>
      <c r="J7" s="3301"/>
      <c r="K7" s="3301"/>
      <c r="L7" s="3301"/>
      <c r="M7" s="3301"/>
      <c r="N7" s="3301"/>
      <c r="O7" s="3301"/>
      <c r="P7" s="3301"/>
      <c r="Q7" s="3302"/>
      <c r="R7" s="1728" t="str">
        <f>结果表!O40</f>
        <v>——</v>
      </c>
    </row>
    <row r="8" spans="1:18">
      <c r="A8" s="3300" t="str">
        <f>IF(项目基本情况!B9="市场价格","——",项目基本情况!E9)</f>
        <v>——</v>
      </c>
      <c r="B8" s="3301"/>
      <c r="C8" s="3301"/>
      <c r="D8" s="3301"/>
      <c r="E8" s="3301"/>
      <c r="F8" s="3301"/>
      <c r="G8" s="3301"/>
      <c r="H8" s="3301"/>
      <c r="I8" s="3301"/>
      <c r="J8" s="3301"/>
      <c r="K8" s="3301"/>
      <c r="L8" s="3301"/>
      <c r="M8" s="3301"/>
      <c r="N8" s="3301"/>
      <c r="O8" s="3301"/>
      <c r="P8" s="3301"/>
      <c r="Q8" s="3302"/>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03" t="s">
        <v>2054</v>
      </c>
      <c r="B1" s="3303"/>
      <c r="C1" s="3303"/>
      <c r="D1" s="3303"/>
    </row>
    <row r="2" spans="1:4" ht="47.25" customHeight="1">
      <c r="A2" s="3307" t="str">
        <f>"1.权利限制："&amp;项目基本情况!L24&amp;"未设定租赁等其他他项权利。"</f>
        <v>1.权利限制：根据估价对象《不动产权证书》原件、《国有土地使用权》复印件，截至估价期日，估价对象已设定抵押。未设定租赁等其他他项权利。</v>
      </c>
      <c r="B2" s="3307"/>
      <c r="C2" s="3307"/>
      <c r="D2" s="3307"/>
    </row>
    <row r="3" spans="1:4" ht="48" customHeight="1">
      <c r="A3" s="33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3"/>
      <c r="C3" s="3303"/>
      <c r="D3" s="3303"/>
    </row>
    <row r="4" spans="1:4" ht="36.75" customHeight="1">
      <c r="A4" s="3303" t="str">
        <f>"3.估价规划限制条件：详见"&amp;项目基本情况!E21&amp;"。"</f>
        <v>3.估价规划限制条件：详见《建设工程规划许可证》[]、《出让合同》[]。</v>
      </c>
      <c r="B4" s="3303"/>
      <c r="C4" s="3303"/>
      <c r="D4" s="3303"/>
    </row>
    <row r="5" spans="1:4">
      <c r="A5" s="3306" t="s">
        <v>2055</v>
      </c>
      <c r="B5" s="3306"/>
      <c r="C5" s="3306"/>
      <c r="D5" s="3306"/>
    </row>
    <row r="6" spans="1:4">
      <c r="A6" s="3303" t="s">
        <v>2033</v>
      </c>
      <c r="B6" s="3303"/>
      <c r="C6" s="3303"/>
      <c r="D6" s="3303"/>
    </row>
    <row r="7" spans="1:4" ht="33" customHeight="1">
      <c r="A7" s="3303" t="s">
        <v>2555</v>
      </c>
      <c r="B7" s="3303"/>
      <c r="C7" s="3303"/>
      <c r="D7" s="3303"/>
    </row>
    <row r="8" spans="1:4" ht="32.25" customHeight="1">
      <c r="A8" s="33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3"/>
      <c r="C8" s="3303"/>
      <c r="D8" s="3303"/>
    </row>
    <row r="9" spans="1:4" ht="33.75" customHeight="1">
      <c r="A9" s="33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3"/>
      <c r="C9" s="3303"/>
      <c r="D9" s="3303"/>
    </row>
    <row r="10" spans="1:4">
      <c r="A10" s="3303" t="str">
        <f>IF(项目基本情况!B8="抵押","4.估价师所知悉的法定优先受偿款情况为：","——")</f>
        <v>4.估价师所知悉的法定优先受偿款情况为：</v>
      </c>
      <c r="B10" s="3303"/>
      <c r="C10" s="3303"/>
      <c r="D10" s="3303"/>
    </row>
    <row r="11" spans="1:4" ht="37.5" customHeight="1">
      <c r="A11" s="3305"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5"/>
      <c r="C11" s="3305"/>
      <c r="D11" s="3305"/>
    </row>
    <row r="12" spans="1:4" ht="168" customHeight="1">
      <c r="A12" s="3306" t="s">
        <v>2057</v>
      </c>
      <c r="B12" s="3306"/>
      <c r="C12" s="3306"/>
      <c r="D12" s="3306"/>
    </row>
    <row r="13" spans="1:4">
      <c r="A13" s="3304" t="s">
        <v>2726</v>
      </c>
      <c r="B13" s="3304"/>
      <c r="C13" s="3304"/>
      <c r="D13" s="3304"/>
    </row>
    <row r="14" spans="1:4">
      <c r="A14" s="3305" t="str">
        <f>IF(项目基本情况!B8="抵押","综上，"&amp;结果表!K47,"——")</f>
        <v>综上，本次评估不存在估价师知悉的法定优先受偿款</v>
      </c>
      <c r="B14" s="3305"/>
      <c r="C14" s="3305"/>
      <c r="D14" s="3305"/>
    </row>
    <row r="15" spans="1:4" ht="58.5" customHeight="1">
      <c r="A15" s="33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3"/>
      <c r="C15" s="3303"/>
      <c r="D15" s="3303"/>
    </row>
    <row r="16" spans="1:4" ht="70.5" customHeight="1">
      <c r="A16" s="33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3"/>
      <c r="C16" s="3303"/>
      <c r="D16" s="3303"/>
    </row>
    <row r="17" spans="1:4">
      <c r="A17" s="3303" t="s">
        <v>2682</v>
      </c>
      <c r="B17" s="3303"/>
      <c r="C17" s="3303"/>
      <c r="D17" s="3303"/>
    </row>
    <row r="18" spans="1:4">
      <c r="A18" s="3303" t="s">
        <v>2674</v>
      </c>
      <c r="B18" s="3303"/>
      <c r="C18" s="3303"/>
      <c r="D18" s="3303"/>
    </row>
    <row r="19" spans="1:4">
      <c r="A19" s="2586" t="s">
        <v>2675</v>
      </c>
      <c r="B19" s="2586" t="s">
        <v>2676</v>
      </c>
      <c r="C19" s="2586" t="s">
        <v>2677</v>
      </c>
      <c r="D19" s="2586" t="s">
        <v>2678</v>
      </c>
    </row>
    <row r="20" spans="1:4">
      <c r="A20" s="2586" t="str">
        <f>项目基本情况!B4</f>
        <v>郑燚</v>
      </c>
      <c r="B20" s="2586">
        <f ca="1">项目基本情况!C4</f>
        <v>2014110011</v>
      </c>
      <c r="C20" s="2588"/>
      <c r="D20" s="1716" t="s">
        <v>2683</v>
      </c>
    </row>
    <row r="21" spans="1:4">
      <c r="A21" s="2586" t="str">
        <f>项目基本情况!D4</f>
        <v>崔锴</v>
      </c>
      <c r="B21" s="2586">
        <f ca="1">项目基本情况!E4</f>
        <v>2010110070</v>
      </c>
      <c r="C21" s="2588"/>
      <c r="D21" s="1716" t="s">
        <v>2684</v>
      </c>
    </row>
    <row r="23" spans="1:4">
      <c r="A23" s="3303" t="s">
        <v>2679</v>
      </c>
      <c r="B23" s="3303"/>
      <c r="C23" s="3303"/>
      <c r="D23" s="3303"/>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15" t="s">
        <v>53</v>
      </c>
      <c r="B15" s="3316" t="s">
        <v>838</v>
      </c>
      <c r="C15" s="3312"/>
    </row>
    <row r="16" spans="1:7" ht="14.25">
      <c r="A16" s="3315"/>
      <c r="B16" s="3313" t="s">
        <v>54</v>
      </c>
      <c r="C16" s="1155" t="s">
        <v>53</v>
      </c>
    </row>
    <row r="17" spans="1:3" ht="14.25">
      <c r="A17" s="3315"/>
      <c r="B17" s="3313"/>
      <c r="C17" s="1155" t="s">
        <v>55</v>
      </c>
    </row>
    <row r="18" spans="1:3" ht="14.25">
      <c r="A18" s="3315"/>
      <c r="B18" s="3313"/>
      <c r="C18" s="1155" t="s">
        <v>56</v>
      </c>
    </row>
    <row r="19" spans="1:3" ht="14.25">
      <c r="A19" s="3315"/>
      <c r="B19" s="3311" t="s">
        <v>57</v>
      </c>
      <c r="C19" s="3312"/>
    </row>
    <row r="20" spans="1:3" ht="14.25">
      <c r="A20" s="1156" t="s">
        <v>58</v>
      </c>
      <c r="B20" s="1157"/>
      <c r="C20" s="1158"/>
    </row>
    <row r="21" spans="1:3" ht="14.25">
      <c r="A21" s="3314" t="s">
        <v>59</v>
      </c>
      <c r="B21" s="3311" t="s">
        <v>60</v>
      </c>
      <c r="C21" s="3312"/>
    </row>
    <row r="22" spans="1:3" ht="14.25">
      <c r="A22" s="3314"/>
      <c r="B22" s="3311" t="s">
        <v>61</v>
      </c>
      <c r="C22" s="3312"/>
    </row>
    <row r="23" spans="1:3" ht="14.25">
      <c r="A23" s="3314"/>
      <c r="B23" s="3311" t="s">
        <v>62</v>
      </c>
      <c r="C23" s="3312"/>
    </row>
    <row r="24" spans="1:3" ht="14.25">
      <c r="A24" s="3314"/>
      <c r="B24" s="3317" t="s">
        <v>63</v>
      </c>
      <c r="C24" s="1159" t="s">
        <v>829</v>
      </c>
    </row>
    <row r="25" spans="1:3" ht="14.25">
      <c r="A25" s="3314"/>
      <c r="B25" s="3318"/>
      <c r="C25" s="1159" t="s">
        <v>830</v>
      </c>
    </row>
    <row r="26" spans="1:3" ht="14.25">
      <c r="A26" s="3314"/>
      <c r="B26" s="3318"/>
      <c r="C26" s="1159" t="s">
        <v>831</v>
      </c>
    </row>
    <row r="27" spans="1:3" ht="14.25">
      <c r="A27" s="3314"/>
      <c r="B27" s="3318"/>
      <c r="C27" s="1159" t="s">
        <v>832</v>
      </c>
    </row>
    <row r="28" spans="1:3" ht="14.25">
      <c r="A28" s="3314"/>
      <c r="B28" s="3318"/>
      <c r="C28" s="1159" t="s">
        <v>833</v>
      </c>
    </row>
    <row r="29" spans="1:3" ht="14.25">
      <c r="A29" s="3314"/>
      <c r="B29" s="3318"/>
      <c r="C29" s="1159" t="s">
        <v>834</v>
      </c>
    </row>
    <row r="30" spans="1:3" ht="14.25">
      <c r="A30" s="3314"/>
      <c r="B30" s="3318"/>
      <c r="C30" s="1159" t="s">
        <v>835</v>
      </c>
    </row>
    <row r="31" spans="1:3" ht="14.25">
      <c r="A31" s="3314"/>
      <c r="B31" s="3318"/>
      <c r="C31" s="1159" t="s">
        <v>836</v>
      </c>
    </row>
    <row r="32" spans="1:3" ht="14.25">
      <c r="A32" s="3314"/>
      <c r="B32" s="3318"/>
      <c r="C32" s="1159" t="s">
        <v>1637</v>
      </c>
    </row>
    <row r="33" spans="1:3" ht="14.25">
      <c r="A33" s="3314"/>
      <c r="B33" s="3308" t="s">
        <v>1643</v>
      </c>
      <c r="C33" s="1159" t="s">
        <v>1638</v>
      </c>
    </row>
    <row r="34" spans="1:3" ht="14.25">
      <c r="A34" s="3314"/>
      <c r="B34" s="3309"/>
      <c r="C34" s="1164" t="s">
        <v>1639</v>
      </c>
    </row>
    <row r="35" spans="1:3" ht="14.25">
      <c r="A35" s="3314"/>
      <c r="B35" s="3309"/>
      <c r="C35" s="1165" t="s">
        <v>1640</v>
      </c>
    </row>
    <row r="36" spans="1:3" ht="14.25">
      <c r="A36" s="3314"/>
      <c r="B36" s="3309"/>
      <c r="C36" s="1165" t="s">
        <v>1641</v>
      </c>
    </row>
    <row r="37" spans="1:3" ht="14.25">
      <c r="A37" s="3314"/>
      <c r="B37" s="3310"/>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44274</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2940</v>
      </c>
      <c r="B12" s="3031">
        <f ca="1">IF(C12&lt;B2,"已过期",1120040230)</f>
        <v>1120040230</v>
      </c>
      <c r="C12" s="3034">
        <v>44864</v>
      </c>
      <c r="D12" s="3042" t="s">
        <v>2941</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2955</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322" t="s">
        <v>1915</v>
      </c>
      <c r="B17" s="3323"/>
      <c r="C17" s="3323"/>
      <c r="D17" s="3323"/>
      <c r="E17" s="3323"/>
      <c r="F17" s="3323"/>
      <c r="G17" s="3035"/>
    </row>
    <row r="18" spans="1:7" ht="20.25" customHeight="1">
      <c r="A18" s="3319" t="s">
        <v>1916</v>
      </c>
      <c r="B18" s="3319"/>
      <c r="C18" s="3320"/>
      <c r="D18" s="3321" t="s">
        <v>1917</v>
      </c>
      <c r="E18" s="3319"/>
      <c r="F18" s="3319"/>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2954</v>
      </c>
      <c r="F21" s="3039">
        <v>44012</v>
      </c>
      <c r="G21" s="3027"/>
    </row>
    <row r="22" spans="1:7" ht="20.25" customHeight="1">
      <c r="A22" s="3026"/>
      <c r="B22" s="3026"/>
      <c r="C22" s="3040"/>
      <c r="D22" s="3048"/>
      <c r="E22" s="3049"/>
      <c r="F22" s="3041" t="s">
        <v>2968</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zoomScale="90" zoomScaleNormal="90" workbookViewId="0">
      <selection activeCell="P41" sqref="P41"/>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2916</v>
      </c>
      <c r="C18" s="1493"/>
    </row>
    <row r="19" spans="1:3">
      <c r="A19" s="8" t="s">
        <v>120</v>
      </c>
      <c r="B19" s="2793" t="s">
        <v>2923</v>
      </c>
      <c r="C19" s="1493"/>
    </row>
    <row r="20" spans="1:3">
      <c r="A20" s="8" t="s">
        <v>121</v>
      </c>
      <c r="B20" s="2793" t="s">
        <v>2969</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潍坊水务投资有限责任公司拟使用山东省潍坊市青州市弥河流域二宗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24"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18日，在规划利用条件下、设定土地开发程度为红线外“七通”、宗地内场地平整，设定用途为，剩余土地使用年限为的出让国有建设用地使用权价格。</v>
      </c>
      <c r="D53" s="1686"/>
      <c r="E53" s="1686"/>
    </row>
    <row r="54" spans="1:5">
      <c r="A54" s="3324"/>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24"/>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24"/>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24"/>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2021-03-19T07:50:37Z</dcterms:modified>
</cp:coreProperties>
</file>