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610" windowWidth="19230" windowHeight="561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66" l="1"/>
  <c r="B16" i="66"/>
  <c r="C15" i="66"/>
  <c r="B15" i="66"/>
  <c r="F50" i="9" l="1"/>
  <c r="F49" i="9" l="1"/>
  <c r="C48" i="9" l="1"/>
  <c r="AL13" i="3" l="1"/>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F14" i="67"/>
  <c r="F11" i="67"/>
  <c r="E14" i="67"/>
  <c r="B12" i="67"/>
  <c r="B14" i="67"/>
  <c r="F12" i="67"/>
  <c r="B11" i="67"/>
  <c r="E8" i="67"/>
  <c r="E12" i="67"/>
  <c r="B8" i="67"/>
  <c r="B10" i="67"/>
  <c r="F13" i="67"/>
  <c r="B13" i="67"/>
  <c r="E10" i="67"/>
  <c r="F9" i="67"/>
  <c r="E13" i="67"/>
  <c r="F10" i="67"/>
  <c r="F8" i="67"/>
  <c r="B9" i="67"/>
  <c r="E9"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I6" i="65"/>
  <c r="N3" i="65"/>
  <c r="N4" i="65"/>
  <c r="N5" i="65"/>
  <c r="C4" i="65" l="1"/>
  <c r="B39" i="1" s="1"/>
  <c r="J7" i="65"/>
  <c r="I7" i="65"/>
  <c r="I3" i="65"/>
  <c r="I4" i="65"/>
  <c r="I5" i="65"/>
  <c r="J4" i="65"/>
  <c r="J6" i="65"/>
  <c r="J5" i="65"/>
  <c r="J3"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Y10" i="59" l="1"/>
  <c r="Z10" i="59" s="1"/>
  <c r="AB10" i="59"/>
  <c r="Y11" i="59"/>
  <c r="Z11" i="59" s="1"/>
  <c r="AB11" i="59"/>
  <c r="Y12" i="59"/>
  <c r="Z12" i="59" s="1"/>
  <c r="AB12" i="59"/>
  <c r="X14" i="59"/>
  <c r="AA14" i="59"/>
  <c r="X15" i="59"/>
  <c r="AA15" i="59"/>
  <c r="X16" i="59"/>
  <c r="AA16" i="59"/>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AB30" i="36"/>
  <c r="AC34" i="36"/>
  <c r="H29" i="35"/>
  <c r="U34" i="37"/>
  <c r="S34" i="37"/>
  <c r="AA34" i="37"/>
  <c r="AB42" i="34"/>
  <c r="AB40" i="34"/>
  <c r="W36" i="34"/>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BA557" i="3"/>
  <c r="AZ557" i="3" s="1"/>
  <c r="BA555" i="3"/>
  <c r="AZ555" i="3" s="1"/>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s="1"/>
  <c r="BA542" i="3"/>
  <c r="AC542" i="3"/>
  <c r="G542" i="3" s="1"/>
  <c r="BQ542" i="3"/>
  <c r="BL542" i="3"/>
  <c r="AZ542" i="3" s="1"/>
  <c r="BQ568" i="3"/>
  <c r="BQ566" i="3"/>
  <c r="BQ564" i="3"/>
  <c r="BL564" i="3" s="1"/>
  <c r="AZ564" i="3" s="1"/>
  <c r="BQ562" i="3"/>
  <c r="BL562" i="3" s="1"/>
  <c r="BQ560" i="3"/>
  <c r="BL560" i="3" s="1"/>
  <c r="BQ558" i="3"/>
  <c r="BL558" i="3" s="1"/>
  <c r="AZ558" i="3" s="1"/>
  <c r="BQ556" i="3"/>
  <c r="BL556" i="3" s="1"/>
  <c r="BQ554" i="3"/>
  <c r="BQ552" i="3"/>
  <c r="BL552" i="3" s="1"/>
  <c r="BQ550" i="3"/>
  <c r="BL550" i="3"/>
  <c r="BQ548" i="3"/>
  <c r="BQ546" i="3"/>
  <c r="BL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AZ379" i="3" s="1"/>
  <c r="BA114" i="3"/>
  <c r="AZ114" i="3"/>
  <c r="BL115" i="3"/>
  <c r="G116" i="3"/>
  <c r="BA118" i="3"/>
  <c r="AZ118" i="3" s="1"/>
  <c r="BL119" i="3"/>
  <c r="G120" i="3"/>
  <c r="BA122" i="3"/>
  <c r="BL123" i="3"/>
  <c r="G124" i="3"/>
  <c r="BA126" i="3"/>
  <c r="AZ126" i="3" s="1"/>
  <c r="BL127" i="3"/>
  <c r="G128" i="3"/>
  <c r="BA130" i="3"/>
  <c r="AZ130" i="3" s="1"/>
  <c r="BL131" i="3"/>
  <c r="G132" i="3"/>
  <c r="BA134" i="3"/>
  <c r="AZ134" i="3" s="1"/>
  <c r="BL135" i="3"/>
  <c r="G136" i="3"/>
  <c r="BA138" i="3"/>
  <c r="AZ138" i="3" s="1"/>
  <c r="BL139" i="3"/>
  <c r="G140" i="3"/>
  <c r="BA142" i="3"/>
  <c r="BL143" i="3"/>
  <c r="G144" i="3"/>
  <c r="BA146" i="3"/>
  <c r="BL147" i="3"/>
  <c r="AZ147" i="3"/>
  <c r="G148" i="3"/>
  <c r="BA150" i="3"/>
  <c r="AZ150" i="3" s="1"/>
  <c r="BL151" i="3"/>
  <c r="BA153" i="3"/>
  <c r="AZ153" i="3" s="1"/>
  <c r="BL154" i="3"/>
  <c r="G155" i="3"/>
  <c r="BA157" i="3"/>
  <c r="AZ157" i="3" s="1"/>
  <c r="BL158" i="3"/>
  <c r="G159" i="3"/>
  <c r="BA161" i="3"/>
  <c r="AZ161" i="3" s="1"/>
  <c r="BL162" i="3"/>
  <c r="AZ162" i="3" s="1"/>
  <c r="G163" i="3"/>
  <c r="BA165" i="3"/>
  <c r="AZ165" i="3" s="1"/>
  <c r="BL166" i="3"/>
  <c r="G167" i="3"/>
  <c r="BA169" i="3"/>
  <c r="BL170" i="3"/>
  <c r="G171" i="3"/>
  <c r="BA173" i="3"/>
  <c r="BL174" i="3"/>
  <c r="AZ174" i="3" s="1"/>
  <c r="G175" i="3"/>
  <c r="BA178" i="3"/>
  <c r="BL179" i="3"/>
  <c r="G180" i="3"/>
  <c r="AZ35" i="3"/>
  <c r="AZ55" i="3"/>
  <c r="AZ59" i="3"/>
  <c r="G537" i="3"/>
  <c r="BL181" i="3"/>
  <c r="AZ181" i="3" s="1"/>
  <c r="G182" i="3"/>
  <c r="BA184" i="3"/>
  <c r="BL185" i="3"/>
  <c r="G186" i="3"/>
  <c r="BA188" i="3"/>
  <c r="AZ188" i="3" s="1"/>
  <c r="BL189" i="3"/>
  <c r="AZ189" i="3" s="1"/>
  <c r="G190" i="3"/>
  <c r="BA192" i="3"/>
  <c r="AZ192" i="3" s="1"/>
  <c r="BL193" i="3"/>
  <c r="AZ193" i="3" s="1"/>
  <c r="G194" i="3"/>
  <c r="BA196" i="3"/>
  <c r="AZ196" i="3" s="1"/>
  <c r="BL197" i="3"/>
  <c r="G198" i="3"/>
  <c r="BA200" i="3"/>
  <c r="BL201" i="3"/>
  <c r="AZ82" i="3"/>
  <c r="G491" i="3"/>
  <c r="BA298" i="3"/>
  <c r="AZ298" i="3" s="1"/>
  <c r="BA299" i="3"/>
  <c r="BL299" i="3"/>
  <c r="G300" i="3"/>
  <c r="G303" i="3"/>
  <c r="BL304" i="3"/>
  <c r="BA306" i="3"/>
  <c r="AZ306" i="3" s="1"/>
  <c r="BA307" i="3"/>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AZ355" i="3"/>
  <c r="BL355" i="3"/>
  <c r="G356" i="3"/>
  <c r="BA358" i="3"/>
  <c r="AZ358" i="3" s="1"/>
  <c r="BA359" i="3"/>
  <c r="BL359" i="3"/>
  <c r="AZ359" i="3"/>
  <c r="G360" i="3"/>
  <c r="G361" i="3"/>
  <c r="BL362" i="3"/>
  <c r="BA364" i="3"/>
  <c r="BA365" i="3"/>
  <c r="BL365" i="3"/>
  <c r="G366" i="3"/>
  <c r="G369" i="3"/>
  <c r="BL370" i="3"/>
  <c r="BA372" i="3"/>
  <c r="AZ372" i="3" s="1"/>
  <c r="BA373" i="3"/>
  <c r="BL373" i="3"/>
  <c r="AZ373" i="3" s="1"/>
  <c r="G374" i="3"/>
  <c r="G377" i="3"/>
  <c r="BL378" i="3"/>
  <c r="BA380" i="3"/>
  <c r="BA381" i="3"/>
  <c r="AZ381" i="3"/>
  <c r="BL381" i="3"/>
  <c r="G382" i="3"/>
  <c r="G385" i="3"/>
  <c r="AZ187"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G326" i="3"/>
  <c r="BA328" i="3"/>
  <c r="BL329" i="3"/>
  <c r="G330" i="3"/>
  <c r="BA332" i="3"/>
  <c r="BL333" i="3"/>
  <c r="G334" i="3"/>
  <c r="BA336" i="3"/>
  <c r="AZ336" i="3" s="1"/>
  <c r="BL337" i="3"/>
  <c r="G338" i="3"/>
  <c r="BA340" i="3"/>
  <c r="AZ340" i="3" s="1"/>
  <c r="BL341" i="3"/>
  <c r="AZ341" i="3" s="1"/>
  <c r="G342" i="3"/>
  <c r="BA344" i="3"/>
  <c r="AZ344" i="3" s="1"/>
  <c r="BL345" i="3"/>
  <c r="G346" i="3"/>
  <c r="BA348" i="3"/>
  <c r="BL349" i="3"/>
  <c r="G350" i="3"/>
  <c r="BA352" i="3"/>
  <c r="AZ352" i="3" s="1"/>
  <c r="BL353" i="3"/>
  <c r="G354" i="3"/>
  <c r="BA356" i="3"/>
  <c r="BL357" i="3"/>
  <c r="G358" i="3"/>
  <c r="BA362" i="3"/>
  <c r="AZ362" i="3" s="1"/>
  <c r="BL363" i="3"/>
  <c r="G364" i="3"/>
  <c r="BA366" i="3"/>
  <c r="BL367" i="3"/>
  <c r="AZ229" i="3"/>
  <c r="AZ321" i="3"/>
  <c r="AZ325" i="3"/>
  <c r="AZ337" i="3"/>
  <c r="AZ353" i="3"/>
  <c r="AZ363" i="3"/>
  <c r="AZ367" i="3"/>
  <c r="G368" i="3"/>
  <c r="BA370" i="3"/>
  <c r="AZ370" i="3" s="1"/>
  <c r="BL371" i="3"/>
  <c r="G372" i="3"/>
  <c r="BA374" i="3"/>
  <c r="AZ374" i="3" s="1"/>
  <c r="BL375" i="3"/>
  <c r="G376" i="3"/>
  <c r="BA378" i="3"/>
  <c r="AZ378" i="3" s="1"/>
  <c r="BL379" i="3"/>
  <c r="G380" i="3"/>
  <c r="BA382" i="3"/>
  <c r="BL383" i="3"/>
  <c r="AZ383" i="3" s="1"/>
  <c r="G384" i="3"/>
  <c r="AZ282" i="3"/>
  <c r="AZ290" i="3"/>
  <c r="AZ311" i="3"/>
  <c r="AZ315" i="3"/>
  <c r="AZ331" i="3"/>
  <c r="AZ339" i="3"/>
  <c r="AZ426" i="3"/>
  <c r="AZ446" i="3"/>
  <c r="AZ463" i="3"/>
  <c r="AZ471"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I13" i="3"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c r="BL554" i="3"/>
  <c r="AZ554" i="3"/>
  <c r="BA553" i="3"/>
  <c r="AZ553" i="3"/>
  <c r="BA552" i="3"/>
  <c r="BL549" i="3"/>
  <c r="BA549" i="3"/>
  <c r="BL548" i="3"/>
  <c r="BA548" i="3"/>
  <c r="BL547" i="3"/>
  <c r="BA547" i="3"/>
  <c r="BL539" i="3"/>
  <c r="BA539" i="3"/>
  <c r="AZ539" i="3"/>
  <c r="BA538" i="3"/>
  <c r="BL537" i="3"/>
  <c r="BA537" i="3"/>
  <c r="BL536" i="3"/>
  <c r="AZ536" i="3" s="1"/>
  <c r="BA535" i="3"/>
  <c r="AZ535" i="3"/>
  <c r="BA534" i="3"/>
  <c r="AZ534" i="3" s="1"/>
  <c r="BA533" i="3"/>
  <c r="AZ533" i="3" s="1"/>
  <c r="BL531" i="3"/>
  <c r="AZ531" i="3" s="1"/>
  <c r="BL530" i="3"/>
  <c r="BA530" i="3"/>
  <c r="BL529" i="3"/>
  <c r="BA529" i="3"/>
  <c r="BL528" i="3"/>
  <c r="AZ528" i="3"/>
  <c r="BA527" i="3"/>
  <c r="AZ527" i="3" s="1"/>
  <c r="BA526" i="3"/>
  <c r="AZ526" i="3" s="1"/>
  <c r="BA525" i="3"/>
  <c r="AZ525" i="3" s="1"/>
  <c r="BL523" i="3"/>
  <c r="BA523" i="3"/>
  <c r="AZ523" i="3" s="1"/>
  <c r="BL522" i="3"/>
  <c r="BA522" i="3"/>
  <c r="AZ522" i="3" s="1"/>
  <c r="BL521" i="3"/>
  <c r="AZ521" i="3" s="1"/>
  <c r="BA519" i="3"/>
  <c r="AZ519" i="3"/>
  <c r="BL518" i="3"/>
  <c r="BA518" i="3"/>
  <c r="BL517" i="3"/>
  <c r="BA517" i="3"/>
  <c r="BL515" i="3"/>
  <c r="BA515" i="3"/>
  <c r="BA514" i="3"/>
  <c r="AZ514" i="3" s="1"/>
  <c r="BL513" i="3"/>
  <c r="BA513" i="3"/>
  <c r="BL512" i="3"/>
  <c r="AZ512" i="3" s="1"/>
  <c r="BA511" i="3"/>
  <c r="AZ511" i="3" s="1"/>
  <c r="BA510" i="3"/>
  <c r="BL509" i="3"/>
  <c r="AZ509" i="3" s="1"/>
  <c r="BL507" i="3"/>
  <c r="BA507" i="3"/>
  <c r="AZ507" i="3"/>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c r="BL490" i="3"/>
  <c r="BA490" i="3"/>
  <c r="AZ490" i="3" s="1"/>
  <c r="BL489" i="3"/>
  <c r="AZ489" i="3" s="1"/>
  <c r="BA489" i="3"/>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54" i="3"/>
  <c r="B41" i="1"/>
  <c r="F27" i="43" s="1"/>
  <c r="J42" i="40"/>
  <c r="AC42" i="40" s="1"/>
  <c r="J40" i="40"/>
  <c r="AC40" i="40" s="1"/>
  <c r="J34" i="40"/>
  <c r="AC34" i="40" s="1"/>
  <c r="H16" i="40"/>
  <c r="AB16" i="40" s="1"/>
  <c r="H14" i="40"/>
  <c r="U14" i="40" s="1"/>
  <c r="F32" i="40"/>
  <c r="AA32" i="40" s="1"/>
  <c r="AZ433" i="3"/>
  <c r="AZ436" i="3"/>
  <c r="M1" i="46"/>
  <c r="M6" i="46"/>
  <c r="M10" i="46"/>
  <c r="N2" i="46"/>
  <c r="N5" i="46"/>
  <c r="F58" i="46" s="1"/>
  <c r="F47" i="46"/>
  <c r="N7" i="46"/>
  <c r="AZ456" i="3"/>
  <c r="AZ223" i="3"/>
  <c r="AZ239" i="3"/>
  <c r="AZ247" i="3"/>
  <c r="AZ255" i="3"/>
  <c r="AZ263" i="3"/>
  <c r="M7" i="46"/>
  <c r="M11" i="46"/>
  <c r="N3" i="46"/>
  <c r="N6" i="46"/>
  <c r="N10" i="46"/>
  <c r="AZ180" i="3"/>
  <c r="AZ56" i="3"/>
  <c r="AZ71" i="3"/>
  <c r="AZ99" i="3"/>
  <c r="J13" i="40"/>
  <c r="W13" i="40" s="1"/>
  <c r="W40" i="40"/>
  <c r="F66" i="9"/>
  <c r="P72" i="9" s="1"/>
  <c r="AC14" i="40"/>
  <c r="S33" i="40"/>
  <c r="AC41" i="40"/>
  <c r="W41" i="40"/>
  <c r="U41" i="40"/>
  <c r="J23" i="40"/>
  <c r="AC23" i="40" s="1"/>
  <c r="F23" i="40"/>
  <c r="S23" i="40" s="1"/>
  <c r="W15" i="40"/>
  <c r="S23" i="39"/>
  <c r="W14" i="39"/>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W23" i="40"/>
  <c r="D73" i="9"/>
  <c r="N73" i="9" s="1"/>
  <c r="AP11" i="1"/>
  <c r="J51" i="15"/>
  <c r="B11" i="1"/>
  <c r="E11" i="1" s="1"/>
  <c r="K11" i="1"/>
  <c r="M11" i="1" s="1"/>
  <c r="B9" i="1"/>
  <c r="E9" i="1" s="1"/>
  <c r="K9" i="1"/>
  <c r="M9" i="1" s="1"/>
  <c r="B7" i="1"/>
  <c r="E7" i="1" s="1"/>
  <c r="K7" i="1"/>
  <c r="C20" i="43"/>
  <c r="E2" i="65"/>
  <c r="C7" i="21" l="1"/>
  <c r="C58" i="21" s="1"/>
  <c r="D58" i="21" s="1"/>
  <c r="E58" i="21" s="1"/>
  <c r="F58" i="21" s="1"/>
  <c r="G58" i="21" s="1"/>
  <c r="H58" i="21" s="1"/>
  <c r="I58" i="21" s="1"/>
  <c r="J58" i="21" s="1"/>
  <c r="K58" i="21" s="1"/>
  <c r="L58" i="21" s="1"/>
  <c r="M58" i="21" s="1"/>
  <c r="N58" i="21" s="1"/>
  <c r="O58" i="21" s="1"/>
  <c r="C7" i="34"/>
  <c r="C7" i="37"/>
  <c r="C9" i="39"/>
  <c r="C70" i="39" s="1"/>
  <c r="C9" i="40"/>
  <c r="C65" i="40" s="1"/>
  <c r="N67" i="9"/>
  <c r="D38" i="4"/>
  <c r="C39" i="4" s="1"/>
  <c r="AZ502" i="3"/>
  <c r="U36" i="35"/>
  <c r="AB36" i="35"/>
  <c r="AA31" i="33"/>
  <c r="S31" i="33"/>
  <c r="AC12" i="36"/>
  <c r="W12" i="36"/>
  <c r="W35" i="40"/>
  <c r="F71" i="9"/>
  <c r="AZ500" i="3"/>
  <c r="AZ510" i="3"/>
  <c r="AZ552" i="3"/>
  <c r="AZ488" i="3"/>
  <c r="AZ544" i="3"/>
  <c r="AZ550" i="3"/>
  <c r="BA570" i="3"/>
  <c r="AZ570" i="3" s="1"/>
  <c r="J36" i="35"/>
  <c r="G569" i="3"/>
  <c r="G567" i="3"/>
  <c r="G564" i="3"/>
  <c r="G563" i="3"/>
  <c r="G553" i="3"/>
  <c r="G541" i="3"/>
  <c r="G536" i="3"/>
  <c r="G533" i="3"/>
  <c r="G527" i="3"/>
  <c r="G519" i="3"/>
  <c r="G512" i="3"/>
  <c r="G509" i="3"/>
  <c r="G496" i="3"/>
  <c r="G490" i="3"/>
  <c r="AZ496" i="3"/>
  <c r="AZ506" i="3"/>
  <c r="AZ513" i="3"/>
  <c r="AZ518" i="3"/>
  <c r="AZ538" i="3"/>
  <c r="F19" i="6"/>
  <c r="E19" i="6" s="1"/>
  <c r="E32" i="6" s="1"/>
  <c r="BB13" i="3"/>
  <c r="BB5" i="3" s="1"/>
  <c r="AZ356" i="3"/>
  <c r="AZ324" i="3"/>
  <c r="AZ365" i="3"/>
  <c r="AZ347" i="3"/>
  <c r="AZ307" i="3"/>
  <c r="AZ299" i="3"/>
  <c r="AZ377" i="3"/>
  <c r="AZ343" i="3"/>
  <c r="AZ329" i="3"/>
  <c r="AZ303" i="3"/>
  <c r="AZ20" i="3"/>
  <c r="AZ560" i="3"/>
  <c r="AZ484" i="3"/>
  <c r="AZ501" i="3"/>
  <c r="AZ559" i="3"/>
  <c r="U30" i="33"/>
  <c r="AA38" i="37"/>
  <c r="I5" i="3"/>
  <c r="H13" i="3"/>
  <c r="G13" i="3" s="1"/>
  <c r="BA572" i="3"/>
  <c r="AZ572" i="3" s="1"/>
  <c r="G495" i="3"/>
  <c r="G489" i="3"/>
  <c r="G481" i="3"/>
  <c r="K145" i="21"/>
  <c r="BA389" i="3"/>
  <c r="BL390" i="3"/>
  <c r="AZ390" i="3" s="1"/>
  <c r="BA391" i="3"/>
  <c r="G393" i="3"/>
  <c r="BA394" i="3"/>
  <c r="BA396" i="3"/>
  <c r="AZ396" i="3" s="1"/>
  <c r="BA398" i="3"/>
  <c r="BL398" i="3"/>
  <c r="G400" i="3"/>
  <c r="BA401" i="3"/>
  <c r="AZ401" i="3" s="1"/>
  <c r="BL402" i="3"/>
  <c r="BL403" i="3"/>
  <c r="G404" i="3"/>
  <c r="BA407" i="3"/>
  <c r="AZ407" i="3" s="1"/>
  <c r="BL408" i="3"/>
  <c r="BA409" i="3"/>
  <c r="G410" i="3"/>
  <c r="BA413" i="3"/>
  <c r="BL413" i="3"/>
  <c r="BL414" i="3"/>
  <c r="AZ414" i="3" s="1"/>
  <c r="BA415" i="3"/>
  <c r="AZ415" i="3" s="1"/>
  <c r="BL415" i="3"/>
  <c r="G416" i="3"/>
  <c r="BA419" i="3"/>
  <c r="AZ419" i="3" s="1"/>
  <c r="BL420" i="3"/>
  <c r="BA421" i="3"/>
  <c r="BL421" i="3"/>
  <c r="G422" i="3"/>
  <c r="BA423" i="3"/>
  <c r="AZ423" i="3" s="1"/>
  <c r="BL423" i="3"/>
  <c r="G424" i="3"/>
  <c r="BA425" i="3"/>
  <c r="AZ425" i="3" s="1"/>
  <c r="BA427" i="3"/>
  <c r="AZ427" i="3" s="1"/>
  <c r="BL427" i="3"/>
  <c r="G428" i="3"/>
  <c r="BL428" i="3"/>
  <c r="AZ428" i="3" s="1"/>
  <c r="BA429" i="3"/>
  <c r="AZ429" i="3" s="1"/>
  <c r="BL429" i="3"/>
  <c r="G430" i="3"/>
  <c r="BA431" i="3"/>
  <c r="BL431" i="3"/>
  <c r="G432" i="3"/>
  <c r="BA435" i="3"/>
  <c r="AZ435" i="3" s="1"/>
  <c r="BA437" i="3"/>
  <c r="BL437" i="3"/>
  <c r="G438" i="3"/>
  <c r="BL438" i="3"/>
  <c r="AZ438" i="3" s="1"/>
  <c r="BA439" i="3"/>
  <c r="BL439" i="3"/>
  <c r="G440" i="3"/>
  <c r="BA441" i="3"/>
  <c r="AZ441" i="3" s="1"/>
  <c r="BL441" i="3"/>
  <c r="G442" i="3"/>
  <c r="BA445" i="3"/>
  <c r="AZ445" i="3" s="1"/>
  <c r="BA447" i="3"/>
  <c r="AZ447" i="3" s="1"/>
  <c r="BL447" i="3"/>
  <c r="G448" i="3"/>
  <c r="BA449" i="3"/>
  <c r="BL449" i="3"/>
  <c r="G450" i="3"/>
  <c r="BA453" i="3"/>
  <c r="AZ453" i="3" s="1"/>
  <c r="BA455" i="3"/>
  <c r="AZ455" i="3" s="1"/>
  <c r="BA457" i="3"/>
  <c r="AZ457" i="3" s="1"/>
  <c r="BL457" i="3"/>
  <c r="G458" i="3"/>
  <c r="BL458" i="3"/>
  <c r="AZ458" i="3" s="1"/>
  <c r="BA459" i="3"/>
  <c r="AZ459" i="3" s="1"/>
  <c r="BL459" i="3"/>
  <c r="G460" i="3"/>
  <c r="BA461" i="3"/>
  <c r="BL461" i="3"/>
  <c r="G462" i="3"/>
  <c r="BA465" i="3"/>
  <c r="AZ465" i="3" s="1"/>
  <c r="BL465" i="3"/>
  <c r="G466" i="3"/>
  <c r="BL466" i="3"/>
  <c r="AZ466" i="3" s="1"/>
  <c r="BA467" i="3"/>
  <c r="AZ467" i="3" s="1"/>
  <c r="BL467" i="3"/>
  <c r="G468" i="3"/>
  <c r="BA469" i="3"/>
  <c r="BL469" i="3"/>
  <c r="G470" i="3"/>
  <c r="BL472" i="3"/>
  <c r="BL473" i="3"/>
  <c r="BL474" i="3"/>
  <c r="AZ474" i="3" s="1"/>
  <c r="BL475" i="3"/>
  <c r="AZ475" i="3" s="1"/>
  <c r="BA477" i="3"/>
  <c r="AZ477" i="3" s="1"/>
  <c r="G478" i="3"/>
  <c r="BA478" i="3"/>
  <c r="G479" i="3"/>
  <c r="BL480" i="3"/>
  <c r="G305" i="3"/>
  <c r="G307" i="3"/>
  <c r="G309" i="3"/>
  <c r="BL310" i="3"/>
  <c r="AZ310" i="3" s="1"/>
  <c r="BA313" i="3"/>
  <c r="AZ313" i="3" s="1"/>
  <c r="G317" i="3"/>
  <c r="BL318" i="3"/>
  <c r="BL332" i="3"/>
  <c r="AZ332" i="3" s="1"/>
  <c r="BA333" i="3"/>
  <c r="AZ333" i="3" s="1"/>
  <c r="BA334" i="3"/>
  <c r="BA335" i="3"/>
  <c r="AZ335" i="3" s="1"/>
  <c r="G336" i="3"/>
  <c r="G345" i="3"/>
  <c r="BL350" i="3"/>
  <c r="BA357" i="3"/>
  <c r="AZ357" i="3" s="1"/>
  <c r="BA371" i="3"/>
  <c r="AZ371" i="3" s="1"/>
  <c r="BA393" i="3"/>
  <c r="AZ393" i="3" s="1"/>
  <c r="BL395" i="3"/>
  <c r="AZ395" i="3" s="1"/>
  <c r="BA404" i="3"/>
  <c r="AZ404" i="3" s="1"/>
  <c r="AZ408" i="3"/>
  <c r="BA410" i="3"/>
  <c r="AZ410" i="3" s="1"/>
  <c r="BA416" i="3"/>
  <c r="AZ416" i="3" s="1"/>
  <c r="BL418" i="3"/>
  <c r="AZ418" i="3" s="1"/>
  <c r="AZ420" i="3"/>
  <c r="BA422" i="3"/>
  <c r="AZ422" i="3" s="1"/>
  <c r="AZ424" i="3"/>
  <c r="BL424" i="3"/>
  <c r="BA430" i="3"/>
  <c r="AZ430" i="3" s="1"/>
  <c r="BL432" i="3"/>
  <c r="AZ432" i="3" s="1"/>
  <c r="BL434" i="3"/>
  <c r="AZ434" i="3" s="1"/>
  <c r="BA440" i="3"/>
  <c r="AZ440" i="3" s="1"/>
  <c r="BA442" i="3"/>
  <c r="AZ442" i="3" s="1"/>
  <c r="BL444" i="3"/>
  <c r="AZ444" i="3" s="1"/>
  <c r="BA448" i="3"/>
  <c r="AZ448" i="3" s="1"/>
  <c r="BA450" i="3"/>
  <c r="AZ450" i="3" s="1"/>
  <c r="BL452" i="3"/>
  <c r="AZ452" i="3" s="1"/>
  <c r="BA460" i="3"/>
  <c r="AZ460" i="3" s="1"/>
  <c r="BL462" i="3"/>
  <c r="AZ462" i="3" s="1"/>
  <c r="BA468" i="3"/>
  <c r="AZ468" i="3" s="1"/>
  <c r="AZ470" i="3"/>
  <c r="BL470" i="3"/>
  <c r="AZ472" i="3"/>
  <c r="AZ473" i="3"/>
  <c r="BA476" i="3"/>
  <c r="AZ476" i="3" s="1"/>
  <c r="BL478" i="3"/>
  <c r="AZ480" i="3"/>
  <c r="BA309" i="3"/>
  <c r="AZ309" i="3" s="1"/>
  <c r="BL314" i="3"/>
  <c r="AZ314" i="3" s="1"/>
  <c r="BA317" i="3"/>
  <c r="AZ317" i="3" s="1"/>
  <c r="BA318" i="3"/>
  <c r="AZ318" i="3" s="1"/>
  <c r="BA319" i="3"/>
  <c r="AZ319" i="3" s="1"/>
  <c r="G320" i="3"/>
  <c r="G329" i="3"/>
  <c r="BL334" i="3"/>
  <c r="BL346" i="3"/>
  <c r="AZ346" i="3" s="1"/>
  <c r="BL348" i="3"/>
  <c r="AZ348" i="3" s="1"/>
  <c r="BA349" i="3"/>
  <c r="AZ349" i="3" s="1"/>
  <c r="BA350" i="3"/>
  <c r="AZ350" i="3" s="1"/>
  <c r="BA351" i="3"/>
  <c r="AZ351" i="3" s="1"/>
  <c r="G352" i="3"/>
  <c r="BL360" i="3"/>
  <c r="AZ360" i="3" s="1"/>
  <c r="G367" i="3"/>
  <c r="BA368" i="3"/>
  <c r="AZ368" i="3" s="1"/>
  <c r="BL369" i="3"/>
  <c r="AZ369" i="3" s="1"/>
  <c r="G379" i="3"/>
  <c r="BL382" i="3"/>
  <c r="AZ382" i="3" s="1"/>
  <c r="BL384" i="3"/>
  <c r="G386" i="3"/>
  <c r="BL387" i="3"/>
  <c r="AZ387" i="3" s="1"/>
  <c r="G207" i="3"/>
  <c r="G208" i="3"/>
  <c r="BA208" i="3"/>
  <c r="G209" i="3"/>
  <c r="BL210" i="3"/>
  <c r="AZ210" i="3" s="1"/>
  <c r="G212" i="3"/>
  <c r="BL213" i="3"/>
  <c r="AZ213" i="3" s="1"/>
  <c r="BA214" i="3"/>
  <c r="AZ214" i="3" s="1"/>
  <c r="G215" i="3"/>
  <c r="G216" i="3"/>
  <c r="BL216" i="3"/>
  <c r="G219" i="3"/>
  <c r="BL219" i="3"/>
  <c r="AZ219" i="3" s="1"/>
  <c r="BL221" i="3"/>
  <c r="AZ221" i="3" s="1"/>
  <c r="BA222" i="3"/>
  <c r="G223" i="3"/>
  <c r="G224" i="3"/>
  <c r="BL224" i="3"/>
  <c r="AZ224" i="3" s="1"/>
  <c r="BA226" i="3"/>
  <c r="AZ226" i="3" s="1"/>
  <c r="BA228" i="3"/>
  <c r="G229" i="3"/>
  <c r="BL230" i="3"/>
  <c r="AZ230" i="3" s="1"/>
  <c r="BA231" i="3"/>
  <c r="AZ231" i="3" s="1"/>
  <c r="G232" i="3"/>
  <c r="BL232" i="3"/>
  <c r="G235" i="3"/>
  <c r="BL235" i="3"/>
  <c r="AZ235" i="3" s="1"/>
  <c r="BL236" i="3"/>
  <c r="AZ236" i="3" s="1"/>
  <c r="BL237" i="3"/>
  <c r="AZ237" i="3" s="1"/>
  <c r="BA238" i="3"/>
  <c r="G239" i="3"/>
  <c r="G240" i="3"/>
  <c r="BL240" i="3"/>
  <c r="AZ240" i="3" s="1"/>
  <c r="BL241" i="3"/>
  <c r="AZ241" i="3" s="1"/>
  <c r="G243" i="3"/>
  <c r="BL243" i="3"/>
  <c r="AZ243" i="3" s="1"/>
  <c r="BL244" i="3"/>
  <c r="AZ244" i="3" s="1"/>
  <c r="BL245" i="3"/>
  <c r="AZ245" i="3" s="1"/>
  <c r="BA246" i="3"/>
  <c r="G247" i="3"/>
  <c r="G248" i="3"/>
  <c r="BL248" i="3"/>
  <c r="AZ248" i="3" s="1"/>
  <c r="BL249" i="3"/>
  <c r="AZ249" i="3" s="1"/>
  <c r="G251" i="3"/>
  <c r="BL251" i="3"/>
  <c r="AZ251" i="3" s="1"/>
  <c r="BL252" i="3"/>
  <c r="AZ252" i="3" s="1"/>
  <c r="BL253" i="3"/>
  <c r="AZ253" i="3" s="1"/>
  <c r="BA254" i="3"/>
  <c r="G255" i="3"/>
  <c r="G256" i="3"/>
  <c r="BL256" i="3"/>
  <c r="AZ256" i="3" s="1"/>
  <c r="BL257" i="3"/>
  <c r="AZ257" i="3" s="1"/>
  <c r="G259" i="3"/>
  <c r="BL259" i="3"/>
  <c r="AZ259" i="3" s="1"/>
  <c r="BL260" i="3"/>
  <c r="AZ260" i="3" s="1"/>
  <c r="BL261" i="3"/>
  <c r="AZ261" i="3" s="1"/>
  <c r="BA262" i="3"/>
  <c r="G263" i="3"/>
  <c r="G264" i="3"/>
  <c r="BL264" i="3"/>
  <c r="AZ264" i="3" s="1"/>
  <c r="BL265" i="3"/>
  <c r="AZ265" i="3" s="1"/>
  <c r="G267" i="3"/>
  <c r="BL267" i="3"/>
  <c r="AZ267" i="3" s="1"/>
  <c r="BL268" i="3"/>
  <c r="AZ268" i="3" s="1"/>
  <c r="G270" i="3"/>
  <c r="BL270" i="3"/>
  <c r="AZ270" i="3" s="1"/>
  <c r="BL271" i="3"/>
  <c r="AZ271" i="3" s="1"/>
  <c r="G273" i="3"/>
  <c r="BL273" i="3"/>
  <c r="AZ273" i="3" s="1"/>
  <c r="BA274" i="3"/>
  <c r="AZ274" i="3" s="1"/>
  <c r="BA276" i="3"/>
  <c r="AZ276" i="3" s="1"/>
  <c r="G277" i="3"/>
  <c r="BA277" i="3"/>
  <c r="AZ277" i="3" s="1"/>
  <c r="BA278" i="3"/>
  <c r="AZ278" i="3" s="1"/>
  <c r="G279" i="3"/>
  <c r="BA279" i="3"/>
  <c r="G280" i="3"/>
  <c r="BA280" i="3"/>
  <c r="AZ280" i="3" s="1"/>
  <c r="BA281" i="3"/>
  <c r="AZ281" i="3" s="1"/>
  <c r="G282" i="3"/>
  <c r="G283" i="3"/>
  <c r="BL283" i="3"/>
  <c r="AZ283" i="3" s="1"/>
  <c r="BL284" i="3"/>
  <c r="AZ284" i="3" s="1"/>
  <c r="G286" i="3"/>
  <c r="BL286" i="3"/>
  <c r="AZ286" i="3" s="1"/>
  <c r="BL287" i="3"/>
  <c r="AZ287" i="3" s="1"/>
  <c r="G289" i="3"/>
  <c r="G290" i="3"/>
  <c r="BL291" i="3"/>
  <c r="AZ291" i="3" s="1"/>
  <c r="G293" i="3"/>
  <c r="BA293" i="3"/>
  <c r="G294" i="3"/>
  <c r="BA294" i="3"/>
  <c r="AZ294" i="3" s="1"/>
  <c r="BL295" i="3"/>
  <c r="G296" i="3"/>
  <c r="BL296" i="3"/>
  <c r="AZ296" i="3" s="1"/>
  <c r="BA113" i="3"/>
  <c r="G114" i="3"/>
  <c r="BA115" i="3"/>
  <c r="AZ115" i="3" s="1"/>
  <c r="BA116" i="3"/>
  <c r="G117" i="3"/>
  <c r="G119" i="3"/>
  <c r="BL122" i="3"/>
  <c r="AZ122" i="3" s="1"/>
  <c r="BA123" i="3"/>
  <c r="AZ123" i="3" s="1"/>
  <c r="G125" i="3"/>
  <c r="BL125" i="3"/>
  <c r="BA127" i="3"/>
  <c r="AZ127" i="3" s="1"/>
  <c r="BL128" i="3"/>
  <c r="BA129" i="3"/>
  <c r="AZ129" i="3" s="1"/>
  <c r="G130" i="3"/>
  <c r="BA131" i="3"/>
  <c r="AZ131" i="3" s="1"/>
  <c r="BA132" i="3"/>
  <c r="G133" i="3"/>
  <c r="BA133" i="3"/>
  <c r="G134" i="3"/>
  <c r="G135" i="3"/>
  <c r="BL136" i="3"/>
  <c r="BL137" i="3"/>
  <c r="AZ137" i="3" s="1"/>
  <c r="BA139" i="3"/>
  <c r="AZ139" i="3" s="1"/>
  <c r="BL140" i="3"/>
  <c r="AZ140" i="3" s="1"/>
  <c r="BL142" i="3"/>
  <c r="AZ142" i="3" s="1"/>
  <c r="BA144" i="3"/>
  <c r="G145" i="3"/>
  <c r="G146" i="3"/>
  <c r="G147" i="3"/>
  <c r="G149" i="3"/>
  <c r="BL149" i="3"/>
  <c r="BA151" i="3"/>
  <c r="AZ151" i="3" s="1"/>
  <c r="BL152" i="3"/>
  <c r="AZ152" i="3" s="1"/>
  <c r="BA154" i="3"/>
  <c r="AZ154" i="3" s="1"/>
  <c r="BL155" i="3"/>
  <c r="BA156" i="3"/>
  <c r="AZ156" i="3" s="1"/>
  <c r="G157" i="3"/>
  <c r="BA158" i="3"/>
  <c r="AZ158" i="3" s="1"/>
  <c r="BA159" i="3"/>
  <c r="AZ159" i="3" s="1"/>
  <c r="G160" i="3"/>
  <c r="BA160" i="3"/>
  <c r="AZ160" i="3" s="1"/>
  <c r="G161" i="3"/>
  <c r="G162" i="3"/>
  <c r="BL164" i="3"/>
  <c r="AZ164" i="3" s="1"/>
  <c r="BA166" i="3"/>
  <c r="AZ166" i="3" s="1"/>
  <c r="BL167" i="3"/>
  <c r="AZ167" i="3" s="1"/>
  <c r="BL168" i="3"/>
  <c r="BL169" i="3"/>
  <c r="AZ169" i="3" s="1"/>
  <c r="BA170" i="3"/>
  <c r="AZ170" i="3" s="1"/>
  <c r="BA171" i="3"/>
  <c r="AZ171" i="3" s="1"/>
  <c r="G172" i="3"/>
  <c r="BL173" i="3"/>
  <c r="AZ173" i="3" s="1"/>
  <c r="G176" i="3"/>
  <c r="BL176" i="3"/>
  <c r="BL178" i="3"/>
  <c r="AZ178" i="3" s="1"/>
  <c r="G181" i="3"/>
  <c r="BL204" i="3"/>
  <c r="BL23" i="3"/>
  <c r="BA67" i="3"/>
  <c r="AZ67" i="3" s="1"/>
  <c r="BL75" i="3"/>
  <c r="BL86" i="3"/>
  <c r="AZ86" i="3" s="1"/>
  <c r="BA90" i="3"/>
  <c r="AZ90" i="3" s="1"/>
  <c r="BA96" i="3"/>
  <c r="AZ96" i="3" s="1"/>
  <c r="BL98" i="3"/>
  <c r="BL182" i="3"/>
  <c r="AZ182" i="3" s="1"/>
  <c r="BL184" i="3"/>
  <c r="AZ184" i="3" s="1"/>
  <c r="BA186" i="3"/>
  <c r="G187" i="3"/>
  <c r="G189" i="3"/>
  <c r="BA191" i="3"/>
  <c r="AZ191" i="3" s="1"/>
  <c r="G192" i="3"/>
  <c r="G193" i="3"/>
  <c r="BL194" i="3"/>
  <c r="AZ194" i="3" s="1"/>
  <c r="BL195" i="3"/>
  <c r="AZ195" i="3" s="1"/>
  <c r="BA197" i="3"/>
  <c r="AZ197" i="3" s="1"/>
  <c r="BL198" i="3"/>
  <c r="BL199" i="3"/>
  <c r="AZ199" i="3" s="1"/>
  <c r="BL200" i="3"/>
  <c r="AZ200" i="3" s="1"/>
  <c r="BA201" i="3"/>
  <c r="AZ201" i="3" s="1"/>
  <c r="BA202" i="3"/>
  <c r="G23" i="3"/>
  <c r="BA24" i="3"/>
  <c r="G25" i="3"/>
  <c r="BA27" i="3"/>
  <c r="BL27" i="3"/>
  <c r="G28" i="3"/>
  <c r="G30" i="3"/>
  <c r="BL30" i="3"/>
  <c r="BA31" i="3"/>
  <c r="G32" i="3"/>
  <c r="BL32" i="3"/>
  <c r="AZ32" i="3" s="1"/>
  <c r="BA33" i="3"/>
  <c r="BL33" i="3"/>
  <c r="G34" i="3"/>
  <c r="BA37" i="3"/>
  <c r="G38" i="3"/>
  <c r="G39" i="3"/>
  <c r="BL39" i="3"/>
  <c r="AZ39" i="3" s="1"/>
  <c r="BL46" i="3"/>
  <c r="G47" i="3"/>
  <c r="BL47" i="3"/>
  <c r="AZ47" i="3" s="1"/>
  <c r="BA48" i="3"/>
  <c r="BL48" i="3"/>
  <c r="G49" i="3"/>
  <c r="G50" i="3"/>
  <c r="BL50" i="3"/>
  <c r="AZ50" i="3" s="1"/>
  <c r="BA51" i="3"/>
  <c r="AZ51" i="3" s="1"/>
  <c r="BL51" i="3"/>
  <c r="G52" i="3"/>
  <c r="G53" i="3"/>
  <c r="BL53" i="3"/>
  <c r="AZ53" i="3" s="1"/>
  <c r="BA54" i="3"/>
  <c r="BL54" i="3"/>
  <c r="G55" i="3"/>
  <c r="G56" i="3"/>
  <c r="BA57" i="3"/>
  <c r="BL57" i="3"/>
  <c r="G58" i="3"/>
  <c r="G59" i="3"/>
  <c r="BA60" i="3"/>
  <c r="BL60" i="3"/>
  <c r="BA73" i="3"/>
  <c r="AZ73" i="3" s="1"/>
  <c r="BL81" i="3"/>
  <c r="AZ92" i="3"/>
  <c r="BL92" i="3"/>
  <c r="G61" i="3"/>
  <c r="G62" i="3"/>
  <c r="BL62" i="3"/>
  <c r="AZ62" i="3" s="1"/>
  <c r="BA63" i="3"/>
  <c r="AZ63" i="3" s="1"/>
  <c r="G64" i="3"/>
  <c r="G65" i="3"/>
  <c r="BL65" i="3"/>
  <c r="AZ65" i="3" s="1"/>
  <c r="BA66" i="3"/>
  <c r="BL66" i="3"/>
  <c r="G67" i="3"/>
  <c r="BA70" i="3"/>
  <c r="AZ70" i="3" s="1"/>
  <c r="BA72" i="3"/>
  <c r="BL72" i="3"/>
  <c r="G73" i="3"/>
  <c r="BA74" i="3"/>
  <c r="AZ74" i="3" s="1"/>
  <c r="G75" i="3"/>
  <c r="BA75" i="3"/>
  <c r="G76" i="3"/>
  <c r="BA76" i="3"/>
  <c r="AZ76" i="3" s="1"/>
  <c r="BL77" i="3"/>
  <c r="AZ77" i="3" s="1"/>
  <c r="BL78" i="3"/>
  <c r="AZ78" i="3" s="1"/>
  <c r="BL79" i="3"/>
  <c r="AZ79" i="3" s="1"/>
  <c r="BA80" i="3"/>
  <c r="G81" i="3"/>
  <c r="BA81" i="3"/>
  <c r="G82" i="3"/>
  <c r="BL83" i="3"/>
  <c r="AZ83" i="3" s="1"/>
  <c r="BA84" i="3"/>
  <c r="AZ84" i="3" s="1"/>
  <c r="BA87" i="3"/>
  <c r="AZ87" i="3" s="1"/>
  <c r="BL88" i="3"/>
  <c r="AZ88" i="3" s="1"/>
  <c r="BA89" i="3"/>
  <c r="BL89" i="3"/>
  <c r="G90" i="3"/>
  <c r="BA91" i="3"/>
  <c r="BL91" i="3"/>
  <c r="G92" i="3"/>
  <c r="BA93" i="3"/>
  <c r="AZ93" i="3" s="1"/>
  <c r="BL94" i="3"/>
  <c r="AZ94" i="3" s="1"/>
  <c r="BL95" i="3"/>
  <c r="AZ95" i="3" s="1"/>
  <c r="BA98" i="3"/>
  <c r="AZ98" i="3" s="1"/>
  <c r="G99" i="3"/>
  <c r="BL100" i="3"/>
  <c r="AZ100" i="3" s="1"/>
  <c r="BL101" i="3"/>
  <c r="AZ101" i="3" s="1"/>
  <c r="BL102" i="3"/>
  <c r="AZ102" i="3" s="1"/>
  <c r="BA103" i="3"/>
  <c r="G104" i="3"/>
  <c r="BA104" i="3"/>
  <c r="G105" i="3"/>
  <c r="BA105" i="3"/>
  <c r="AZ105" i="3" s="1"/>
  <c r="BL106" i="3"/>
  <c r="AZ106" i="3" s="1"/>
  <c r="BA107" i="3"/>
  <c r="AZ107" i="3" s="1"/>
  <c r="BL108" i="3"/>
  <c r="BA109" i="3"/>
  <c r="G110" i="3"/>
  <c r="BA112" i="3"/>
  <c r="AZ112" i="3" s="1"/>
  <c r="B13" i="1"/>
  <c r="E13" i="1" s="1"/>
  <c r="I15" i="57"/>
  <c r="S31" i="39"/>
  <c r="BL104" i="3"/>
  <c r="AZ108" i="3"/>
  <c r="BA110" i="3"/>
  <c r="AZ110" i="3" s="1"/>
  <c r="BL112" i="3"/>
  <c r="D3" i="2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AZ400" i="3" s="1"/>
  <c r="G401" i="3"/>
  <c r="BL409" i="3"/>
  <c r="AZ409" i="3" s="1"/>
  <c r="G414" i="3"/>
  <c r="AZ464" i="3"/>
  <c r="AZ208" i="3"/>
  <c r="BL208"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AZ211" i="3" s="1"/>
  <c r="BL212" i="3"/>
  <c r="AZ212" i="3" s="1"/>
  <c r="BL217" i="3"/>
  <c r="AZ217" i="3" s="1"/>
  <c r="BA292" i="3"/>
  <c r="AZ292" i="3" s="1"/>
  <c r="BL120" i="3"/>
  <c r="AZ120" i="3" s="1"/>
  <c r="AZ149" i="3"/>
  <c r="AZ155" i="3"/>
  <c r="AZ190" i="3"/>
  <c r="AZ202" i="3"/>
  <c r="AZ37" i="3"/>
  <c r="BL289" i="3"/>
  <c r="AZ289" i="3" s="1"/>
  <c r="BL121" i="3"/>
  <c r="AZ121" i="3" s="1"/>
  <c r="AZ132" i="3"/>
  <c r="BL141" i="3"/>
  <c r="AZ141" i="3" s="1"/>
  <c r="BA143" i="3"/>
  <c r="AZ143" i="3" s="1"/>
  <c r="BL163" i="3"/>
  <c r="AZ163" i="3" s="1"/>
  <c r="BL177" i="3"/>
  <c r="AZ177" i="3" s="1"/>
  <c r="BA179" i="3"/>
  <c r="AZ179" i="3" s="1"/>
  <c r="AZ198" i="3"/>
  <c r="BA295" i="3"/>
  <c r="AZ295" i="3" s="1"/>
  <c r="BA119" i="3"/>
  <c r="AZ119" i="3" s="1"/>
  <c r="BA124" i="3"/>
  <c r="AZ124" i="3" s="1"/>
  <c r="AZ125" i="3"/>
  <c r="AZ128" i="3"/>
  <c r="BL133" i="3"/>
  <c r="AZ133" i="3" s="1"/>
  <c r="BA135" i="3"/>
  <c r="AZ135" i="3" s="1"/>
  <c r="AZ136" i="3"/>
  <c r="BL144" i="3"/>
  <c r="AZ144" i="3" s="1"/>
  <c r="BL146" i="3"/>
  <c r="AZ146" i="3" s="1"/>
  <c r="AZ168" i="3"/>
  <c r="BA172" i="3"/>
  <c r="AZ172" i="3" s="1"/>
  <c r="BA175" i="3"/>
  <c r="AZ175" i="3" s="1"/>
  <c r="AZ176" i="3"/>
  <c r="BL183" i="3"/>
  <c r="AZ183" i="3" s="1"/>
  <c r="BA185" i="3"/>
  <c r="AZ185" i="3" s="1"/>
  <c r="AZ186" i="3"/>
  <c r="BL21" i="3"/>
  <c r="BL22" i="3"/>
  <c r="AZ22" i="3" s="1"/>
  <c r="BL24" i="3"/>
  <c r="AZ24" i="3" s="1"/>
  <c r="BA28" i="3"/>
  <c r="AZ30" i="3"/>
  <c r="BL31" i="3"/>
  <c r="AZ31" i="3" s="1"/>
  <c r="BA34"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AZ36" i="3" s="1"/>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44"/>
  <c r="M26" i="44"/>
  <c r="F40" i="44"/>
  <c r="L48" i="44"/>
  <c r="F9" i="15"/>
  <c r="F36" i="15"/>
  <c r="F37" i="15"/>
  <c r="M9" i="15"/>
  <c r="L47" i="15"/>
  <c r="M30" i="44"/>
  <c r="M8" i="44"/>
  <c r="F11" i="44"/>
  <c r="M29" i="44"/>
  <c r="L49" i="44"/>
  <c r="M24" i="15"/>
  <c r="M11" i="44"/>
  <c r="F38" i="15"/>
  <c r="F43" i="15"/>
  <c r="F8" i="44"/>
  <c r="J17" i="44"/>
  <c r="F38" i="44"/>
  <c r="M28" i="44"/>
  <c r="F15" i="44"/>
  <c r="F9" i="44"/>
  <c r="M23" i="15"/>
  <c r="F10" i="44"/>
  <c r="F6" i="15"/>
  <c r="F45" i="44"/>
  <c r="F26" i="15"/>
  <c r="F28" i="44"/>
  <c r="M31" i="44"/>
  <c r="F43" i="44"/>
  <c r="M25" i="44"/>
  <c r="F18" i="44"/>
  <c r="J15" i="15"/>
  <c r="M10" i="44"/>
  <c r="M8" i="15"/>
  <c r="F39" i="44"/>
  <c r="F7" i="15"/>
  <c r="L48" i="15"/>
  <c r="M22" i="15"/>
  <c r="AZ28" i="3" l="1"/>
  <c r="AZ91" i="3"/>
  <c r="AZ72" i="3"/>
  <c r="AZ66" i="3"/>
  <c r="AZ57" i="3"/>
  <c r="AZ48" i="3"/>
  <c r="AZ27" i="3"/>
  <c r="AZ469" i="3"/>
  <c r="AZ461" i="3"/>
  <c r="AZ449" i="3"/>
  <c r="AZ439" i="3"/>
  <c r="AZ437" i="3"/>
  <c r="AZ431" i="3"/>
  <c r="AZ413" i="3"/>
  <c r="AZ398" i="3"/>
  <c r="AC36" i="35"/>
  <c r="W36" i="35"/>
  <c r="AB11" i="46"/>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63" i="15"/>
  <c r="M7" i="15"/>
  <c r="F49" i="15"/>
  <c r="F70" i="15"/>
  <c r="L56" i="15"/>
  <c r="J57" i="15"/>
  <c r="J55" i="15" s="1"/>
  <c r="J58" i="15" s="1"/>
  <c r="Q51" i="15" s="1"/>
  <c r="F65" i="15"/>
  <c r="G66" i="36"/>
  <c r="J18" i="36"/>
  <c r="AE8" i="1"/>
  <c r="AE6" i="1"/>
  <c r="M26" i="15"/>
  <c r="M29" i="15"/>
  <c r="M19" i="44"/>
  <c r="J36" i="15"/>
  <c r="F16" i="15"/>
  <c r="F40" i="15"/>
  <c r="AE7" i="1"/>
  <c r="M6" i="15"/>
  <c r="F46" i="44"/>
  <c r="M28" i="15"/>
  <c r="F13" i="15"/>
  <c r="C18" i="44"/>
  <c r="F42" i="15"/>
  <c r="F8" i="15"/>
  <c r="F31" i="15" s="1"/>
  <c r="F33" i="44"/>
  <c r="M27" i="15"/>
  <c r="Q72" i="15" l="1"/>
  <c r="F67" i="15"/>
  <c r="C10" i="15"/>
  <c r="F50" i="15"/>
  <c r="C6" i="15"/>
  <c r="J7" i="34"/>
  <c r="K105" i="46"/>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M17" i="15"/>
  <c r="C16" i="15"/>
  <c r="L52" i="44"/>
  <c r="F41" i="15"/>
  <c r="F58" i="15"/>
  <c r="F7" i="67"/>
  <c r="S7" i="37" l="1"/>
  <c r="F68" i="15"/>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C17" i="15"/>
  <c r="C19" i="44"/>
  <c r="E7" i="67"/>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N89" i="9"/>
  <c r="C97" i="9" l="1"/>
  <c r="C98" i="9" s="1"/>
  <c r="E98" i="9" s="1"/>
  <c r="E99" i="9" s="1"/>
  <c r="C113" i="9"/>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51" i="9" l="1"/>
  <c r="C50" i="9" s="1"/>
  <c r="I51" i="9" l="1"/>
  <c r="I50" i="9"/>
  <c r="D16" i="66" l="1"/>
  <c r="E16" i="66" l="1"/>
  <c r="F16" i="66"/>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<sst xmlns="http://schemas.openxmlformats.org/spreadsheetml/2006/main" count="7023" uniqueCount="3070">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</sst>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36257.9</v>
          </cell>
          <cell r="E3">
            <v>77823.41</v>
          </cell>
        </row>
      </sheetData>
      <sheetData sheetId="13" refreshError="1"/>
      <sheetData sheetId="14" refreshError="1"/>
      <sheetData sheetId="15" refreshError="1"/>
      <sheetData sheetId="16">
        <row r="19">
          <cell r="G19">
            <v>46230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62872</v>
          </cell>
          <cell r="E3">
            <v>184794.83</v>
          </cell>
        </row>
      </sheetData>
      <sheetData sheetId="13" refreshError="1"/>
      <sheetData sheetId="14" refreshError="1"/>
      <sheetData sheetId="15" refreshError="1"/>
      <sheetData sheetId="16">
        <row r="19">
          <cell r="G19">
            <v>403163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2018年1月23日（评估专业人员勘察现场之日）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估价期日：2018年1月23日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72005</v>
      </c>
    </row>
    <row r="47" spans="1:2">
      <c r="A47" s="2901" t="s">
        <v>2733</v>
      </c>
      <c r="B47" s="2902">
        <f ca="1">'预评函-2'!Q5</f>
        <v>19727</v>
      </c>
    </row>
    <row r="48" spans="1:2">
      <c r="A48" s="2901" t="s">
        <v>2734</v>
      </c>
      <c r="B48" s="2902">
        <f ca="1">'预评函-2'!R5</f>
        <v>269141</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7" sqref="L7"/>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32" t="str">
        <f>IF(B10="北京市","北京市",C10)&amp;F10&amp;B16&amp;"国有建设用地使用权"&amp;B9&amp;"预评估"</f>
        <v>出让国有建设用地使用权预评估</v>
      </c>
      <c r="C1" s="3233"/>
      <c r="D1" s="3233"/>
      <c r="E1" s="3233"/>
      <c r="F1" s="3233"/>
      <c r="G1" s="3233"/>
      <c r="H1" s="3233"/>
      <c r="I1" s="3234"/>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43123</v>
      </c>
      <c r="C3" s="1659" t="s">
        <v>1999</v>
      </c>
      <c r="D3" s="1658">
        <v>43123</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38"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39"/>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35"/>
      <c r="C12" s="3236"/>
      <c r="D12" s="3237"/>
      <c r="E12" s="1695" t="s">
        <v>2065</v>
      </c>
      <c r="F12" s="3253" t="s">
        <v>2899</v>
      </c>
      <c r="G12" s="3254"/>
      <c r="H12" s="3254"/>
      <c r="I12" s="3255"/>
      <c r="J12" s="1690"/>
      <c r="K12" s="1770"/>
      <c r="L12" s="1719"/>
      <c r="M12" s="1719"/>
      <c r="N12" s="1690"/>
      <c r="O12" s="1691"/>
      <c r="P12" s="1690"/>
      <c r="Q12" s="1690"/>
      <c r="R12" s="1690"/>
      <c r="S12" s="1690"/>
      <c r="T12" s="1690"/>
      <c r="U12" s="1690"/>
    </row>
    <row r="13" spans="1:21">
      <c r="A13" s="1683" t="s">
        <v>2063</v>
      </c>
      <c r="B13" s="3235"/>
      <c r="C13" s="3236"/>
      <c r="D13" s="3237"/>
      <c r="E13" s="1695" t="s">
        <v>2065</v>
      </c>
      <c r="F13" s="3253" t="s">
        <v>2900</v>
      </c>
      <c r="G13" s="3254"/>
      <c r="H13" s="3254"/>
      <c r="I13" s="3255"/>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69.849999999999994</v>
      </c>
      <c r="E19" s="1681">
        <f>IF(B16="出让",IF(E17="","",ROUNDDOWN(MIN((E17-$D$3)/365,E18),2)),E18)</f>
        <v>39.83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50"/>
      <c r="E20" s="3251"/>
      <c r="F20" s="3251"/>
      <c r="G20" s="3251"/>
      <c r="H20" s="3251"/>
      <c r="I20" s="3252"/>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40" t="s">
        <v>2002</v>
      </c>
      <c r="F21" s="3241"/>
      <c r="G21" s="3241"/>
      <c r="H21" s="3241"/>
      <c r="I21" s="3242"/>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40" t="s">
        <v>2901</v>
      </c>
      <c r="F22" s="3241"/>
      <c r="G22" s="3241"/>
      <c r="H22" s="3241"/>
      <c r="I22" s="3242"/>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43" t="s">
        <v>1970</v>
      </c>
      <c r="C24" s="3244"/>
      <c r="D24" s="3245" t="s">
        <v>1971</v>
      </c>
      <c r="E24" s="3246"/>
      <c r="F24" s="1704" t="s">
        <v>1972</v>
      </c>
      <c r="G24" s="1690"/>
      <c r="H24" s="1690"/>
      <c r="I24" s="1703"/>
      <c r="J24" s="1690"/>
      <c r="K24" s="3231"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3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3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58" t="s">
        <v>2005</v>
      </c>
      <c r="B31" s="1760" t="s">
        <v>2006</v>
      </c>
      <c r="C31" s="3256"/>
      <c r="D31" s="3257"/>
      <c r="E31" s="1690"/>
      <c r="F31" s="1690"/>
      <c r="G31" s="1690"/>
      <c r="H31" s="1690"/>
      <c r="I31" s="1703"/>
      <c r="J31" s="1690"/>
      <c r="K31" s="2479"/>
      <c r="L31" s="1690"/>
      <c r="M31" s="1690"/>
      <c r="N31" s="1690"/>
      <c r="O31" s="1690"/>
      <c r="P31" s="1690"/>
      <c r="Q31" s="1690"/>
      <c r="R31" s="1690"/>
      <c r="S31" s="1690"/>
      <c r="T31" s="1690"/>
      <c r="U31" s="1690"/>
    </row>
    <row r="32" spans="1:21">
      <c r="A32" s="3258"/>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58"/>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59"/>
      <c r="B34" s="1657" t="s">
        <v>2009</v>
      </c>
      <c r="C34" s="3260"/>
      <c r="D34" s="3261"/>
      <c r="E34" s="1690"/>
      <c r="F34" s="1690"/>
      <c r="G34" s="1690"/>
      <c r="H34" s="1690"/>
      <c r="I34" s="1703"/>
      <c r="J34" s="1690"/>
      <c r="K34" s="2479"/>
      <c r="L34" s="1690"/>
      <c r="M34" s="1690"/>
      <c r="N34" s="1690"/>
      <c r="O34" s="1690"/>
      <c r="P34" s="1690"/>
      <c r="Q34" s="1690"/>
      <c r="R34" s="1690"/>
      <c r="S34" s="1690"/>
      <c r="T34" s="1690"/>
      <c r="U34" s="1690"/>
    </row>
    <row r="35" spans="1:21">
      <c r="A35" s="3262" t="s">
        <v>848</v>
      </c>
      <c r="B35" s="1718"/>
      <c r="C35" s="1772" t="str">
        <f>IF(B35="场地平整","——","具体情况：")</f>
        <v>具体情况：</v>
      </c>
      <c r="D35" s="3264"/>
      <c r="E35" s="3265"/>
      <c r="F35" s="3265"/>
      <c r="G35" s="3265"/>
      <c r="H35" s="3265"/>
      <c r="I35" s="3266"/>
      <c r="J35" s="1690"/>
      <c r="K35" s="1771"/>
      <c r="L35" s="1719"/>
      <c r="M35" s="1719"/>
      <c r="N35" s="1690"/>
      <c r="O35" s="1691"/>
      <c r="P35" s="1690"/>
      <c r="Q35" s="1690"/>
      <c r="R35" s="1690"/>
      <c r="S35" s="1690"/>
      <c r="T35" s="1690"/>
      <c r="U35" s="1690"/>
    </row>
    <row r="36" spans="1:21">
      <c r="A36" s="3258"/>
      <c r="B36" s="3267" t="s">
        <v>2058</v>
      </c>
      <c r="C36" s="3268"/>
      <c r="D36" s="1788"/>
      <c r="E36" s="3269"/>
      <c r="F36" s="3269"/>
      <c r="G36" s="1683" t="str">
        <f>IF(B35="场地未平整","估价结果处理","")</f>
        <v/>
      </c>
      <c r="H36" s="3270"/>
      <c r="I36" s="3270"/>
      <c r="J36" s="1690"/>
      <c r="K36" s="1771"/>
      <c r="L36" s="1719"/>
      <c r="M36" s="1719"/>
      <c r="N36" s="1690"/>
      <c r="O36" s="1691"/>
      <c r="P36" s="1690"/>
      <c r="Q36" s="1690"/>
      <c r="R36" s="1690"/>
      <c r="S36" s="1690"/>
      <c r="T36" s="1690"/>
      <c r="U36" s="1690"/>
    </row>
    <row r="37" spans="1:21" ht="28.5">
      <c r="A37" s="3258"/>
      <c r="B37" s="3247"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58"/>
      <c r="B38" s="3248"/>
      <c r="C38" s="1665" t="s">
        <v>851</v>
      </c>
      <c r="D38" s="1787">
        <f>ROUNDDOWN(MIN(('数据-取费表'!$B$2-D37)/365,D34),1)</f>
        <v>118.1</v>
      </c>
      <c r="E38" s="1723" t="s">
        <v>852</v>
      </c>
      <c r="F38" s="1690"/>
      <c r="G38" s="1690"/>
      <c r="H38" s="1690"/>
      <c r="I38" s="1703"/>
      <c r="J38" s="1690"/>
      <c r="K38" s="1771"/>
      <c r="L38" s="1690"/>
      <c r="M38" s="1690"/>
      <c r="N38" s="1690"/>
      <c r="O38" s="1690"/>
      <c r="P38" s="1690"/>
      <c r="Q38" s="1690"/>
      <c r="R38" s="1690"/>
      <c r="S38" s="1690"/>
      <c r="T38" s="1690"/>
      <c r="U38" s="1690"/>
    </row>
    <row r="39" spans="1:21">
      <c r="A39" s="3259"/>
      <c r="B39" s="324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30" t="s">
        <v>1989</v>
      </c>
      <c r="T40" s="1727" t="str">
        <f>NUMBERSTRING(7-K40,1)&amp;"通"</f>
        <v>七通</v>
      </c>
      <c r="U40" s="1690"/>
    </row>
    <row r="41" spans="1:21">
      <c r="A41" s="1659"/>
      <c r="B41" s="3263" t="s">
        <v>1723</v>
      </c>
      <c r="C41" s="3263"/>
      <c r="D41" s="3263"/>
      <c r="E41" s="3263"/>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0"/>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K33" sqref="K3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2" t="s">
        <v>203</v>
      </c>
      <c r="B2" s="3282"/>
      <c r="C2" s="3282"/>
      <c r="D2" s="1972" t="s">
        <v>204</v>
      </c>
      <c r="E2" s="106" t="s">
        <v>205</v>
      </c>
      <c r="F2" s="1981"/>
      <c r="G2" s="1194"/>
      <c r="H2" s="1195"/>
      <c r="I2" s="1196" t="s">
        <v>858</v>
      </c>
      <c r="J2" s="1981"/>
      <c r="K2" s="1981"/>
      <c r="L2" s="1981"/>
    </row>
    <row r="3" spans="1:16" ht="15.75" thickBot="1">
      <c r="A3" s="3283" t="s">
        <v>206</v>
      </c>
      <c r="B3" s="3283"/>
      <c r="C3" s="3283"/>
      <c r="D3" s="107">
        <f>'数据-基础表'!AY6</f>
        <v>37378.1</v>
      </c>
      <c r="E3" s="107">
        <f>'数据-基础表'!AZ5</f>
        <v>136430.07</v>
      </c>
      <c r="F3" s="1981"/>
      <c r="G3" s="279" t="s">
        <v>859</v>
      </c>
      <c r="H3" s="274" t="s">
        <v>860</v>
      </c>
      <c r="I3" s="1973">
        <f>ROUND('数据-基础表'!B3/'数据-基础表'!A3,2)</f>
        <v>3.65</v>
      </c>
      <c r="J3" s="1981"/>
      <c r="K3" s="1981"/>
      <c r="L3" s="1981"/>
    </row>
    <row r="4" spans="1:16" ht="15">
      <c r="A4" s="3284"/>
      <c r="B4" s="3285"/>
      <c r="C4" s="3286"/>
      <c r="D4" s="108" t="s">
        <v>204</v>
      </c>
      <c r="E4" s="109" t="s">
        <v>205</v>
      </c>
      <c r="F4" s="1981"/>
      <c r="G4" s="1197"/>
      <c r="H4" s="274" t="s">
        <v>861</v>
      </c>
      <c r="I4" s="1973">
        <f>ROUND(SUMIF('数据-基础表'!I9:AS9,"地上",'数据-基础表'!I5:AS5)/'数据-基础表'!A3,2)</f>
        <v>3.65</v>
      </c>
      <c r="J4" s="1981"/>
      <c r="K4" s="1981"/>
      <c r="L4" s="1981"/>
    </row>
    <row r="5" spans="1:16">
      <c r="A5" s="110" t="s">
        <v>207</v>
      </c>
      <c r="B5" s="3287" t="s">
        <v>230</v>
      </c>
      <c r="C5" s="3287"/>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7" t="s">
        <v>208</v>
      </c>
      <c r="C6" s="3287"/>
      <c r="D6" s="111">
        <f>ROUND($D$3*E6/$E$3,2)</f>
        <v>9140.9</v>
      </c>
      <c r="E6" s="112">
        <f>E3-E5</f>
        <v>33364.300000000003</v>
      </c>
      <c r="F6" s="1981"/>
      <c r="G6" s="1197"/>
      <c r="H6" s="274" t="s">
        <v>861</v>
      </c>
      <c r="I6" s="1973">
        <f>ROUND(F31/D31,2)</f>
        <v>3.65</v>
      </c>
      <c r="J6" s="1981"/>
      <c r="K6" s="1981"/>
      <c r="L6" s="1981"/>
    </row>
    <row r="7" spans="1:16" ht="15">
      <c r="A7" s="3279"/>
      <c r="B7" s="3280"/>
      <c r="C7" s="3281"/>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3" t="s">
        <v>2573</v>
      </c>
      <c r="L16" s="3274"/>
      <c r="M16" s="3274"/>
      <c r="N16" s="3274"/>
      <c r="O16" s="3274"/>
      <c r="P16" s="3275"/>
    </row>
    <row r="17" spans="1:19" ht="15">
      <c r="A17" s="121" t="s">
        <v>216</v>
      </c>
      <c r="B17" s="122" t="s">
        <v>217</v>
      </c>
      <c r="C17" s="2295" t="s">
        <v>2317</v>
      </c>
      <c r="D17" s="108" t="s">
        <v>204</v>
      </c>
      <c r="E17" s="124" t="s">
        <v>205</v>
      </c>
      <c r="F17" s="125"/>
      <c r="G17" s="1362"/>
      <c r="H17" s="966" t="s">
        <v>218</v>
      </c>
      <c r="I17" s="967" t="s">
        <v>2316</v>
      </c>
      <c r="J17" s="1981"/>
      <c r="K17" s="3276" t="s">
        <v>2574</v>
      </c>
      <c r="L17" s="3277"/>
      <c r="M17" s="3278"/>
      <c r="N17" s="3276" t="s">
        <v>2575</v>
      </c>
      <c r="O17" s="3277"/>
      <c r="P17" s="3278"/>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AE25" sqref="AE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43123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69.849999999999994</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39.83</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36.33</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39.83</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7" sqref="G7"/>
    </sheetView>
  </sheetViews>
  <sheetFormatPr defaultColWidth="14.625" defaultRowHeight="13.5"/>
  <cols>
    <col min="1" max="1" width="24.375" customWidth="1"/>
  </cols>
  <sheetData>
    <row r="1" spans="1:9" ht="16.5">
      <c r="A1" s="3068" t="s">
        <v>2853</v>
      </c>
      <c r="B1" s="3068">
        <f>SUM(B14:B23)</f>
        <v>399048.31</v>
      </c>
      <c r="C1" s="3069"/>
      <c r="D1" s="3069"/>
      <c r="E1" s="3069"/>
      <c r="F1" s="3069"/>
    </row>
    <row r="2" spans="1:9" ht="16.5">
      <c r="A2" s="3068" t="s">
        <v>2854</v>
      </c>
      <c r="B2" s="3068">
        <f>SUM(C14:C23)</f>
        <v>136508</v>
      </c>
      <c r="C2" s="3069"/>
      <c r="D2" s="3069"/>
      <c r="E2" s="3069"/>
      <c r="F2" s="3069"/>
    </row>
    <row r="3" spans="1:9" ht="16.5">
      <c r="A3" s="3068" t="s">
        <v>2855</v>
      </c>
      <c r="B3" s="3070">
        <f>项目基本情况!D3</f>
        <v>43123</v>
      </c>
      <c r="C3" s="3069"/>
      <c r="D3" s="3069"/>
      <c r="E3" s="3069"/>
      <c r="F3" s="3069"/>
    </row>
    <row r="4" spans="1:9" ht="33">
      <c r="A4" s="3068" t="s">
        <v>2856</v>
      </c>
      <c r="B4" s="3068" t="s">
        <v>2857</v>
      </c>
      <c r="C4" s="3068" t="s">
        <v>2858</v>
      </c>
      <c r="D4" s="3068" t="s">
        <v>2859</v>
      </c>
      <c r="E4" s="3069"/>
      <c r="F4" s="3069"/>
    </row>
    <row r="5" spans="1:9" ht="16.5">
      <c r="A5" s="3068" t="s">
        <v>2860</v>
      </c>
      <c r="B5" s="3068">
        <f ca="1">SUM(D14:D23)</f>
        <v>718534</v>
      </c>
      <c r="C5" s="3068">
        <f ca="1">ROUND(B5*10000/$B$1,0)</f>
        <v>18006</v>
      </c>
      <c r="D5" s="3068">
        <f ca="1">ROUND(B5*10000/$B$2,0)</f>
        <v>52637</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269141</v>
      </c>
      <c r="E14" s="3072">
        <f ca="1">ROUND(D14*10000/B14,0)</f>
        <v>19727</v>
      </c>
      <c r="F14" s="3072">
        <f ca="1">ROUND(D14*10000/C14,0)</f>
        <v>72005</v>
      </c>
      <c r="G14" s="3072" t="str">
        <f>结果表!C44</f>
        <v>——</v>
      </c>
      <c r="H14" s="3072" t="str">
        <f>结果表!C45</f>
        <v>——</v>
      </c>
      <c r="I14" s="3072" t="str">
        <f>结果表!C46</f>
        <v>——</v>
      </c>
    </row>
    <row r="15" spans="1:9" ht="16.5">
      <c r="A15" s="3075" t="s">
        <v>2870</v>
      </c>
      <c r="B15" s="3076">
        <f>'[1]数据-汇总表'!$E$3</f>
        <v>77823.41</v>
      </c>
      <c r="C15" s="3076">
        <f>'[1]数据-汇总表'!$D$3</f>
        <v>36257.9</v>
      </c>
      <c r="D15" s="3076">
        <f>[1]结果表!$G$19</f>
        <v>46230</v>
      </c>
      <c r="E15" s="3072">
        <f t="shared" ref="E15:E23" si="2">ROUND(D15*10000/B15,0)</f>
        <v>5940</v>
      </c>
      <c r="F15" s="3072">
        <f t="shared" ref="F15:F23" si="3">ROUND(D15*10000/C15,0)</f>
        <v>12750</v>
      </c>
      <c r="G15" s="3073"/>
      <c r="H15" s="3073"/>
      <c r="I15" s="3076"/>
    </row>
    <row r="16" spans="1:9" ht="16.5">
      <c r="A16" s="3075" t="s">
        <v>2871</v>
      </c>
      <c r="B16" s="3076">
        <f>'[2]数据-汇总表'!$E$3</f>
        <v>184794.83</v>
      </c>
      <c r="C16" s="3076">
        <f>'[2]数据-汇总表'!$D$3</f>
        <v>62872</v>
      </c>
      <c r="D16" s="3076">
        <f>[2]结果表!$G$19</f>
        <v>403163</v>
      </c>
      <c r="E16" s="3072">
        <f t="shared" si="2"/>
        <v>21817</v>
      </c>
      <c r="F16" s="3072">
        <f t="shared" si="3"/>
        <v>64124</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35" t="str">
        <f>项目基本情况!K2</f>
        <v>出让国有建设用地使用权</v>
      </c>
      <c r="B2" s="3336"/>
      <c r="C2" s="3337"/>
      <c r="D2" s="3337"/>
      <c r="E2" s="3337"/>
      <c r="F2" s="3337"/>
      <c r="G2" s="3336"/>
      <c r="H2" s="3336"/>
      <c r="I2" s="3338"/>
      <c r="J2" s="2027"/>
      <c r="K2" s="2026"/>
      <c r="L2" s="2026"/>
      <c r="M2" s="2026"/>
      <c r="N2" s="2026"/>
      <c r="O2" s="2026"/>
      <c r="P2" s="2026"/>
      <c r="Q2" s="2026"/>
      <c r="R2" s="2026"/>
      <c r="S2" s="2026"/>
      <c r="T2" s="2026"/>
      <c r="U2" s="2026"/>
      <c r="V2" s="2026"/>
    </row>
    <row r="3" spans="1:22" ht="14.25">
      <c r="A3" s="3346" t="s">
        <v>298</v>
      </c>
      <c r="B3" s="3347"/>
      <c r="C3" s="3347"/>
      <c r="D3" s="3347"/>
      <c r="E3" s="3347"/>
      <c r="F3" s="3347"/>
      <c r="G3" s="3347"/>
      <c r="H3" s="3347"/>
      <c r="I3" s="3347"/>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310" t="s">
        <v>301</v>
      </c>
      <c r="F4" s="3352"/>
      <c r="G4" s="3352"/>
      <c r="H4" s="3352"/>
      <c r="I4" s="331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9" t="s">
        <v>302</v>
      </c>
      <c r="B5" s="3340">
        <v>25</v>
      </c>
      <c r="C5" s="3348"/>
      <c r="D5" s="3351"/>
      <c r="E5" s="260" t="s">
        <v>303</v>
      </c>
      <c r="F5" s="261"/>
      <c r="G5" s="261"/>
      <c r="H5" s="261"/>
      <c r="I5" s="262"/>
      <c r="J5" s="2027"/>
      <c r="K5" s="2026"/>
      <c r="L5" s="2026"/>
      <c r="M5" s="2026"/>
      <c r="N5" s="2026"/>
      <c r="O5" s="2026"/>
      <c r="P5" s="2026"/>
      <c r="Q5" s="2026"/>
      <c r="R5" s="2026"/>
      <c r="S5" s="2026"/>
      <c r="T5" s="2026"/>
      <c r="U5" s="2026"/>
      <c r="V5" s="2026"/>
    </row>
    <row r="6" spans="1:22" ht="14.25">
      <c r="A6" s="3339"/>
      <c r="B6" s="3340"/>
      <c r="C6" s="3349"/>
      <c r="D6" s="3351"/>
      <c r="E6" s="260" t="s">
        <v>304</v>
      </c>
      <c r="F6" s="261"/>
      <c r="G6" s="261"/>
      <c r="H6" s="261"/>
      <c r="I6" s="262"/>
      <c r="J6" s="2027"/>
      <c r="K6" s="2026"/>
      <c r="L6" s="2026"/>
      <c r="M6" s="2026"/>
      <c r="N6" s="2026"/>
      <c r="O6" s="2026"/>
      <c r="P6" s="2026"/>
      <c r="Q6" s="2026"/>
      <c r="R6" s="2026"/>
      <c r="S6" s="2026"/>
      <c r="T6" s="2026"/>
      <c r="U6" s="2026"/>
      <c r="V6" s="2026"/>
    </row>
    <row r="7" spans="1:22" ht="14.25">
      <c r="A7" s="3339"/>
      <c r="B7" s="3340"/>
      <c r="C7" s="3350"/>
      <c r="D7" s="3351"/>
      <c r="E7" s="260" t="s">
        <v>305</v>
      </c>
      <c r="F7" s="261"/>
      <c r="G7" s="261"/>
      <c r="H7" s="261"/>
      <c r="I7" s="262"/>
      <c r="J7" s="2027"/>
      <c r="K7" s="2026"/>
      <c r="L7" s="2026"/>
      <c r="M7" s="2026"/>
      <c r="N7" s="2026"/>
      <c r="O7" s="2026"/>
      <c r="P7" s="2026"/>
      <c r="Q7" s="2026"/>
      <c r="R7" s="2026"/>
      <c r="S7" s="2026"/>
      <c r="T7" s="2026"/>
      <c r="U7" s="2026"/>
      <c r="V7" s="2026"/>
    </row>
    <row r="8" spans="1:22" ht="14.25">
      <c r="A8" s="3339" t="s">
        <v>306</v>
      </c>
      <c r="B8" s="3340">
        <v>15</v>
      </c>
      <c r="C8" s="3348"/>
      <c r="D8" s="3351"/>
      <c r="E8" s="260" t="s">
        <v>307</v>
      </c>
      <c r="F8" s="261"/>
      <c r="G8" s="261"/>
      <c r="H8" s="261"/>
      <c r="I8" s="262"/>
      <c r="J8" s="2027"/>
      <c r="K8" s="2026"/>
      <c r="L8" s="2026"/>
      <c r="M8" s="2026"/>
      <c r="N8" s="2026"/>
      <c r="O8" s="2026"/>
      <c r="P8" s="2026"/>
      <c r="Q8" s="2026"/>
      <c r="R8" s="2026"/>
      <c r="S8" s="2026"/>
      <c r="T8" s="2026"/>
      <c r="U8" s="2026"/>
      <c r="V8" s="2026"/>
    </row>
    <row r="9" spans="1:22" ht="14.25">
      <c r="A9" s="3339"/>
      <c r="B9" s="3340"/>
      <c r="C9" s="3350"/>
      <c r="D9" s="3351"/>
      <c r="E9" s="260" t="s">
        <v>308</v>
      </c>
      <c r="F9" s="261"/>
      <c r="G9" s="261"/>
      <c r="H9" s="261"/>
      <c r="I9" s="262"/>
      <c r="J9" s="2027"/>
      <c r="K9" s="2026"/>
      <c r="L9" s="2026"/>
      <c r="M9" s="2026"/>
      <c r="N9" s="2026"/>
      <c r="O9" s="2026"/>
      <c r="P9" s="2026"/>
      <c r="Q9" s="2026"/>
      <c r="R9" s="2026"/>
      <c r="S9" s="2026"/>
      <c r="T9" s="2026"/>
      <c r="U9" s="2026"/>
      <c r="V9" s="2026"/>
    </row>
    <row r="10" spans="1:22" ht="14.25">
      <c r="A10" s="3339" t="s">
        <v>309</v>
      </c>
      <c r="B10" s="3340">
        <v>15</v>
      </c>
      <c r="C10" s="3348"/>
      <c r="D10" s="3351"/>
      <c r="E10" s="260" t="s">
        <v>310</v>
      </c>
      <c r="F10" s="261"/>
      <c r="G10" s="261"/>
      <c r="H10" s="261"/>
      <c r="I10" s="262"/>
      <c r="J10" s="2027"/>
      <c r="K10" s="2026"/>
      <c r="L10" s="2026"/>
      <c r="M10" s="2026"/>
      <c r="N10" s="2026"/>
      <c r="O10" s="2026"/>
      <c r="P10" s="2026"/>
      <c r="Q10" s="2026"/>
      <c r="R10" s="2026"/>
      <c r="S10" s="2026"/>
      <c r="T10" s="2026"/>
      <c r="U10" s="2026"/>
      <c r="V10" s="2026"/>
    </row>
    <row r="11" spans="1:22" ht="14.25">
      <c r="A11" s="3339"/>
      <c r="B11" s="3340"/>
      <c r="C11" s="3350"/>
      <c r="D11" s="3351"/>
      <c r="E11" s="260" t="s">
        <v>311</v>
      </c>
      <c r="F11" s="261"/>
      <c r="G11" s="261"/>
      <c r="H11" s="261"/>
      <c r="I11" s="262"/>
      <c r="J11" s="2027"/>
      <c r="K11" s="2026"/>
      <c r="L11" s="2026"/>
      <c r="M11" s="2026"/>
      <c r="N11" s="2026"/>
      <c r="O11" s="2026"/>
      <c r="P11" s="2026"/>
      <c r="Q11" s="2026"/>
      <c r="R11" s="2026"/>
      <c r="S11" s="2026"/>
      <c r="T11" s="2026"/>
      <c r="U11" s="2026"/>
      <c r="V11" s="2026"/>
    </row>
    <row r="12" spans="1:22" ht="14.25">
      <c r="A12" s="3339" t="s">
        <v>312</v>
      </c>
      <c r="B12" s="3340">
        <v>15</v>
      </c>
      <c r="C12" s="3348"/>
      <c r="D12" s="3351"/>
      <c r="E12" s="260" t="s">
        <v>313</v>
      </c>
      <c r="F12" s="261"/>
      <c r="G12" s="261"/>
      <c r="H12" s="261"/>
      <c r="I12" s="262"/>
      <c r="J12" s="2027"/>
      <c r="K12" s="2026"/>
      <c r="L12" s="2026"/>
      <c r="M12" s="2026"/>
      <c r="N12" s="2026"/>
      <c r="O12" s="2026"/>
      <c r="P12" s="2026"/>
      <c r="Q12" s="2026"/>
      <c r="R12" s="2026"/>
      <c r="S12" s="2026"/>
      <c r="T12" s="2026"/>
      <c r="U12" s="2026"/>
      <c r="V12" s="2026"/>
    </row>
    <row r="13" spans="1:22" ht="14.25">
      <c r="A13" s="3339"/>
      <c r="B13" s="3340"/>
      <c r="C13" s="3350"/>
      <c r="D13" s="3351"/>
      <c r="E13" s="260" t="s">
        <v>314</v>
      </c>
      <c r="F13" s="261"/>
      <c r="G13" s="261"/>
      <c r="H13" s="261"/>
      <c r="I13" s="262"/>
      <c r="J13" s="2027"/>
      <c r="K13" s="2026"/>
      <c r="L13" s="2026"/>
      <c r="M13" s="2026"/>
      <c r="N13" s="2026"/>
      <c r="O13" s="2026"/>
      <c r="P13" s="2026"/>
      <c r="Q13" s="2026"/>
      <c r="R13" s="2026"/>
      <c r="S13" s="2026"/>
      <c r="T13" s="2026"/>
      <c r="U13" s="2026"/>
      <c r="V13" s="2026"/>
    </row>
    <row r="14" spans="1:22" ht="14.25">
      <c r="A14" s="3339" t="s">
        <v>315</v>
      </c>
      <c r="B14" s="3340">
        <v>30</v>
      </c>
      <c r="C14" s="3348">
        <v>6</v>
      </c>
      <c r="D14" s="3351">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39"/>
      <c r="B15" s="3340"/>
      <c r="C15" s="3349"/>
      <c r="D15" s="3351"/>
      <c r="E15" s="260" t="s">
        <v>317</v>
      </c>
      <c r="F15" s="261"/>
      <c r="G15" s="261"/>
      <c r="H15" s="261"/>
      <c r="I15" s="262"/>
      <c r="J15" s="2027"/>
      <c r="K15" s="2026"/>
      <c r="L15" s="2026"/>
      <c r="M15" s="2026"/>
      <c r="N15" s="2026"/>
      <c r="O15" s="2026"/>
      <c r="P15" s="2026"/>
      <c r="Q15" s="2026"/>
      <c r="R15" s="2026"/>
      <c r="S15" s="2026"/>
      <c r="T15" s="2026"/>
      <c r="U15" s="2026"/>
      <c r="V15" s="2026"/>
    </row>
    <row r="16" spans="1:22" ht="14.25">
      <c r="A16" s="3339"/>
      <c r="B16" s="3340"/>
      <c r="C16" s="3350"/>
      <c r="D16" s="3351"/>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208112</v>
      </c>
      <c r="E19" s="267" t="s">
        <v>323</v>
      </c>
      <c r="F19" s="268" t="s">
        <v>322</v>
      </c>
      <c r="G19" s="271">
        <f ca="1">ROUND(C19*$C$18+D19*$D$18,0)</f>
        <v>269141</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15254</v>
      </c>
      <c r="E20" s="273"/>
      <c r="F20" s="274" t="s">
        <v>325</v>
      </c>
      <c r="G20" s="277">
        <f ca="1">ROUND(C20*$C$18+D20*$D$18,0)</f>
        <v>19728</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55678</v>
      </c>
      <c r="E21" s="273"/>
      <c r="F21" s="279" t="s">
        <v>327</v>
      </c>
      <c r="G21" s="281">
        <f ca="1">ROUND(C21*$C$18+D21*$D$18,0)</f>
        <v>72005</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0.4887512493272852</v>
      </c>
      <c r="E22" s="283"/>
      <c r="F22" s="284"/>
      <c r="G22" s="285">
        <f ca="1">ROUND(G19/('数据-汇总表'!D3/666.67),0)</f>
        <v>4800</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2"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4"/>
      <c r="B25" s="1317" t="s">
        <v>331</v>
      </c>
      <c r="C25" s="289">
        <f>IF(B30=0,0,C30)</f>
        <v>0</v>
      </c>
      <c r="D25" s="290"/>
      <c r="E25" s="310"/>
      <c r="F25" s="310"/>
      <c r="G25" s="310"/>
      <c r="H25" s="310"/>
      <c r="I25" s="310"/>
      <c r="J25" s="2026"/>
      <c r="K25" s="1251" t="str">
        <f ca="1">项目基本情况!B16&amp;"国有建设用地使用权价格："&amp;O38&amp;"万元"</f>
        <v>出让国有建设用地使用权价格：269141万元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大写金额：人民币贰拾陆亿玖仟壹佰肆拾壹万元整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单位面积地价：72005元/平方米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楼面地价：19727元/平方米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269141</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19727</v>
      </c>
      <c r="D33" s="1382" t="s">
        <v>1693</v>
      </c>
      <c r="E33" s="3312"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72005</v>
      </c>
      <c r="D34" s="1384" t="s">
        <v>1693</v>
      </c>
      <c r="E34" s="3313"/>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4800</v>
      </c>
      <c r="D35" s="1387" t="s">
        <v>1695</v>
      </c>
      <c r="E35" s="3314"/>
      <c r="F35" s="300" t="s">
        <v>342</v>
      </c>
      <c r="G35" s="978"/>
      <c r="H35" s="977" t="s">
        <v>343</v>
      </c>
      <c r="I35" s="310"/>
      <c r="J35" s="2026"/>
      <c r="K35" s="3318" t="s">
        <v>350</v>
      </c>
      <c r="L35" s="3318" t="s">
        <v>351</v>
      </c>
      <c r="M35" s="1260" t="s">
        <v>352</v>
      </c>
      <c r="N35" s="3318" t="s">
        <v>353</v>
      </c>
      <c r="O35" s="3318" t="s">
        <v>354</v>
      </c>
      <c r="P35" s="2026"/>
      <c r="V35" s="2026"/>
    </row>
    <row r="36" spans="1:26" ht="16.5" customHeight="1">
      <c r="A36" s="302" t="s">
        <v>344</v>
      </c>
      <c r="B36" s="303" t="s">
        <v>333</v>
      </c>
      <c r="C36" s="304" t="s">
        <v>345</v>
      </c>
      <c r="D36" s="304" t="s">
        <v>346</v>
      </c>
      <c r="E36" s="305" t="s">
        <v>347</v>
      </c>
      <c r="F36" s="310"/>
      <c r="G36" s="310"/>
      <c r="H36" s="310"/>
      <c r="I36" s="310"/>
      <c r="J36" s="2028"/>
      <c r="K36" s="3319"/>
      <c r="L36" s="3319"/>
      <c r="M36" s="1262" t="s">
        <v>355</v>
      </c>
      <c r="N36" s="3319"/>
      <c r="O36" s="3319"/>
      <c r="P36" s="2026"/>
      <c r="V36" s="2026"/>
    </row>
    <row r="37" spans="1:26" ht="16.5" customHeight="1" thickBot="1">
      <c r="A37" s="1256" t="s">
        <v>348</v>
      </c>
      <c r="B37" s="306"/>
      <c r="C37" s="293"/>
      <c r="D37" s="293"/>
      <c r="E37" s="294"/>
      <c r="F37" s="310"/>
      <c r="G37" s="310"/>
      <c r="H37" s="310"/>
      <c r="I37" s="310"/>
      <c r="J37" s="2028"/>
      <c r="K37" s="3320"/>
      <c r="L37" s="3320"/>
      <c r="M37" s="1263"/>
      <c r="N37" s="3320"/>
      <c r="O37" s="3320"/>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72005</v>
      </c>
      <c r="N38" s="1265">
        <f ca="1">C33</f>
        <v>19727</v>
      </c>
      <c r="O38" s="1266">
        <f ca="1">C32</f>
        <v>269141</v>
      </c>
      <c r="P38" s="2026"/>
      <c r="V38" s="2026"/>
    </row>
    <row r="39" spans="1:26" ht="16.5" customHeight="1" thickBot="1">
      <c r="A39" s="1261"/>
      <c r="B39" s="307"/>
      <c r="C39" s="308"/>
      <c r="D39" s="308"/>
      <c r="E39" s="309"/>
      <c r="F39" s="310"/>
      <c r="G39" s="310"/>
      <c r="H39" s="310"/>
      <c r="I39" s="310"/>
      <c r="J39" s="2028"/>
      <c r="K39" s="3295" t="str">
        <f>MID(A44,3,LEN(A44)-2)</f>
        <v/>
      </c>
      <c r="L39" s="3296"/>
      <c r="M39" s="3296"/>
      <c r="N39" s="3297"/>
      <c r="O39" s="1389" t="str">
        <f>C44</f>
        <v>——</v>
      </c>
      <c r="P39" s="2026"/>
      <c r="V39" s="2026"/>
    </row>
    <row r="40" spans="1:26" ht="19.5" thickBot="1">
      <c r="A40" s="104" t="s">
        <v>874</v>
      </c>
      <c r="B40" s="310"/>
      <c r="C40" s="310"/>
      <c r="D40" s="310"/>
      <c r="E40" s="310"/>
      <c r="F40" s="310"/>
      <c r="G40" s="310"/>
      <c r="H40" s="310"/>
      <c r="I40" s="310"/>
      <c r="J40" s="2028"/>
      <c r="K40" s="3295" t="str">
        <f t="shared" ref="K40:K41" si="0">MID(A45,3,LEN(A45)-2)</f>
        <v/>
      </c>
      <c r="L40" s="3296"/>
      <c r="M40" s="3296"/>
      <c r="N40" s="3297"/>
      <c r="O40" s="1389" t="str">
        <f>C45</f>
        <v>——</v>
      </c>
      <c r="P40" s="2026"/>
      <c r="V40" s="2026"/>
    </row>
    <row r="41" spans="1:26" ht="16.5" thickBot="1">
      <c r="A41" s="311" t="s">
        <v>356</v>
      </c>
      <c r="B41" s="312"/>
      <c r="C41" s="313" t="s">
        <v>357</v>
      </c>
      <c r="D41" s="314" t="s">
        <v>358</v>
      </c>
      <c r="E41" s="314" t="s">
        <v>359</v>
      </c>
      <c r="F41" s="315" t="s">
        <v>360</v>
      </c>
      <c r="G41" s="310"/>
      <c r="H41" s="310"/>
      <c r="I41" s="310"/>
      <c r="J41" s="2028"/>
      <c r="K41" s="3295" t="str">
        <f t="shared" si="0"/>
        <v/>
      </c>
      <c r="L41" s="3296"/>
      <c r="M41" s="3296"/>
      <c r="N41" s="3297"/>
      <c r="O41" s="1389" t="str">
        <f>C46</f>
        <v>——</v>
      </c>
      <c r="P41" s="2026"/>
      <c r="V41" s="2026"/>
    </row>
    <row r="42" spans="1:26" ht="29.25">
      <c r="A42" s="3355" t="s">
        <v>2071</v>
      </c>
      <c r="B42" s="3356"/>
      <c r="C42" s="263">
        <f ca="1">C32</f>
        <v>269141</v>
      </c>
      <c r="D42" s="316">
        <f ca="1">C33</f>
        <v>19727</v>
      </c>
      <c r="E42" s="316">
        <f ca="1">C34</f>
        <v>72005</v>
      </c>
      <c r="F42" s="317">
        <f ca="1">C35</f>
        <v>4800</v>
      </c>
      <c r="G42" s="310"/>
      <c r="H42" s="310"/>
      <c r="I42" s="318"/>
      <c r="J42" s="2028"/>
      <c r="K42" s="1267" t="s">
        <v>361</v>
      </c>
      <c r="L42" s="2045" t="s">
        <v>362</v>
      </c>
      <c r="M42" s="1268" t="s">
        <v>363</v>
      </c>
      <c r="N42" s="2046" t="s">
        <v>364</v>
      </c>
      <c r="O42" s="2047" t="s">
        <v>365</v>
      </c>
      <c r="P42" s="2026"/>
      <c r="V42" s="2026"/>
    </row>
    <row r="43" spans="1:26" ht="30">
      <c r="A43" s="3365" t="s">
        <v>2739</v>
      </c>
      <c r="B43" s="3366"/>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269141</v>
      </c>
      <c r="O43" s="1273">
        <f ca="1">IF(O42="最终结果/万元",C32,C33)</f>
        <v>269141</v>
      </c>
      <c r="P43" s="2026"/>
      <c r="V43" s="2026"/>
    </row>
    <row r="44" spans="1:26" ht="30.75" thickBot="1">
      <c r="A44" s="3355" t="str">
        <f>IF(OR(项目基本情况!E8="抵押价格",项目基本情况!E8="已注销及未注销"),"3.抵押价格","——")</f>
        <v>——</v>
      </c>
      <c r="B44" s="3356"/>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208112</v>
      </c>
      <c r="M44" s="1276">
        <f>D18</f>
        <v>0.4</v>
      </c>
      <c r="N44" s="1277"/>
      <c r="O44" s="1278"/>
      <c r="P44" s="2026"/>
      <c r="V44" s="2026"/>
    </row>
    <row r="45" spans="1:26" ht="15">
      <c r="A45" s="3360" t="str">
        <f>IF(项目基本情况!E8="已注销及未注销","4.抵押担保权已注销时的抵押价格",IF(项目基本情况!E8="已注销","3.抵押担保权已注销时的抵押价格","——"))</f>
        <v>——</v>
      </c>
      <c r="B45" s="3361"/>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7" t="str">
        <f>IF(项目基本情况!E9="抵押净值",IF(A45="——","4.抵押净值","5.抵押净值"),"——")</f>
        <v>——</v>
      </c>
      <c r="B46" s="335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269141</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t="e">
        <f>#REF!</f>
        <v>#REF!</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t="e">
        <f ca="1">ROUND(F51/((37378.1+36257.9+62872)*3.65)*10000,0)</f>
        <v>#REF!</v>
      </c>
      <c r="D50" s="322"/>
      <c r="E50" s="322" t="s">
        <v>3064</v>
      </c>
      <c r="F50" s="322" t="e">
        <f>#REF!</f>
        <v>#REF!</v>
      </c>
      <c r="G50" s="3196" t="s">
        <v>3068</v>
      </c>
      <c r="H50" s="3200">
        <v>681762</v>
      </c>
      <c r="I50" s="3201" t="e">
        <f ca="1">F51-H50</f>
        <v>#REF!</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t="e">
        <f ca="1">SUM(F48:F50)</f>
        <v>#REF!</v>
      </c>
      <c r="G51" s="3195" t="s">
        <v>3067</v>
      </c>
      <c r="H51" s="3198">
        <v>729244.84710000001</v>
      </c>
      <c r="I51" s="3199" t="e">
        <f ca="1">F51-H51</f>
        <v>#REF!</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23" t="s">
        <v>374</v>
      </c>
      <c r="B63" s="3324"/>
      <c r="C63" s="3325"/>
      <c r="D63" s="338">
        <f ca="1">ROUND(C42*F63,0)</f>
        <v>161485</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62" t="s">
        <v>378</v>
      </c>
      <c r="B64" s="3363"/>
      <c r="C64" s="3363"/>
      <c r="D64" s="3363"/>
      <c r="E64" s="3363"/>
      <c r="F64" s="3363"/>
      <c r="G64" s="3364"/>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59" t="s">
        <v>386</v>
      </c>
      <c r="B66" s="3330"/>
      <c r="C66" s="3330"/>
      <c r="D66" s="260">
        <f ca="1">IF(H66="情况1",0,IF(H66="情况2",D70,IF(H66="情况3",D71,IF(H66="情况4",D72))))</f>
        <v>8613</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299" t="s">
        <v>385</v>
      </c>
      <c r="M66" s="3300"/>
      <c r="N66" s="2480"/>
      <c r="O66" s="2481"/>
      <c r="P66" s="2482"/>
      <c r="Q66" s="2026"/>
      <c r="R66" s="2026"/>
      <c r="S66" s="2026"/>
      <c r="T66" s="2026"/>
      <c r="U66" s="2026"/>
      <c r="V66" s="2026"/>
    </row>
    <row r="67" spans="1:22" ht="25.5" customHeight="1">
      <c r="A67" s="349" t="s">
        <v>390</v>
      </c>
      <c r="B67" s="3342" t="s">
        <v>391</v>
      </c>
      <c r="C67" s="3342"/>
      <c r="D67" s="350">
        <v>0</v>
      </c>
      <c r="E67" s="41" t="s">
        <v>392</v>
      </c>
      <c r="F67" s="62" t="s">
        <v>21</v>
      </c>
      <c r="G67" s="3326"/>
      <c r="H67" s="310"/>
      <c r="I67" s="1288"/>
      <c r="J67" s="2033"/>
      <c r="K67" s="1974">
        <v>2</v>
      </c>
      <c r="L67" s="3298" t="s">
        <v>389</v>
      </c>
      <c r="M67" s="3298"/>
      <c r="N67" s="1321">
        <f>'数据-取费表'!B2</f>
        <v>43123</v>
      </c>
      <c r="O67" s="1321"/>
      <c r="P67" s="1321"/>
      <c r="Q67" s="2026"/>
      <c r="R67" s="2026"/>
      <c r="S67" s="2026"/>
      <c r="T67" s="2026"/>
      <c r="U67" s="2026"/>
      <c r="V67" s="2026"/>
    </row>
    <row r="68" spans="1:22" ht="25.5" customHeight="1">
      <c r="A68" s="351"/>
      <c r="B68" s="3342" t="s">
        <v>394</v>
      </c>
      <c r="C68" s="3342"/>
      <c r="D68" s="352"/>
      <c r="E68" s="77"/>
      <c r="F68" s="353"/>
      <c r="G68" s="3327"/>
      <c r="H68" s="310"/>
      <c r="I68" s="1288"/>
      <c r="J68" s="2033"/>
      <c r="K68" s="1974">
        <v>3</v>
      </c>
      <c r="L68" s="3298" t="s">
        <v>393</v>
      </c>
      <c r="M68" s="3298"/>
      <c r="N68" s="1289">
        <f ca="1">C42</f>
        <v>269141</v>
      </c>
      <c r="O68" s="1289"/>
      <c r="P68" s="1289"/>
      <c r="Q68" s="2026"/>
      <c r="R68" s="2026"/>
      <c r="S68" s="2026"/>
      <c r="T68" s="2026"/>
      <c r="U68" s="2026"/>
      <c r="V68" s="2026"/>
    </row>
    <row r="69" spans="1:22" ht="12" customHeight="1">
      <c r="A69" s="354"/>
      <c r="B69" s="3342" t="s">
        <v>395</v>
      </c>
      <c r="C69" s="3342"/>
      <c r="D69" s="355"/>
      <c r="E69" s="73"/>
      <c r="F69" s="353"/>
      <c r="G69" s="3328"/>
      <c r="H69" s="310"/>
      <c r="I69" s="1288"/>
      <c r="J69" s="2033"/>
      <c r="K69" s="1290">
        <v>4</v>
      </c>
      <c r="L69" s="3304" t="s">
        <v>2892</v>
      </c>
      <c r="M69" s="3305"/>
      <c r="N69" s="1291" t="str">
        <f>C44</f>
        <v>——</v>
      </c>
      <c r="O69" s="1291"/>
      <c r="P69" s="1291"/>
      <c r="Q69" s="2026"/>
      <c r="R69" s="2026"/>
      <c r="S69" s="2026"/>
      <c r="T69" s="2026"/>
      <c r="U69" s="2026"/>
      <c r="V69" s="2026"/>
    </row>
    <row r="70" spans="1:22" ht="24" customHeight="1">
      <c r="A70" s="356" t="s">
        <v>396</v>
      </c>
      <c r="B70" s="3342" t="s">
        <v>397</v>
      </c>
      <c r="C70" s="3342"/>
      <c r="D70" s="355">
        <f ca="1">ROUND(D63*'数据-取费表'!B41/(1+'数据-取费表'!C42),0)</f>
        <v>8613</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341" t="s">
        <v>405</v>
      </c>
      <c r="C71" s="3353"/>
      <c r="D71" s="355">
        <f ca="1">ROUND(D63*'数据-取费表'!B41/(1+'数据-取费表'!C42),0)</f>
        <v>8613</v>
      </c>
      <c r="E71" s="17" t="s">
        <v>398</v>
      </c>
      <c r="F71" s="357">
        <f>'数据-取费表'!B41</f>
        <v>5.6000000000000001E-2</v>
      </c>
      <c r="G71" s="358"/>
      <c r="H71" s="310"/>
      <c r="I71" s="1288"/>
      <c r="J71" s="2033"/>
      <c r="K71" s="3084" t="s">
        <v>399</v>
      </c>
      <c r="L71" s="3306" t="s">
        <v>400</v>
      </c>
      <c r="M71" s="3306"/>
      <c r="N71" s="3084" t="s">
        <v>401</v>
      </c>
      <c r="O71" s="3084" t="s">
        <v>402</v>
      </c>
      <c r="P71" s="3084" t="s">
        <v>403</v>
      </c>
      <c r="Q71" s="2026"/>
      <c r="R71" s="2026"/>
      <c r="S71" s="2026"/>
      <c r="T71" s="2026"/>
      <c r="U71" s="2026"/>
      <c r="V71" s="2026"/>
    </row>
    <row r="72" spans="1:22" ht="12" customHeight="1">
      <c r="A72" s="356" t="s">
        <v>407</v>
      </c>
      <c r="B72" s="3341" t="s">
        <v>408</v>
      </c>
      <c r="C72" s="3353"/>
      <c r="D72" s="355">
        <f ca="1">C86</f>
        <v>8501</v>
      </c>
      <c r="E72" s="73" t="s">
        <v>409</v>
      </c>
      <c r="F72" s="357">
        <f>'数据-取费表'!B41</f>
        <v>5.6000000000000001E-2</v>
      </c>
      <c r="G72" s="358"/>
      <c r="H72" s="1294"/>
      <c r="I72" s="1288"/>
      <c r="J72" s="2033"/>
      <c r="K72" s="1974">
        <v>1</v>
      </c>
      <c r="L72" s="3303" t="s">
        <v>406</v>
      </c>
      <c r="M72" s="3303"/>
      <c r="N72" s="1292">
        <f ca="1">D66</f>
        <v>8613</v>
      </c>
      <c r="O72" s="1857" t="str">
        <f>E66</f>
        <v>销售额×税（费）率</v>
      </c>
      <c r="P72" s="1293">
        <f>F66</f>
        <v>5.6000000000000001E-2</v>
      </c>
      <c r="Q72" s="2026"/>
      <c r="R72" s="2026"/>
      <c r="S72" s="2026"/>
      <c r="T72" s="2026"/>
      <c r="U72" s="2026"/>
      <c r="V72" s="2026"/>
    </row>
    <row r="73" spans="1:22" ht="24" customHeight="1">
      <c r="A73" s="3329" t="s">
        <v>411</v>
      </c>
      <c r="B73" s="3330"/>
      <c r="C73" s="3330"/>
      <c r="D73" s="359">
        <f>IF(H73="个人住宅",0,ROUND(D63*I73,0))</f>
        <v>0</v>
      </c>
      <c r="E73" s="17" t="s">
        <v>412</v>
      </c>
      <c r="F73" s="357" t="str">
        <f>IF(H73="正常",I73,"免征")</f>
        <v>免征</v>
      </c>
      <c r="G73" s="358"/>
      <c r="H73" s="191" t="s">
        <v>2461</v>
      </c>
      <c r="I73" s="357">
        <f>'数据-取费表'!B49</f>
        <v>5.0000000000000001E-4</v>
      </c>
      <c r="J73" s="2033"/>
      <c r="K73" s="1974">
        <v>2</v>
      </c>
      <c r="L73" s="3303" t="s">
        <v>410</v>
      </c>
      <c r="M73" s="3303"/>
      <c r="N73" s="1292">
        <f t="shared" ref="N73:P74" si="1">D73</f>
        <v>0</v>
      </c>
      <c r="O73" s="1857" t="str">
        <f t="shared" si="1"/>
        <v>销售额×税（费）率</v>
      </c>
      <c r="P73" s="1293" t="str">
        <f t="shared" si="1"/>
        <v>免征</v>
      </c>
      <c r="Q73" s="2026"/>
      <c r="R73" s="2026"/>
      <c r="S73" s="2026"/>
      <c r="T73" s="2026"/>
      <c r="U73" s="2026"/>
      <c r="V73" s="2026"/>
    </row>
    <row r="74" spans="1:22" ht="24.75">
      <c r="A74" s="3329" t="s">
        <v>415</v>
      </c>
      <c r="B74" s="3330"/>
      <c r="C74" s="3330"/>
      <c r="D74" s="359">
        <f ca="1">IF(H74="个人住宅",D75,D76)</f>
        <v>90745</v>
      </c>
      <c r="E74" s="17" t="s">
        <v>416</v>
      </c>
      <c r="F74" s="357" t="str">
        <f>IF(H74="正常",F76,"免征")</f>
        <v>——</v>
      </c>
      <c r="G74" s="979" t="s">
        <v>417</v>
      </c>
      <c r="H74" s="360" t="s">
        <v>413</v>
      </c>
      <c r="I74" s="42"/>
      <c r="J74" s="2033"/>
      <c r="K74" s="1974">
        <v>3</v>
      </c>
      <c r="L74" s="3303" t="s">
        <v>414</v>
      </c>
      <c r="M74" s="3303"/>
      <c r="N74" s="1292">
        <f t="shared" ca="1" si="1"/>
        <v>90745</v>
      </c>
      <c r="O74" s="1857" t="str">
        <f t="shared" si="1"/>
        <v>增值额×税（费）率</v>
      </c>
      <c r="P74" s="1295" t="str">
        <f t="shared" si="1"/>
        <v>——</v>
      </c>
      <c r="Q74" s="2026"/>
      <c r="R74" s="2026"/>
      <c r="S74" s="2026"/>
      <c r="T74" s="2026"/>
      <c r="U74" s="2026"/>
      <c r="V74" s="2026"/>
    </row>
    <row r="75" spans="1:22" ht="24">
      <c r="A75" s="356" t="s">
        <v>418</v>
      </c>
      <c r="B75" s="3310" t="s">
        <v>419</v>
      </c>
      <c r="C75" s="3311"/>
      <c r="D75" s="361">
        <v>0</v>
      </c>
      <c r="E75" s="41" t="s">
        <v>420</v>
      </c>
      <c r="F75" s="362"/>
      <c r="G75" s="358"/>
      <c r="H75" s="42"/>
      <c r="I75" s="42"/>
      <c r="J75" s="2033"/>
      <c r="K75" s="3077">
        <f>IF(H77="非个人房产","",4)</f>
        <v>4</v>
      </c>
      <c r="L75" s="3303" t="str">
        <f>IF(H77="非个人房产","——","个人所得税")</f>
        <v>个人所得税</v>
      </c>
      <c r="M75" s="3303"/>
      <c r="N75" s="1296">
        <f ca="1">D77</f>
        <v>1615</v>
      </c>
      <c r="O75" s="1870" t="str">
        <f>E77</f>
        <v>销售额×税（费）率</v>
      </c>
      <c r="P75" s="1297">
        <f>F77</f>
        <v>0.01</v>
      </c>
      <c r="Q75" s="2026"/>
      <c r="R75" s="2026"/>
      <c r="S75" s="2026"/>
      <c r="T75" s="2026"/>
      <c r="U75" s="2026"/>
      <c r="V75" s="2026"/>
    </row>
    <row r="76" spans="1:22" ht="24.75">
      <c r="A76" s="356" t="s">
        <v>396</v>
      </c>
      <c r="B76" s="3310" t="s">
        <v>422</v>
      </c>
      <c r="C76" s="3352"/>
      <c r="D76" s="359">
        <f ca="1">IF(H76="转让取得",C99,C115)</f>
        <v>90745</v>
      </c>
      <c r="E76" s="17" t="s">
        <v>423</v>
      </c>
      <c r="F76" s="53" t="s">
        <v>21</v>
      </c>
      <c r="G76" s="358"/>
      <c r="H76" s="360" t="s">
        <v>424</v>
      </c>
      <c r="I76" s="42"/>
      <c r="J76" s="2033"/>
      <c r="K76" s="3077" t="str">
        <f>IF(项目基本情况!K6="上海银行",IF(K75="",4,K75+1),"")</f>
        <v/>
      </c>
      <c r="L76" s="3291" t="str">
        <f>IF(项目基本情况!K6="上海银行","其他处置费用","")</f>
        <v/>
      </c>
      <c r="M76" s="3292"/>
      <c r="N76" s="1292" t="str">
        <f>IF(项目基本情况!K6="上海银行",N89,"")</f>
        <v/>
      </c>
      <c r="O76" s="3293" t="str">
        <f>IF(项目基本情况!K6="上海银行","包含处置中涉及的律师、诉讼、拍卖、评估等费用","")</f>
        <v/>
      </c>
      <c r="P76" s="3294"/>
      <c r="Q76" s="2026"/>
      <c r="R76" s="2026"/>
      <c r="S76" s="2026"/>
      <c r="T76" s="2026"/>
      <c r="U76" s="2026"/>
      <c r="V76" s="2026"/>
    </row>
    <row r="77" spans="1:22" ht="26.25" thickBot="1">
      <c r="A77" s="3321" t="s">
        <v>426</v>
      </c>
      <c r="B77" s="3322"/>
      <c r="C77" s="3322"/>
      <c r="D77" s="363">
        <f ca="1">IF(H77="非个人房产","——",IF(H77="个人住宅",0,ROUND(D63*I77,0)))</f>
        <v>1615</v>
      </c>
      <c r="E77" s="364" t="str">
        <f>IF(H77="非个人房产","——","销售额×税（费）率")</f>
        <v>销售额×税（费）率</v>
      </c>
      <c r="F77" s="365">
        <f>IF(H77="非个人房产","——",IF(H77="个人住宅","免征",I77))</f>
        <v>0.01</v>
      </c>
      <c r="G77" s="980" t="s">
        <v>417</v>
      </c>
      <c r="H77" s="360" t="s">
        <v>2893</v>
      </c>
      <c r="I77" s="366">
        <v>0.01</v>
      </c>
      <c r="J77" s="2033"/>
      <c r="K77" s="3317">
        <f>IF(AND(K75="",K76=""),4,IF(项目基本情况!K6="上海银行",K76+1,K75+1))</f>
        <v>5</v>
      </c>
      <c r="L77" s="3303" t="s">
        <v>2894</v>
      </c>
      <c r="M77" s="3083" t="s">
        <v>421</v>
      </c>
      <c r="N77" s="1298"/>
      <c r="O77" s="1299">
        <f ca="1">SUMIF(N72:N76,"&lt;9e307")</f>
        <v>100973</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17"/>
      <c r="L78" s="3303"/>
      <c r="M78" s="3083" t="s">
        <v>425</v>
      </c>
      <c r="N78" s="1298"/>
      <c r="O78" s="1299" t="str">
        <f ca="1">NUMBERSTRING(INT(O77*10000),2)&amp;"元整"</f>
        <v>壹拾亿零玖佰柒拾叁万元整</v>
      </c>
      <c r="P78" s="1300"/>
      <c r="Q78" s="2026"/>
      <c r="R78" s="2026"/>
      <c r="S78" s="2026"/>
      <c r="T78" s="2026"/>
      <c r="U78" s="2026"/>
      <c r="V78" s="2026"/>
    </row>
    <row r="79" spans="1:22" ht="13.5" thickBot="1">
      <c r="A79" s="3307" t="s">
        <v>427</v>
      </c>
      <c r="B79" s="3307"/>
      <c r="C79" s="3307"/>
      <c r="D79" s="3307"/>
      <c r="E79" s="3307"/>
      <c r="F79" s="42"/>
      <c r="G79" s="42"/>
      <c r="H79" s="999"/>
      <c r="I79" s="310"/>
      <c r="J79" s="2033"/>
      <c r="K79" s="3301">
        <f>K77+1</f>
        <v>6</v>
      </c>
      <c r="L79" s="3303" t="s">
        <v>2895</v>
      </c>
      <c r="M79" s="3083" t="s">
        <v>421</v>
      </c>
      <c r="N79" s="1298"/>
      <c r="O79" s="1299" t="e">
        <f ca="1">N69-O77</f>
        <v>#VALUE!</v>
      </c>
      <c r="P79" s="1300"/>
      <c r="Q79" s="2026"/>
      <c r="R79" s="2026"/>
      <c r="S79" s="2026"/>
      <c r="T79" s="2026"/>
      <c r="U79" s="2026"/>
      <c r="V79" s="2026"/>
    </row>
    <row r="80" spans="1:22" ht="12.75">
      <c r="A80" s="3308" t="s">
        <v>428</v>
      </c>
      <c r="B80" s="3309"/>
      <c r="C80" s="990"/>
      <c r="D80" s="990" t="s">
        <v>429</v>
      </c>
      <c r="E80" s="367" t="s">
        <v>430</v>
      </c>
      <c r="F80" s="42"/>
      <c r="G80" s="42"/>
      <c r="H80" s="999"/>
      <c r="I80" s="310"/>
      <c r="J80" s="2026"/>
      <c r="K80" s="3302"/>
      <c r="L80" s="3303"/>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153795</v>
      </c>
      <c r="D81" s="370"/>
      <c r="E81" s="371"/>
      <c r="F81" s="42"/>
      <c r="G81" s="42"/>
      <c r="H81" s="999"/>
      <c r="I81" s="310"/>
      <c r="J81" s="2026"/>
      <c r="K81" s="3077">
        <f>K79+1</f>
        <v>7</v>
      </c>
      <c r="L81" s="3315" t="s">
        <v>2896</v>
      </c>
      <c r="M81" s="3316"/>
      <c r="N81" s="1302"/>
      <c r="O81" s="1303" t="e">
        <f ca="1">ROUND(O79*10000/'数据-汇总表'!E3,0)</f>
        <v>#VALUE!</v>
      </c>
      <c r="P81" s="1304"/>
      <c r="Q81" s="2026"/>
      <c r="R81" s="2026"/>
      <c r="S81" s="2026"/>
      <c r="T81" s="2026"/>
      <c r="U81" s="2026"/>
      <c r="V81" s="2026"/>
    </row>
    <row r="82" spans="1:26" ht="13.5" thickTop="1">
      <c r="A82" s="372" t="s">
        <v>1826</v>
      </c>
      <c r="B82" s="373" t="s">
        <v>432</v>
      </c>
      <c r="C82" s="374">
        <f ca="1">D63</f>
        <v>161485</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290"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290"/>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151795</v>
      </c>
      <c r="D85" s="375" t="s">
        <v>19</v>
      </c>
      <c r="E85" s="376"/>
      <c r="F85" s="42"/>
      <c r="G85" s="42"/>
      <c r="H85" s="999"/>
      <c r="I85" s="310"/>
      <c r="J85" s="2026"/>
      <c r="K85" s="3290"/>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8501</v>
      </c>
      <c r="D86" s="386">
        <f>'数据-取费表'!B41</f>
        <v>5.6000000000000001E-2</v>
      </c>
      <c r="E86" s="387"/>
      <c r="F86" s="42"/>
      <c r="G86" s="42"/>
      <c r="H86" s="999"/>
      <c r="I86" s="310"/>
      <c r="J86" s="2026"/>
      <c r="K86" s="3290"/>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290"/>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44" t="s">
        <v>437</v>
      </c>
      <c r="B88" s="3345"/>
      <c r="C88" s="3345"/>
      <c r="D88" s="3345"/>
      <c r="E88" s="3345"/>
      <c r="F88" s="3345"/>
      <c r="G88" s="3345"/>
      <c r="H88" s="3345"/>
      <c r="I88" s="1311"/>
      <c r="J88" s="2034"/>
      <c r="K88" s="3290"/>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08" t="s">
        <v>428</v>
      </c>
      <c r="B89" s="3309"/>
      <c r="C89" s="990"/>
      <c r="D89" s="990" t="s">
        <v>429</v>
      </c>
      <c r="E89" s="388" t="s">
        <v>438</v>
      </c>
      <c r="F89" s="389"/>
      <c r="G89" s="389"/>
      <c r="H89" s="390"/>
      <c r="I89" s="1312"/>
      <c r="J89" s="2036"/>
      <c r="K89" s="3290"/>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153795</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3484</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341" t="s">
        <v>447</v>
      </c>
      <c r="F94" s="3342"/>
      <c r="G94" s="3342"/>
      <c r="H94" s="3343"/>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923</v>
      </c>
      <c r="D96" s="403">
        <f>'数据-取费表'!B43</f>
        <v>6.000000000000001E-3</v>
      </c>
      <c r="E96" s="3331" t="s">
        <v>2433</v>
      </c>
      <c r="F96" s="3332"/>
      <c r="G96" s="3332"/>
      <c r="H96" s="3333"/>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150311</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43.14322617680827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88967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44" t="s">
        <v>454</v>
      </c>
      <c r="B101" s="3345"/>
      <c r="C101" s="3345"/>
      <c r="D101" s="3345"/>
      <c r="E101" s="3345"/>
      <c r="F101" s="3345"/>
      <c r="G101" s="3345"/>
      <c r="H101" s="3345"/>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08" t="s">
        <v>428</v>
      </c>
      <c r="B102" s="3309"/>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153795</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1613</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34" t="s">
        <v>462</v>
      </c>
      <c r="F109" s="3332"/>
      <c r="G109" s="3332"/>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34" t="s">
        <v>464</v>
      </c>
      <c r="F110" s="3332"/>
      <c r="G110" s="3332"/>
      <c r="H110" s="3333"/>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923</v>
      </c>
      <c r="D111" s="403">
        <f>'数据-取费表'!B43</f>
        <v>6.000000000000001E-3</v>
      </c>
      <c r="E111" s="3331" t="s">
        <v>2433</v>
      </c>
      <c r="F111" s="3332"/>
      <c r="G111" s="3332"/>
      <c r="H111" s="3333"/>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34" t="s">
        <v>2458</v>
      </c>
      <c r="F112" s="3332"/>
      <c r="G112" s="3332"/>
      <c r="H112" s="3333"/>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152182</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94.347179169249841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90745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abSelected="1" view="pageBreakPreview" topLeftCell="A2" zoomScale="80" zoomScaleNormal="95" zoomScaleSheetLayoutView="80" workbookViewId="0">
      <selection activeCell="M13" sqref="M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89" t="s">
        <v>523</v>
      </c>
      <c r="D6" s="3390"/>
      <c r="E6" s="3389" t="s">
        <v>524</v>
      </c>
      <c r="F6" s="3390"/>
      <c r="G6" s="3389" t="s">
        <v>525</v>
      </c>
      <c r="H6" s="3390"/>
      <c r="I6" s="3389" t="s">
        <v>526</v>
      </c>
      <c r="J6" s="3390"/>
      <c r="K6" s="511" t="s">
        <v>527</v>
      </c>
      <c r="L6" s="2131"/>
      <c r="M6" s="2130"/>
      <c r="N6" s="2130"/>
      <c r="O6" s="2132"/>
      <c r="P6" s="3391" t="s">
        <v>528</v>
      </c>
      <c r="Q6" s="3392"/>
      <c r="R6" s="3377" t="s">
        <v>524</v>
      </c>
      <c r="S6" s="3378"/>
      <c r="T6" s="3377" t="s">
        <v>525</v>
      </c>
      <c r="U6" s="3378"/>
      <c r="V6" s="3397" t="s">
        <v>526</v>
      </c>
      <c r="W6" s="3397"/>
      <c r="X6" s="1564"/>
      <c r="Y6" s="3377" t="s">
        <v>528</v>
      </c>
      <c r="Z6" s="3378"/>
      <c r="AA6" s="3372" t="s">
        <v>524</v>
      </c>
      <c r="AB6" s="3373" t="s">
        <v>525</v>
      </c>
      <c r="AC6" s="3372" t="s">
        <v>526</v>
      </c>
    </row>
    <row r="7" spans="1:30" ht="20.25">
      <c r="A7" s="512"/>
      <c r="B7" s="513"/>
      <c r="C7" s="3400" t="s">
        <v>2940</v>
      </c>
      <c r="D7" s="3401"/>
      <c r="E7" s="3400" t="s">
        <v>2941</v>
      </c>
      <c r="F7" s="3401"/>
      <c r="G7" s="3400" t="s">
        <v>2942</v>
      </c>
      <c r="H7" s="3401"/>
      <c r="I7" s="3400" t="s">
        <v>2943</v>
      </c>
      <c r="J7" s="3401"/>
      <c r="K7" s="511"/>
      <c r="L7" s="2131"/>
      <c r="M7" s="2130"/>
      <c r="N7" s="2130"/>
      <c r="O7" s="2132"/>
      <c r="P7" s="3393"/>
      <c r="Q7" s="3394"/>
      <c r="R7" s="3379"/>
      <c r="S7" s="3380"/>
      <c r="T7" s="3379"/>
      <c r="U7" s="3380"/>
      <c r="V7" s="3397"/>
      <c r="W7" s="3397"/>
      <c r="X7" s="1564"/>
      <c r="Y7" s="3379"/>
      <c r="Z7" s="3380"/>
      <c r="AA7" s="3373"/>
      <c r="AB7" s="3373"/>
      <c r="AC7" s="3373"/>
    </row>
    <row r="8" spans="1:30" ht="42.75" customHeight="1" thickBot="1">
      <c r="A8" s="512"/>
      <c r="B8" s="513"/>
      <c r="C8" s="3402" t="s">
        <v>2944</v>
      </c>
      <c r="D8" s="3403"/>
      <c r="E8" s="3404" t="s">
        <v>3003</v>
      </c>
      <c r="F8" s="3403"/>
      <c r="G8" s="3398" t="s">
        <v>3018</v>
      </c>
      <c r="H8" s="3399"/>
      <c r="I8" s="3398" t="s">
        <v>3019</v>
      </c>
      <c r="J8" s="3399"/>
      <c r="K8" s="511" t="s">
        <v>529</v>
      </c>
      <c r="L8" s="2131"/>
      <c r="M8" s="2130"/>
      <c r="N8" s="2130"/>
      <c r="O8" s="2132"/>
      <c r="P8" s="3395"/>
      <c r="Q8" s="3396"/>
      <c r="R8" s="3379"/>
      <c r="S8" s="3380"/>
      <c r="T8" s="3381"/>
      <c r="U8" s="3382"/>
      <c r="V8" s="3397"/>
      <c r="W8" s="3397"/>
      <c r="X8" s="1564"/>
      <c r="Y8" s="3381"/>
      <c r="Z8" s="3382"/>
      <c r="AA8" s="3374"/>
      <c r="AB8" s="3374"/>
      <c r="AC8" s="3374"/>
    </row>
    <row r="9" spans="1:30" s="1216" customFormat="1" ht="21" thickBot="1">
      <c r="A9" s="2935"/>
      <c r="B9" s="2942" t="s">
        <v>530</v>
      </c>
      <c r="C9" s="2934">
        <f>'数据-取费表'!B2</f>
        <v>43123</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375" t="s">
        <v>531</v>
      </c>
      <c r="Q9" s="3384"/>
      <c r="R9" s="1565" t="s">
        <v>8</v>
      </c>
      <c r="S9" s="1566">
        <f t="shared" ref="S9:S17" si="0">F9</f>
        <v>94</v>
      </c>
      <c r="T9" s="1565" t="s">
        <v>8</v>
      </c>
      <c r="U9" s="1566">
        <f t="shared" ref="U9:U17" si="1">H9</f>
        <v>93</v>
      </c>
      <c r="V9" s="1565" t="s">
        <v>8</v>
      </c>
      <c r="W9" s="1566">
        <f t="shared" ref="W9:W17" si="2">J9</f>
        <v>97</v>
      </c>
      <c r="X9" s="1567"/>
      <c r="Y9" s="3375" t="s">
        <v>531</v>
      </c>
      <c r="Z9" s="3376"/>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375" t="s">
        <v>534</v>
      </c>
      <c r="Q10" s="3376"/>
      <c r="R10" s="1565" t="s">
        <v>8</v>
      </c>
      <c r="S10" s="1566">
        <f t="shared" si="0"/>
        <v>100</v>
      </c>
      <c r="T10" s="1565" t="s">
        <v>8</v>
      </c>
      <c r="U10" s="1566">
        <f t="shared" si="1"/>
        <v>100</v>
      </c>
      <c r="V10" s="1565" t="s">
        <v>8</v>
      </c>
      <c r="W10" s="1566">
        <f t="shared" si="2"/>
        <v>100</v>
      </c>
      <c r="X10" s="1567"/>
      <c r="Y10" s="3375" t="s">
        <v>534</v>
      </c>
      <c r="Z10" s="3376"/>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83" t="s">
        <v>536</v>
      </c>
      <c r="Q11" s="1147" t="str">
        <f t="shared" ref="Q11:Q17" si="6">B11</f>
        <v>用途</v>
      </c>
      <c r="R11" s="1565" t="s">
        <v>8</v>
      </c>
      <c r="S11" s="1566">
        <f t="shared" si="0"/>
        <v>100</v>
      </c>
      <c r="T11" s="1565" t="s">
        <v>8</v>
      </c>
      <c r="U11" s="1566">
        <f t="shared" si="1"/>
        <v>100</v>
      </c>
      <c r="V11" s="1565" t="s">
        <v>8</v>
      </c>
      <c r="W11" s="1566">
        <f t="shared" si="2"/>
        <v>100</v>
      </c>
      <c r="X11" s="1567"/>
      <c r="Y11" s="3340"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83"/>
      <c r="Q12" s="1147" t="str">
        <f t="shared" si="6"/>
        <v>土地使用年限（年）</v>
      </c>
      <c r="R12" s="1565" t="s">
        <v>8</v>
      </c>
      <c r="S12" s="1566">
        <f t="shared" si="0"/>
        <v>100</v>
      </c>
      <c r="T12" s="1565" t="s">
        <v>8</v>
      </c>
      <c r="U12" s="1566">
        <f t="shared" si="1"/>
        <v>100</v>
      </c>
      <c r="V12" s="1565" t="s">
        <v>8</v>
      </c>
      <c r="W12" s="1566">
        <f t="shared" si="2"/>
        <v>100</v>
      </c>
      <c r="X12" s="1567"/>
      <c r="Y12" s="3340"/>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83"/>
      <c r="Q13" s="1147" t="str">
        <f t="shared" si="6"/>
        <v>容积率</v>
      </c>
      <c r="R13" s="1565" t="s">
        <v>8</v>
      </c>
      <c r="S13" s="1566">
        <f t="shared" si="0"/>
        <v>120</v>
      </c>
      <c r="T13" s="1565" t="s">
        <v>8</v>
      </c>
      <c r="U13" s="1566">
        <f t="shared" si="1"/>
        <v>115</v>
      </c>
      <c r="V13" s="1565" t="s">
        <v>8</v>
      </c>
      <c r="W13" s="1566">
        <f t="shared" si="2"/>
        <v>115</v>
      </c>
      <c r="X13" s="1567"/>
      <c r="Y13" s="3340"/>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83"/>
      <c r="Q14" s="1147" t="str">
        <f t="shared" si="6"/>
        <v>配建</v>
      </c>
      <c r="R14" s="1565" t="s">
        <v>8</v>
      </c>
      <c r="S14" s="1566">
        <f t="shared" si="0"/>
        <v>100</v>
      </c>
      <c r="T14" s="1565" t="s">
        <v>8</v>
      </c>
      <c r="U14" s="1566">
        <f t="shared" si="1"/>
        <v>100</v>
      </c>
      <c r="V14" s="1565" t="s">
        <v>8</v>
      </c>
      <c r="W14" s="1566">
        <f t="shared" si="2"/>
        <v>100</v>
      </c>
      <c r="X14" s="1567"/>
      <c r="Y14" s="3340"/>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83"/>
      <c r="Q15" s="1147">
        <f t="shared" si="6"/>
        <v>111</v>
      </c>
      <c r="R15" s="1565" t="s">
        <v>8</v>
      </c>
      <c r="S15" s="1566">
        <f t="shared" si="0"/>
        <v>100</v>
      </c>
      <c r="T15" s="1565" t="s">
        <v>8</v>
      </c>
      <c r="U15" s="1566">
        <f t="shared" si="1"/>
        <v>100</v>
      </c>
      <c r="V15" s="1565" t="s">
        <v>8</v>
      </c>
      <c r="W15" s="1566">
        <f t="shared" si="2"/>
        <v>100</v>
      </c>
      <c r="X15" s="1567"/>
      <c r="Y15" s="3340"/>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83"/>
      <c r="Q16" s="1147">
        <f t="shared" si="6"/>
        <v>111</v>
      </c>
      <c r="R16" s="1565" t="s">
        <v>8</v>
      </c>
      <c r="S16" s="1566">
        <f t="shared" si="0"/>
        <v>100</v>
      </c>
      <c r="T16" s="1565" t="s">
        <v>8</v>
      </c>
      <c r="U16" s="1566">
        <f t="shared" si="1"/>
        <v>100</v>
      </c>
      <c r="V16" s="1565" t="s">
        <v>8</v>
      </c>
      <c r="W16" s="1566">
        <f t="shared" si="2"/>
        <v>100</v>
      </c>
      <c r="X16" s="1567"/>
      <c r="Y16" s="3340"/>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385" t="s">
        <v>541</v>
      </c>
      <c r="Q17" s="1569" t="str">
        <f t="shared" si="6"/>
        <v>居住社区成熟度</v>
      </c>
      <c r="R17" s="1570" t="s">
        <v>8</v>
      </c>
      <c r="S17" s="1571">
        <f t="shared" si="0"/>
        <v>100</v>
      </c>
      <c r="T17" s="1570" t="s">
        <v>8</v>
      </c>
      <c r="U17" s="1571">
        <f t="shared" si="1"/>
        <v>100</v>
      </c>
      <c r="V17" s="1570" t="s">
        <v>8</v>
      </c>
      <c r="W17" s="1571">
        <f t="shared" si="2"/>
        <v>100</v>
      </c>
      <c r="X17" s="1564"/>
      <c r="Y17" s="3385"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386"/>
      <c r="Q18" s="1569"/>
      <c r="R18" s="1570"/>
      <c r="S18" s="1571"/>
      <c r="T18" s="1570"/>
      <c r="U18" s="1571"/>
      <c r="V18" s="1570"/>
      <c r="W18" s="1571"/>
      <c r="X18" s="1564"/>
      <c r="Y18" s="3386"/>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386"/>
      <c r="Q19" s="1569" t="str">
        <f>B19</f>
        <v>商业繁华度</v>
      </c>
      <c r="R19" s="1570" t="s">
        <v>8</v>
      </c>
      <c r="S19" s="1571">
        <f>F19</f>
        <v>100</v>
      </c>
      <c r="T19" s="1570" t="s">
        <v>8</v>
      </c>
      <c r="U19" s="1571">
        <f>H19</f>
        <v>100</v>
      </c>
      <c r="V19" s="1570" t="s">
        <v>8</v>
      </c>
      <c r="W19" s="1571">
        <f>J19</f>
        <v>100</v>
      </c>
      <c r="X19" s="1564"/>
      <c r="Y19" s="3386"/>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386"/>
      <c r="Q20" s="1569"/>
      <c r="R20" s="1570"/>
      <c r="S20" s="1571"/>
      <c r="T20" s="1570"/>
      <c r="U20" s="1571"/>
      <c r="V20" s="1570"/>
      <c r="W20" s="1571"/>
      <c r="X20" s="1564"/>
      <c r="Y20" s="3386"/>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386"/>
      <c r="Q21" s="1569" t="str">
        <f>B21</f>
        <v>办公集聚程度</v>
      </c>
      <c r="R21" s="1570" t="s">
        <v>8</v>
      </c>
      <c r="S21" s="1571">
        <f>F21</f>
        <v>98</v>
      </c>
      <c r="T21" s="1570" t="s">
        <v>8</v>
      </c>
      <c r="U21" s="1571">
        <f>H21</f>
        <v>98</v>
      </c>
      <c r="V21" s="1570" t="s">
        <v>8</v>
      </c>
      <c r="W21" s="1571">
        <f>J21</f>
        <v>98</v>
      </c>
      <c r="X21" s="1564"/>
      <c r="Y21" s="3386"/>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386"/>
      <c r="Q22" s="1569"/>
      <c r="R22" s="1570"/>
      <c r="S22" s="1571"/>
      <c r="T22" s="1570"/>
      <c r="U22" s="1571"/>
      <c r="V22" s="1570"/>
      <c r="W22" s="1571"/>
      <c r="X22" s="1564"/>
      <c r="Y22" s="3386"/>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386"/>
      <c r="Q23" s="1569" t="str">
        <f>B23</f>
        <v>交通便捷度</v>
      </c>
      <c r="R23" s="1570" t="s">
        <v>8</v>
      </c>
      <c r="S23" s="1571">
        <f>F23</f>
        <v>100</v>
      </c>
      <c r="T23" s="1570" t="s">
        <v>8</v>
      </c>
      <c r="U23" s="1571">
        <f>H23</f>
        <v>100</v>
      </c>
      <c r="V23" s="1570" t="s">
        <v>8</v>
      </c>
      <c r="W23" s="1571">
        <f>J23</f>
        <v>100</v>
      </c>
      <c r="X23" s="1564"/>
      <c r="Y23" s="3386"/>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386"/>
      <c r="Q24" s="1569"/>
      <c r="R24" s="1570"/>
      <c r="S24" s="1571"/>
      <c r="T24" s="1570"/>
      <c r="U24" s="1571"/>
      <c r="V24" s="1570"/>
      <c r="W24" s="1571"/>
      <c r="X24" s="1564"/>
      <c r="Y24" s="3386"/>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386"/>
      <c r="Q25" s="1569" t="str">
        <f t="shared" ref="Q25:Q39" si="8">B25</f>
        <v>区域土地利用方向</v>
      </c>
      <c r="R25" s="1570" t="s">
        <v>8</v>
      </c>
      <c r="S25" s="1571">
        <f>F25</f>
        <v>100</v>
      </c>
      <c r="T25" s="1570" t="s">
        <v>8</v>
      </c>
      <c r="U25" s="1571">
        <f>H25</f>
        <v>100</v>
      </c>
      <c r="V25" s="1570" t="s">
        <v>8</v>
      </c>
      <c r="W25" s="1571">
        <f>J25</f>
        <v>100</v>
      </c>
      <c r="X25" s="1564"/>
      <c r="Y25" s="3386"/>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386"/>
      <c r="Q26" s="1569"/>
      <c r="R26" s="1570"/>
      <c r="S26" s="1571"/>
      <c r="T26" s="1570"/>
      <c r="U26" s="1571"/>
      <c r="V26" s="1570"/>
      <c r="W26" s="1571"/>
      <c r="X26" s="1564"/>
      <c r="Y26" s="3386"/>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386"/>
      <c r="Q27" s="1569" t="str">
        <f t="shared" si="8"/>
        <v>自然及人文环境状况</v>
      </c>
      <c r="R27" s="1570" t="s">
        <v>8</v>
      </c>
      <c r="S27" s="1571">
        <f>F27</f>
        <v>100</v>
      </c>
      <c r="T27" s="1570" t="s">
        <v>8</v>
      </c>
      <c r="U27" s="1571">
        <f>H27</f>
        <v>100</v>
      </c>
      <c r="V27" s="1570" t="s">
        <v>8</v>
      </c>
      <c r="W27" s="1571">
        <f>J27</f>
        <v>100</v>
      </c>
      <c r="X27" s="1564"/>
      <c r="Y27" s="3386"/>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386"/>
      <c r="Q28" s="1569"/>
      <c r="R28" s="1570"/>
      <c r="S28" s="1571"/>
      <c r="T28" s="1570"/>
      <c r="U28" s="1571"/>
      <c r="V28" s="1570"/>
      <c r="W28" s="1571"/>
      <c r="X28" s="1564"/>
      <c r="Y28" s="3386"/>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386"/>
      <c r="Q29" s="1147" t="str">
        <f t="shared" si="8"/>
        <v>公共配套设施</v>
      </c>
      <c r="R29" s="1565" t="s">
        <v>8</v>
      </c>
      <c r="S29" s="1566">
        <f>F29</f>
        <v>100</v>
      </c>
      <c r="T29" s="1565" t="s">
        <v>8</v>
      </c>
      <c r="U29" s="1566">
        <f>H29</f>
        <v>100</v>
      </c>
      <c r="V29" s="1565" t="s">
        <v>8</v>
      </c>
      <c r="W29" s="1566">
        <f>J29</f>
        <v>100</v>
      </c>
      <c r="X29" s="1567"/>
      <c r="Y29" s="3386"/>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386"/>
      <c r="Q30" s="1147"/>
      <c r="R30" s="1565"/>
      <c r="S30" s="1566"/>
      <c r="T30" s="1565"/>
      <c r="U30" s="1566"/>
      <c r="V30" s="1565"/>
      <c r="W30" s="1566"/>
      <c r="X30" s="1567"/>
      <c r="Y30" s="3386"/>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386"/>
      <c r="Q31" s="2600" t="str">
        <f t="shared" ref="Q31" si="9">B31</f>
        <v>基础设施水平</v>
      </c>
      <c r="R31" s="1565" t="s">
        <v>8</v>
      </c>
      <c r="S31" s="1566">
        <f>F31</f>
        <v>100</v>
      </c>
      <c r="T31" s="1565" t="s">
        <v>8</v>
      </c>
      <c r="U31" s="1566">
        <f>H31</f>
        <v>100</v>
      </c>
      <c r="V31" s="1565" t="s">
        <v>8</v>
      </c>
      <c r="W31" s="1566">
        <f>J31</f>
        <v>100</v>
      </c>
      <c r="X31" s="1567"/>
      <c r="Y31" s="3386"/>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386"/>
      <c r="Q32" s="2600"/>
      <c r="R32" s="1565"/>
      <c r="S32" s="1566"/>
      <c r="T32" s="1565"/>
      <c r="U32" s="1566"/>
      <c r="V32" s="1565"/>
      <c r="W32" s="1566"/>
      <c r="X32" s="1567"/>
      <c r="Y32" s="3386"/>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38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6"/>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386"/>
      <c r="Q34" s="1569" t="str">
        <f t="shared" si="8"/>
        <v>毗邻道路的类型与等级</v>
      </c>
      <c r="R34" s="1570" t="s">
        <v>8</v>
      </c>
      <c r="S34" s="1571">
        <f t="shared" si="10"/>
        <v>100</v>
      </c>
      <c r="T34" s="1570" t="s">
        <v>8</v>
      </c>
      <c r="U34" s="1571">
        <f t="shared" si="11"/>
        <v>100</v>
      </c>
      <c r="V34" s="1570" t="s">
        <v>8</v>
      </c>
      <c r="W34" s="1571">
        <f t="shared" si="12"/>
        <v>100</v>
      </c>
      <c r="X34" s="1564"/>
      <c r="Y34" s="3386"/>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386"/>
      <c r="Q35" s="1569"/>
      <c r="R35" s="1570"/>
      <c r="S35" s="1571"/>
      <c r="T35" s="1570"/>
      <c r="U35" s="1571"/>
      <c r="V35" s="1570"/>
      <c r="W35" s="1571"/>
      <c r="X35" s="1564"/>
      <c r="Y35" s="3386"/>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386"/>
      <c r="Q36" s="1569" t="str">
        <f t="shared" si="8"/>
        <v>土地级别</v>
      </c>
      <c r="R36" s="1570" t="s">
        <v>8</v>
      </c>
      <c r="S36" s="1571">
        <f t="shared" si="10"/>
        <v>100</v>
      </c>
      <c r="T36" s="1570" t="s">
        <v>8</v>
      </c>
      <c r="U36" s="1571">
        <f t="shared" si="11"/>
        <v>100</v>
      </c>
      <c r="V36" s="1570" t="s">
        <v>8</v>
      </c>
      <c r="W36" s="1571">
        <f t="shared" si="12"/>
        <v>100</v>
      </c>
      <c r="X36" s="1564"/>
      <c r="Y36" s="338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386"/>
      <c r="Q37" s="1569">
        <f t="shared" si="8"/>
        <v>111</v>
      </c>
      <c r="R37" s="1570" t="s">
        <v>8</v>
      </c>
      <c r="S37" s="1571">
        <f t="shared" si="10"/>
        <v>100</v>
      </c>
      <c r="T37" s="1570" t="s">
        <v>8</v>
      </c>
      <c r="U37" s="1571">
        <f t="shared" si="11"/>
        <v>100</v>
      </c>
      <c r="V37" s="1570" t="s">
        <v>8</v>
      </c>
      <c r="W37" s="1571">
        <f t="shared" si="12"/>
        <v>100</v>
      </c>
      <c r="X37" s="1564"/>
      <c r="Y37" s="338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387" t="s">
        <v>551</v>
      </c>
      <c r="Q38" s="1569">
        <f t="shared" si="8"/>
        <v>111</v>
      </c>
      <c r="R38" s="1570" t="s">
        <v>8</v>
      </c>
      <c r="S38" s="1571">
        <f t="shared" si="10"/>
        <v>100</v>
      </c>
      <c r="T38" s="1570" t="s">
        <v>8</v>
      </c>
      <c r="U38" s="1571">
        <f t="shared" si="11"/>
        <v>100</v>
      </c>
      <c r="V38" s="1570" t="s">
        <v>8</v>
      </c>
      <c r="W38" s="1571">
        <f t="shared" si="12"/>
        <v>100</v>
      </c>
      <c r="X38" s="1564"/>
      <c r="Y38" s="3388"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388"/>
      <c r="Q39" s="1569">
        <f t="shared" si="8"/>
        <v>111</v>
      </c>
      <c r="R39" s="1574" t="s">
        <v>8</v>
      </c>
      <c r="S39" s="1575">
        <f t="shared" si="10"/>
        <v>100</v>
      </c>
      <c r="T39" s="1574" t="s">
        <v>8</v>
      </c>
      <c r="U39" s="1575">
        <f t="shared" si="11"/>
        <v>100</v>
      </c>
      <c r="V39" s="1574" t="s">
        <v>8</v>
      </c>
      <c r="W39" s="1575">
        <f t="shared" si="12"/>
        <v>100</v>
      </c>
      <c r="X39" s="1576"/>
      <c r="Y39" s="3388"/>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388"/>
      <c r="Q40" s="1569" t="str">
        <f>B40</f>
        <v>宗地面积</v>
      </c>
      <c r="R40" s="1570" t="s">
        <v>8</v>
      </c>
      <c r="S40" s="1571">
        <f t="shared" si="10"/>
        <v>100</v>
      </c>
      <c r="T40" s="1570" t="s">
        <v>8</v>
      </c>
      <c r="U40" s="1571">
        <f t="shared" si="11"/>
        <v>102</v>
      </c>
      <c r="V40" s="1570" t="s">
        <v>8</v>
      </c>
      <c r="W40" s="1571">
        <f t="shared" si="12"/>
        <v>100</v>
      </c>
      <c r="X40" s="1564"/>
      <c r="Y40" s="3388"/>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388"/>
      <c r="Q41" s="1569" t="str">
        <f t="shared" ref="Q41:Q47" si="14">B41</f>
        <v>宗地形状</v>
      </c>
      <c r="R41" s="1570" t="s">
        <v>8</v>
      </c>
      <c r="S41" s="1571">
        <f t="shared" si="10"/>
        <v>100</v>
      </c>
      <c r="T41" s="1570" t="s">
        <v>8</v>
      </c>
      <c r="U41" s="1571">
        <f t="shared" si="11"/>
        <v>100</v>
      </c>
      <c r="V41" s="1570" t="s">
        <v>8</v>
      </c>
      <c r="W41" s="1571">
        <f t="shared" si="12"/>
        <v>100</v>
      </c>
      <c r="X41" s="1564"/>
      <c r="Y41" s="3388"/>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388"/>
      <c r="Q42" s="1569" t="str">
        <f t="shared" si="14"/>
        <v>临街宽度及深度</v>
      </c>
      <c r="R42" s="1570" t="s">
        <v>8</v>
      </c>
      <c r="S42" s="1571">
        <f t="shared" si="10"/>
        <v>100</v>
      </c>
      <c r="T42" s="1570" t="s">
        <v>8</v>
      </c>
      <c r="U42" s="1571">
        <f t="shared" si="11"/>
        <v>100</v>
      </c>
      <c r="V42" s="1570" t="s">
        <v>8</v>
      </c>
      <c r="W42" s="1571">
        <f t="shared" si="12"/>
        <v>100</v>
      </c>
      <c r="X42" s="1564"/>
      <c r="Y42" s="3388"/>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388"/>
      <c r="Q43" s="1569" t="str">
        <f t="shared" si="14"/>
        <v>宗地开发程度</v>
      </c>
      <c r="R43" s="1565" t="s">
        <v>8</v>
      </c>
      <c r="S43" s="1566">
        <f t="shared" si="10"/>
        <v>100</v>
      </c>
      <c r="T43" s="1565" t="s">
        <v>8</v>
      </c>
      <c r="U43" s="1566">
        <f t="shared" si="11"/>
        <v>100</v>
      </c>
      <c r="V43" s="1565" t="s">
        <v>8</v>
      </c>
      <c r="W43" s="1566">
        <f t="shared" si="12"/>
        <v>100</v>
      </c>
      <c r="X43" s="1567"/>
      <c r="Y43" s="3388"/>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388" t="s">
        <v>551</v>
      </c>
      <c r="Q44" s="1569" t="str">
        <f t="shared" si="14"/>
        <v>工程地质条件</v>
      </c>
      <c r="R44" s="1570" t="s">
        <v>8</v>
      </c>
      <c r="S44" s="1571">
        <f t="shared" si="10"/>
        <v>100</v>
      </c>
      <c r="T44" s="1570" t="s">
        <v>8</v>
      </c>
      <c r="U44" s="1571">
        <f t="shared" si="11"/>
        <v>100</v>
      </c>
      <c r="V44" s="1570" t="s">
        <v>8</v>
      </c>
      <c r="W44" s="1571">
        <f t="shared" si="12"/>
        <v>100</v>
      </c>
      <c r="X44" s="1564"/>
      <c r="Y44" s="3388"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388"/>
      <c r="Q45" s="1569">
        <f t="shared" si="14"/>
        <v>111</v>
      </c>
      <c r="R45" s="1570" t="s">
        <v>8</v>
      </c>
      <c r="S45" s="1571">
        <f t="shared" si="10"/>
        <v>100</v>
      </c>
      <c r="T45" s="1570" t="s">
        <v>8</v>
      </c>
      <c r="U45" s="1571">
        <f t="shared" si="11"/>
        <v>100</v>
      </c>
      <c r="V45" s="1570" t="s">
        <v>8</v>
      </c>
      <c r="W45" s="1571">
        <f t="shared" si="12"/>
        <v>100</v>
      </c>
      <c r="X45" s="1564"/>
      <c r="Y45" s="338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388"/>
      <c r="Q46" s="1569">
        <f t="shared" si="14"/>
        <v>111</v>
      </c>
      <c r="R46" s="1570" t="s">
        <v>8</v>
      </c>
      <c r="S46" s="1571">
        <f t="shared" si="10"/>
        <v>100</v>
      </c>
      <c r="T46" s="1570" t="s">
        <v>8</v>
      </c>
      <c r="U46" s="1571">
        <f t="shared" si="11"/>
        <v>100</v>
      </c>
      <c r="V46" s="1570" t="s">
        <v>8</v>
      </c>
      <c r="W46" s="1571">
        <f t="shared" si="12"/>
        <v>100</v>
      </c>
      <c r="X46" s="1564"/>
      <c r="Y46" s="338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388"/>
      <c r="Q47" s="1569">
        <f t="shared" si="14"/>
        <v>111</v>
      </c>
      <c r="R47" s="1574" t="s">
        <v>8</v>
      </c>
      <c r="S47" s="1575">
        <f t="shared" si="10"/>
        <v>100</v>
      </c>
      <c r="T47" s="1574" t="s">
        <v>8</v>
      </c>
      <c r="U47" s="1575">
        <f t="shared" si="11"/>
        <v>100</v>
      </c>
      <c r="V47" s="1574" t="s">
        <v>8</v>
      </c>
      <c r="W47" s="1575">
        <f t="shared" si="12"/>
        <v>100</v>
      </c>
      <c r="X47" s="1576"/>
      <c r="Y47" s="3388"/>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83" t="str">
        <f>A48</f>
        <v>成交单价</v>
      </c>
      <c r="Q48" s="3383"/>
      <c r="R48" s="3397">
        <f>E48</f>
        <v>25750</v>
      </c>
      <c r="S48" s="3397"/>
      <c r="T48" s="3397">
        <f>G48</f>
        <v>24744</v>
      </c>
      <c r="U48" s="3397"/>
      <c r="V48" s="3397">
        <f>I48</f>
        <v>24462</v>
      </c>
      <c r="W48" s="3397"/>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83" t="str">
        <f>A49</f>
        <v>比较价格（元/平方米）</v>
      </c>
      <c r="Q49" s="3383"/>
      <c r="R49" s="3408">
        <f>ROUND(PRODUCT(R48,AA9:AA47),0)</f>
        <v>23294</v>
      </c>
      <c r="S49" s="3408"/>
      <c r="T49" s="3408">
        <f>ROUND(PRODUCT(T48,AB9:AB47),0)</f>
        <v>23145</v>
      </c>
      <c r="U49" s="3408"/>
      <c r="V49" s="3408">
        <f>ROUND(PRODUCT(V48,AC9:AC47),0)</f>
        <v>22377</v>
      </c>
      <c r="W49" s="3408"/>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405" t="str">
        <f>A50</f>
        <v>估价对象XX用房的比较价格（楼面单价，元/平方米）</v>
      </c>
      <c r="Q50" s="3406"/>
      <c r="R50" s="3407">
        <f>ROUND(AVERAGE(R49:V49),0)</f>
        <v>22939</v>
      </c>
      <c r="S50" s="3407"/>
      <c r="T50" s="3407"/>
      <c r="U50" s="3407"/>
      <c r="V50" s="3407"/>
      <c r="W50" s="3407"/>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67" t="s">
        <v>2285</v>
      </c>
      <c r="H57" s="3368"/>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69"/>
      <c r="H58" s="337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37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37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37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37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sqref="A1:K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208112</v>
      </c>
      <c r="C2" s="2102"/>
      <c r="D2" s="2102"/>
      <c r="E2" s="2102"/>
      <c r="F2" s="2102"/>
      <c r="G2" s="2102"/>
      <c r="H2" s="2102"/>
      <c r="I2" s="2102"/>
      <c r="J2" s="2102"/>
      <c r="K2" s="2102"/>
    </row>
    <row r="3" spans="1:31" s="2039" customFormat="1" ht="18" customHeight="1">
      <c r="A3" s="2104" t="s">
        <v>1686</v>
      </c>
      <c r="B3" s="2105">
        <f ca="1">ROUND(B2*10000/IF(B1="",'数据-汇总表'!E3,INDIRECT("'数据-取费表'!K"&amp;$K$1)),0)</f>
        <v>15254</v>
      </c>
      <c r="C3" s="2102"/>
      <c r="D3" s="2102"/>
      <c r="E3" s="2102"/>
      <c r="F3" s="2102"/>
      <c r="G3" s="2102"/>
      <c r="H3" s="2102"/>
      <c r="I3" s="2102"/>
      <c r="J3" s="2102"/>
      <c r="K3" s="2102"/>
    </row>
    <row r="4" spans="1:31" s="2039" customFormat="1" ht="18" customHeight="1">
      <c r="A4" s="423" t="s">
        <v>468</v>
      </c>
      <c r="B4" s="424">
        <f ca="1">ROUND(B2*10000/IF(B1="",'数据-汇总表'!D3,INDIRECT("'数据-取费表'!R"&amp;$K$1)),0)</f>
        <v>55678</v>
      </c>
      <c r="C4" s="425"/>
      <c r="D4" s="419"/>
      <c r="E4" s="419"/>
      <c r="F4" s="419"/>
      <c r="G4" s="419"/>
      <c r="H4" s="419"/>
      <c r="I4" s="419"/>
      <c r="J4" s="419"/>
      <c r="K4" s="419"/>
    </row>
    <row r="5" spans="1:31" s="2039" customFormat="1" ht="18" customHeight="1" thickBot="1">
      <c r="A5" s="426"/>
      <c r="B5" s="427">
        <f ca="1">ROUND(B2/(IF(B1="",'数据-汇总表'!D3,INDIRECT("'数据-取费表'!R"&amp;$K$1))/666.67),0)</f>
        <v>3712</v>
      </c>
      <c r="C5" s="428" t="s">
        <v>469</v>
      </c>
      <c r="D5" s="419"/>
      <c r="E5" s="419"/>
      <c r="F5" s="419"/>
      <c r="G5" s="419"/>
      <c r="H5" s="419"/>
      <c r="I5" s="419"/>
      <c r="J5" s="419"/>
      <c r="K5" s="419"/>
    </row>
    <row r="6" spans="1:31" s="2109" customFormat="1" ht="16.5" customHeight="1">
      <c r="A6" s="2852" t="s">
        <v>1844</v>
      </c>
      <c r="B6" s="2853"/>
      <c r="C6" s="2854">
        <f ca="1">SUM(C10:K10)</f>
        <v>369897</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22821</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15975</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7398</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4716</v>
      </c>
      <c r="D26" s="464">
        <f ca="1">C27</f>
        <v>0.18149999999999999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0.18149999999999999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4716</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19728</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80184</v>
      </c>
      <c r="D30" s="474">
        <f ca="1">C32</f>
        <v>0.21049999999999999</v>
      </c>
      <c r="E30" s="466" t="s">
        <v>495</v>
      </c>
      <c r="F30" s="468"/>
      <c r="G30" s="2836" t="s">
        <v>501</v>
      </c>
      <c r="H30" s="2837"/>
      <c r="I30" s="2837"/>
      <c r="J30" s="2837"/>
      <c r="K30" s="2838"/>
    </row>
    <row r="31" spans="1:14" s="2118" customFormat="1" ht="13.5" customHeight="1">
      <c r="A31" s="800" t="s">
        <v>1858</v>
      </c>
      <c r="B31" s="2882"/>
      <c r="C31" s="447">
        <f ca="1">C18+C19+C20+C23+C24+C26+C29</f>
        <v>80184</v>
      </c>
      <c r="D31" s="469"/>
      <c r="E31" s="470"/>
      <c r="F31" s="471"/>
      <c r="G31" s="260"/>
      <c r="H31" s="2839"/>
      <c r="I31" s="2839"/>
      <c r="J31" s="2839"/>
      <c r="K31" s="278"/>
    </row>
    <row r="32" spans="1:14" s="2118" customFormat="1" ht="13.5" customHeight="1">
      <c r="A32" s="800" t="s">
        <v>1859</v>
      </c>
      <c r="B32" s="2882"/>
      <c r="C32" s="53">
        <f ca="1">ROUND(C25+D26,4)</f>
        <v>0.21049999999999999</v>
      </c>
      <c r="D32" s="469"/>
      <c r="E32" s="470"/>
      <c r="F32" s="471"/>
      <c r="G32" s="260"/>
      <c r="H32" s="2839"/>
      <c r="I32" s="2839"/>
      <c r="J32" s="2839"/>
      <c r="K32" s="278"/>
    </row>
    <row r="33" spans="1:11" s="2120" customFormat="1" ht="13.5" customHeight="1">
      <c r="A33" s="3057" t="s">
        <v>2842</v>
      </c>
      <c r="B33" s="3055" t="s">
        <v>2840</v>
      </c>
      <c r="C33" s="475">
        <f ca="1">C35</f>
        <v>7804</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7804</v>
      </c>
      <c r="D35" s="1626"/>
      <c r="E35" s="2888"/>
      <c r="F35" s="1627"/>
      <c r="G35" s="2846"/>
      <c r="H35" s="2847"/>
      <c r="I35" s="2847"/>
      <c r="J35" s="2847"/>
      <c r="K35" s="2848"/>
    </row>
    <row r="36" spans="1:11" s="2083" customFormat="1" ht="13.5" customHeight="1" thickBot="1">
      <c r="A36" s="283" t="s">
        <v>1846</v>
      </c>
      <c r="B36" s="2850"/>
      <c r="C36" s="2889">
        <f ca="1">ROUND((C6-C30-C33)/(1+D30+D33),0)</f>
        <v>208112</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3967</v>
      </c>
      <c r="D21" s="464">
        <f ca="1">C23</f>
        <v>1.6999999999999999E-3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3967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1.6999999999999999E-3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62264</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89" t="s">
        <v>523</v>
      </c>
      <c r="D6" s="3390"/>
      <c r="E6" s="3414" t="s">
        <v>524</v>
      </c>
      <c r="F6" s="3415"/>
      <c r="G6" s="3389" t="s">
        <v>525</v>
      </c>
      <c r="H6" s="3390"/>
      <c r="I6" s="3389" t="s">
        <v>526</v>
      </c>
      <c r="J6" s="3390"/>
      <c r="K6" s="511" t="s">
        <v>527</v>
      </c>
      <c r="L6" s="2131"/>
      <c r="M6" s="2132"/>
      <c r="N6" s="2132"/>
      <c r="O6" s="2132"/>
      <c r="P6" s="3391" t="s">
        <v>528</v>
      </c>
      <c r="Q6" s="3392"/>
      <c r="R6" s="3377" t="s">
        <v>524</v>
      </c>
      <c r="S6" s="3378"/>
      <c r="T6" s="3377" t="s">
        <v>525</v>
      </c>
      <c r="U6" s="3378"/>
      <c r="V6" s="3397" t="s">
        <v>526</v>
      </c>
      <c r="W6" s="3397"/>
      <c r="X6" s="1564"/>
      <c r="Y6" s="3377" t="s">
        <v>528</v>
      </c>
      <c r="Z6" s="3378"/>
      <c r="AA6" s="3372" t="s">
        <v>524</v>
      </c>
      <c r="AB6" s="3373" t="s">
        <v>525</v>
      </c>
      <c r="AC6" s="3372" t="s">
        <v>526</v>
      </c>
    </row>
    <row r="7" spans="1:29" ht="15">
      <c r="A7" s="512"/>
      <c r="B7" s="513"/>
      <c r="C7" s="3400" t="s">
        <v>2940</v>
      </c>
      <c r="D7" s="3401"/>
      <c r="E7" s="3416" t="s">
        <v>2941</v>
      </c>
      <c r="F7" s="3417"/>
      <c r="G7" s="3400" t="s">
        <v>2942</v>
      </c>
      <c r="H7" s="3401"/>
      <c r="I7" s="3400" t="s">
        <v>2943</v>
      </c>
      <c r="J7" s="3401"/>
      <c r="K7" s="511"/>
      <c r="L7" s="2131"/>
      <c r="M7" s="2132"/>
      <c r="N7" s="2132"/>
      <c r="O7" s="2132"/>
      <c r="P7" s="3393"/>
      <c r="Q7" s="3394"/>
      <c r="R7" s="3379"/>
      <c r="S7" s="3380"/>
      <c r="T7" s="3379"/>
      <c r="U7" s="3380"/>
      <c r="V7" s="3397"/>
      <c r="W7" s="3397"/>
      <c r="X7" s="1564"/>
      <c r="Y7" s="3379"/>
      <c r="Z7" s="3380"/>
      <c r="AA7" s="3373"/>
      <c r="AB7" s="3373"/>
      <c r="AC7" s="3373"/>
    </row>
    <row r="8" spans="1:29" ht="15.75" thickBot="1">
      <c r="A8" s="514"/>
      <c r="B8" s="515"/>
      <c r="C8" s="3418" t="s">
        <v>2944</v>
      </c>
      <c r="D8" s="3399"/>
      <c r="E8" s="3419" t="s">
        <v>2944</v>
      </c>
      <c r="F8" s="3420"/>
      <c r="G8" s="3418" t="s">
        <v>2944</v>
      </c>
      <c r="H8" s="3399"/>
      <c r="I8" s="3418" t="s">
        <v>2944</v>
      </c>
      <c r="J8" s="3399"/>
      <c r="K8" s="511" t="s">
        <v>529</v>
      </c>
      <c r="L8" s="2131"/>
      <c r="M8" s="2132"/>
      <c r="N8" s="2132"/>
      <c r="O8" s="2132"/>
      <c r="P8" s="3395"/>
      <c r="Q8" s="3396"/>
      <c r="R8" s="3379"/>
      <c r="S8" s="3380"/>
      <c r="T8" s="3381"/>
      <c r="U8" s="3382"/>
      <c r="V8" s="3397"/>
      <c r="W8" s="3397"/>
      <c r="X8" s="1564"/>
      <c r="Y8" s="3381"/>
      <c r="Z8" s="3382"/>
      <c r="AA8" s="3374"/>
      <c r="AB8" s="3374"/>
      <c r="AC8" s="3374"/>
    </row>
    <row r="9" spans="1:29" s="1216" customFormat="1" ht="15.75" thickBot="1">
      <c r="A9" s="2935"/>
      <c r="B9" s="2942" t="s">
        <v>530</v>
      </c>
      <c r="C9" s="516">
        <f>'数据-取费表'!B2</f>
        <v>43123</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375" t="s">
        <v>531</v>
      </c>
      <c r="Q9" s="3384"/>
      <c r="R9" s="1565" t="s">
        <v>8</v>
      </c>
      <c r="S9" s="1566">
        <f t="shared" ref="S9:S17" si="0">F9</f>
        <v>0</v>
      </c>
      <c r="T9" s="1565" t="s">
        <v>8</v>
      </c>
      <c r="U9" s="1566">
        <f t="shared" ref="U9:U17" si="1">H9</f>
        <v>0</v>
      </c>
      <c r="V9" s="1565" t="s">
        <v>8</v>
      </c>
      <c r="W9" s="1566">
        <f t="shared" ref="W9:W17" si="2">J9</f>
        <v>0</v>
      </c>
      <c r="X9" s="1567"/>
      <c r="Y9" s="3375" t="s">
        <v>531</v>
      </c>
      <c r="Z9" s="3376"/>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375" t="s">
        <v>534</v>
      </c>
      <c r="Q10" s="3376"/>
      <c r="R10" s="1565" t="s">
        <v>8</v>
      </c>
      <c r="S10" s="1566">
        <f t="shared" si="0"/>
        <v>0</v>
      </c>
      <c r="T10" s="1565" t="s">
        <v>8</v>
      </c>
      <c r="U10" s="1566">
        <f t="shared" si="1"/>
        <v>0</v>
      </c>
      <c r="V10" s="1565" t="s">
        <v>8</v>
      </c>
      <c r="W10" s="1566">
        <f t="shared" si="2"/>
        <v>0</v>
      </c>
      <c r="X10" s="1567"/>
      <c r="Y10" s="3375" t="s">
        <v>534</v>
      </c>
      <c r="Z10" s="3376"/>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83" t="s">
        <v>536</v>
      </c>
      <c r="Q11" s="1147" t="str">
        <f t="shared" ref="Q11:Q17" si="6">B11</f>
        <v>用途</v>
      </c>
      <c r="R11" s="1565" t="s">
        <v>8</v>
      </c>
      <c r="S11" s="1566">
        <f t="shared" si="0"/>
        <v>100</v>
      </c>
      <c r="T11" s="1565" t="s">
        <v>8</v>
      </c>
      <c r="U11" s="1566">
        <f t="shared" si="1"/>
        <v>100</v>
      </c>
      <c r="V11" s="1565" t="s">
        <v>8</v>
      </c>
      <c r="W11" s="1566">
        <f t="shared" si="2"/>
        <v>100</v>
      </c>
      <c r="X11" s="1567"/>
      <c r="Y11" s="3340"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83"/>
      <c r="Q12" s="1147" t="str">
        <f t="shared" si="6"/>
        <v>土地使用年限（年）</v>
      </c>
      <c r="R12" s="1565" t="s">
        <v>8</v>
      </c>
      <c r="S12" s="1566">
        <f t="shared" si="0"/>
        <v>100</v>
      </c>
      <c r="T12" s="1565" t="s">
        <v>8</v>
      </c>
      <c r="U12" s="1566">
        <f t="shared" si="1"/>
        <v>100</v>
      </c>
      <c r="V12" s="1565" t="s">
        <v>8</v>
      </c>
      <c r="W12" s="1566">
        <f t="shared" si="2"/>
        <v>100</v>
      </c>
      <c r="X12" s="1567"/>
      <c r="Y12" s="3340"/>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83"/>
      <c r="Q13" s="1147" t="str">
        <f t="shared" si="6"/>
        <v>容积率</v>
      </c>
      <c r="R13" s="1565" t="s">
        <v>8</v>
      </c>
      <c r="S13" s="1566" t="e">
        <f t="shared" si="0"/>
        <v>#N/A</v>
      </c>
      <c r="T13" s="1565" t="s">
        <v>8</v>
      </c>
      <c r="U13" s="1566" t="e">
        <f t="shared" si="1"/>
        <v>#N/A</v>
      </c>
      <c r="V13" s="1565" t="s">
        <v>8</v>
      </c>
      <c r="W13" s="1566" t="e">
        <f t="shared" si="2"/>
        <v>#N/A</v>
      </c>
      <c r="X13" s="1567"/>
      <c r="Y13" s="3340"/>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83"/>
      <c r="Q15" s="1147">
        <f t="shared" si="6"/>
        <v>111</v>
      </c>
      <c r="R15" s="1565" t="s">
        <v>8</v>
      </c>
      <c r="S15" s="1566">
        <f t="shared" si="0"/>
        <v>100</v>
      </c>
      <c r="T15" s="1565" t="s">
        <v>8</v>
      </c>
      <c r="U15" s="1566">
        <f t="shared" si="1"/>
        <v>100</v>
      </c>
      <c r="V15" s="1565" t="s">
        <v>8</v>
      </c>
      <c r="W15" s="1566">
        <f t="shared" si="2"/>
        <v>100</v>
      </c>
      <c r="X15" s="1567"/>
      <c r="Y15" s="3340"/>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83"/>
      <c r="Q16" s="1147">
        <f t="shared" si="6"/>
        <v>111</v>
      </c>
      <c r="R16" s="1565" t="s">
        <v>8</v>
      </c>
      <c r="S16" s="1566">
        <f t="shared" si="0"/>
        <v>100</v>
      </c>
      <c r="T16" s="1565" t="s">
        <v>8</v>
      </c>
      <c r="U16" s="1566">
        <f t="shared" si="1"/>
        <v>100</v>
      </c>
      <c r="V16" s="1565" t="s">
        <v>8</v>
      </c>
      <c r="W16" s="1566">
        <f t="shared" si="2"/>
        <v>100</v>
      </c>
      <c r="X16" s="1567"/>
      <c r="Y16" s="3340"/>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385" t="s">
        <v>541</v>
      </c>
      <c r="Q17" s="1569" t="str">
        <f t="shared" si="6"/>
        <v>产业集聚程度</v>
      </c>
      <c r="R17" s="1570" t="s">
        <v>8</v>
      </c>
      <c r="S17" s="1571">
        <f t="shared" si="0"/>
        <v>100</v>
      </c>
      <c r="T17" s="1570" t="s">
        <v>8</v>
      </c>
      <c r="U17" s="1571">
        <f t="shared" si="1"/>
        <v>100</v>
      </c>
      <c r="V17" s="1570" t="s">
        <v>8</v>
      </c>
      <c r="W17" s="1571">
        <f t="shared" si="2"/>
        <v>100</v>
      </c>
      <c r="X17" s="1564"/>
      <c r="Y17" s="3385"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386"/>
      <c r="Q18" s="1569"/>
      <c r="R18" s="1570"/>
      <c r="S18" s="1571"/>
      <c r="T18" s="1570"/>
      <c r="U18" s="1571"/>
      <c r="V18" s="1570"/>
      <c r="W18" s="1571"/>
      <c r="X18" s="1564"/>
      <c r="Y18" s="3386"/>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386"/>
      <c r="Q19" s="1569" t="str">
        <f>B19</f>
        <v>交通便捷度</v>
      </c>
      <c r="R19" s="1570" t="s">
        <v>8</v>
      </c>
      <c r="S19" s="1571">
        <f>F19</f>
        <v>100</v>
      </c>
      <c r="T19" s="1570" t="s">
        <v>8</v>
      </c>
      <c r="U19" s="1571">
        <f>H19</f>
        <v>100</v>
      </c>
      <c r="V19" s="1570" t="s">
        <v>8</v>
      </c>
      <c r="W19" s="1571">
        <f>J19</f>
        <v>100</v>
      </c>
      <c r="X19" s="1564"/>
      <c r="Y19" s="338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386"/>
      <c r="Q21" s="1569" t="str">
        <f t="shared" ref="Q21:Q35" si="8">B21</f>
        <v>区域土地利用方向</v>
      </c>
      <c r="R21" s="1570" t="s">
        <v>8</v>
      </c>
      <c r="S21" s="1571">
        <f>F21</f>
        <v>100</v>
      </c>
      <c r="T21" s="1570" t="s">
        <v>8</v>
      </c>
      <c r="U21" s="1571">
        <f>H21</f>
        <v>100</v>
      </c>
      <c r="V21" s="1570" t="s">
        <v>8</v>
      </c>
      <c r="W21" s="1571">
        <f>J21</f>
        <v>100</v>
      </c>
      <c r="X21" s="1564"/>
      <c r="Y21" s="338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386"/>
      <c r="Q22" s="1569"/>
      <c r="R22" s="1570"/>
      <c r="S22" s="1571"/>
      <c r="T22" s="1570"/>
      <c r="U22" s="1571"/>
      <c r="V22" s="1570"/>
      <c r="W22" s="1571"/>
      <c r="X22" s="1564"/>
      <c r="Y22" s="3386"/>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386"/>
      <c r="Q23" s="1569" t="str">
        <f t="shared" si="8"/>
        <v>环境状况</v>
      </c>
      <c r="R23" s="1570" t="s">
        <v>8</v>
      </c>
      <c r="S23" s="1571">
        <f>F23</f>
        <v>100</v>
      </c>
      <c r="T23" s="1570" t="s">
        <v>8</v>
      </c>
      <c r="U23" s="1571">
        <f>H23</f>
        <v>100</v>
      </c>
      <c r="V23" s="1570" t="s">
        <v>8</v>
      </c>
      <c r="W23" s="1571">
        <f>J23</f>
        <v>100</v>
      </c>
      <c r="X23" s="1564"/>
      <c r="Y23" s="338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386"/>
      <c r="Q24" s="1569"/>
      <c r="R24" s="1570"/>
      <c r="S24" s="1571"/>
      <c r="T24" s="1570"/>
      <c r="U24" s="1571"/>
      <c r="V24" s="1570"/>
      <c r="W24" s="1571"/>
      <c r="X24" s="1564"/>
      <c r="Y24" s="3386"/>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386"/>
      <c r="Q25" s="1147" t="str">
        <f t="shared" si="8"/>
        <v>公共配套设施</v>
      </c>
      <c r="R25" s="1565" t="s">
        <v>8</v>
      </c>
      <c r="S25" s="1566">
        <f>F25</f>
        <v>100</v>
      </c>
      <c r="T25" s="1565" t="s">
        <v>8</v>
      </c>
      <c r="U25" s="1566">
        <f>H25</f>
        <v>100</v>
      </c>
      <c r="V25" s="1565" t="s">
        <v>8</v>
      </c>
      <c r="W25" s="1566">
        <f>J25</f>
        <v>100</v>
      </c>
      <c r="X25" s="1567"/>
      <c r="Y25" s="338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386"/>
      <c r="Q26" s="1147"/>
      <c r="R26" s="1565"/>
      <c r="S26" s="1566"/>
      <c r="T26" s="1565"/>
      <c r="U26" s="1566"/>
      <c r="V26" s="1565"/>
      <c r="W26" s="1566"/>
      <c r="X26" s="1567"/>
      <c r="Y26" s="3386"/>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386"/>
      <c r="Q27" s="2600" t="str">
        <f t="shared" ref="Q27" si="9">B27</f>
        <v>基础设施水平</v>
      </c>
      <c r="R27" s="1565" t="s">
        <v>8</v>
      </c>
      <c r="S27" s="1566">
        <f>F27</f>
        <v>100</v>
      </c>
      <c r="T27" s="1565" t="s">
        <v>8</v>
      </c>
      <c r="U27" s="1566">
        <f>H27</f>
        <v>100</v>
      </c>
      <c r="V27" s="1565" t="s">
        <v>8</v>
      </c>
      <c r="W27" s="1566">
        <f>J27</f>
        <v>100</v>
      </c>
      <c r="X27" s="1567"/>
      <c r="Y27" s="338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386"/>
      <c r="Q28" s="2600"/>
      <c r="R28" s="1565"/>
      <c r="S28" s="1566"/>
      <c r="T28" s="1565"/>
      <c r="U28" s="1566"/>
      <c r="V28" s="1565"/>
      <c r="W28" s="1566"/>
      <c r="X28" s="1567"/>
      <c r="Y28" s="3386"/>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38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6"/>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386"/>
      <c r="Q30" s="1569" t="str">
        <f t="shared" si="8"/>
        <v>毗邻道路的类型与等级</v>
      </c>
      <c r="R30" s="1570" t="s">
        <v>8</v>
      </c>
      <c r="S30" s="1571">
        <f t="shared" si="10"/>
        <v>100</v>
      </c>
      <c r="T30" s="1570" t="s">
        <v>8</v>
      </c>
      <c r="U30" s="1571">
        <f t="shared" si="11"/>
        <v>100</v>
      </c>
      <c r="V30" s="1570" t="s">
        <v>8</v>
      </c>
      <c r="W30" s="1571">
        <f t="shared" si="12"/>
        <v>100</v>
      </c>
      <c r="X30" s="1564"/>
      <c r="Y30" s="338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386"/>
      <c r="Q31" s="1569"/>
      <c r="R31" s="1570"/>
      <c r="S31" s="1571"/>
      <c r="T31" s="1570"/>
      <c r="U31" s="1571"/>
      <c r="V31" s="1570"/>
      <c r="W31" s="1571"/>
      <c r="X31" s="1564"/>
      <c r="Y31" s="3386"/>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386"/>
      <c r="Q32" s="1569" t="str">
        <f t="shared" si="8"/>
        <v>土地级别</v>
      </c>
      <c r="R32" s="1570" t="s">
        <v>8</v>
      </c>
      <c r="S32" s="1571">
        <f t="shared" si="10"/>
        <v>100</v>
      </c>
      <c r="T32" s="1570" t="s">
        <v>8</v>
      </c>
      <c r="U32" s="1571">
        <f t="shared" si="11"/>
        <v>100</v>
      </c>
      <c r="V32" s="1570" t="s">
        <v>8</v>
      </c>
      <c r="W32" s="1571">
        <f t="shared" si="12"/>
        <v>100</v>
      </c>
      <c r="X32" s="1564"/>
      <c r="Y32" s="338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386"/>
      <c r="Q33" s="1569">
        <f t="shared" si="8"/>
        <v>111</v>
      </c>
      <c r="R33" s="1570" t="s">
        <v>8</v>
      </c>
      <c r="S33" s="1571">
        <f t="shared" si="10"/>
        <v>100</v>
      </c>
      <c r="T33" s="1570" t="s">
        <v>8</v>
      </c>
      <c r="U33" s="1571">
        <f t="shared" si="11"/>
        <v>100</v>
      </c>
      <c r="V33" s="1570" t="s">
        <v>8</v>
      </c>
      <c r="W33" s="1571">
        <f t="shared" si="12"/>
        <v>100</v>
      </c>
      <c r="X33" s="1564"/>
      <c r="Y33" s="338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387" t="s">
        <v>551</v>
      </c>
      <c r="Q34" s="1569">
        <f t="shared" si="8"/>
        <v>111</v>
      </c>
      <c r="R34" s="1570" t="s">
        <v>8</v>
      </c>
      <c r="S34" s="1571">
        <f t="shared" si="10"/>
        <v>100</v>
      </c>
      <c r="T34" s="1570" t="s">
        <v>8</v>
      </c>
      <c r="U34" s="1571">
        <f t="shared" si="11"/>
        <v>100</v>
      </c>
      <c r="V34" s="1570" t="s">
        <v>8</v>
      </c>
      <c r="W34" s="1571">
        <f t="shared" si="12"/>
        <v>100</v>
      </c>
      <c r="X34" s="1564"/>
      <c r="Y34" s="3388"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388"/>
      <c r="Q35" s="1569">
        <f t="shared" si="8"/>
        <v>111</v>
      </c>
      <c r="R35" s="1574" t="s">
        <v>8</v>
      </c>
      <c r="S35" s="1575">
        <f t="shared" si="10"/>
        <v>100</v>
      </c>
      <c r="T35" s="1574" t="s">
        <v>8</v>
      </c>
      <c r="U35" s="1575">
        <f t="shared" si="11"/>
        <v>100</v>
      </c>
      <c r="V35" s="1574" t="s">
        <v>8</v>
      </c>
      <c r="W35" s="1575">
        <f t="shared" si="12"/>
        <v>100</v>
      </c>
      <c r="X35" s="1576"/>
      <c r="Y35" s="3388"/>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388"/>
      <c r="Q36" s="1569" t="str">
        <f>B36</f>
        <v>宗地面积</v>
      </c>
      <c r="R36" s="1570" t="s">
        <v>8</v>
      </c>
      <c r="S36" s="1571" t="e">
        <f t="shared" si="10"/>
        <v>#N/A</v>
      </c>
      <c r="T36" s="1570" t="s">
        <v>8</v>
      </c>
      <c r="U36" s="1571" t="e">
        <f t="shared" si="11"/>
        <v>#N/A</v>
      </c>
      <c r="V36" s="1570" t="s">
        <v>8</v>
      </c>
      <c r="W36" s="1571" t="e">
        <f t="shared" si="12"/>
        <v>#N/A</v>
      </c>
      <c r="X36" s="1564"/>
      <c r="Y36" s="3388"/>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388"/>
      <c r="Q37" s="1569" t="str">
        <f t="shared" ref="Q37:Q42" si="14">B37</f>
        <v>宗地形状</v>
      </c>
      <c r="R37" s="1570" t="s">
        <v>8</v>
      </c>
      <c r="S37" s="1571">
        <f t="shared" si="10"/>
        <v>100</v>
      </c>
      <c r="T37" s="1570" t="s">
        <v>8</v>
      </c>
      <c r="U37" s="1571">
        <f t="shared" si="11"/>
        <v>100</v>
      </c>
      <c r="V37" s="1570" t="s">
        <v>8</v>
      </c>
      <c r="W37" s="1571">
        <f t="shared" si="12"/>
        <v>100</v>
      </c>
      <c r="X37" s="1564"/>
      <c r="Y37" s="3388"/>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388"/>
      <c r="Q38" s="1569" t="str">
        <f t="shared" si="14"/>
        <v>宗地开发程度</v>
      </c>
      <c r="R38" s="1565" t="s">
        <v>8</v>
      </c>
      <c r="S38" s="1566">
        <f t="shared" si="10"/>
        <v>100</v>
      </c>
      <c r="T38" s="1565" t="s">
        <v>8</v>
      </c>
      <c r="U38" s="1566">
        <f t="shared" si="11"/>
        <v>100</v>
      </c>
      <c r="V38" s="1565" t="s">
        <v>8</v>
      </c>
      <c r="W38" s="1566">
        <f t="shared" si="12"/>
        <v>100</v>
      </c>
      <c r="X38" s="1567"/>
      <c r="Y38" s="3388"/>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8" t="s">
        <v>602</v>
      </c>
      <c r="Q39" s="1569" t="str">
        <f t="shared" si="14"/>
        <v>工程地质条件</v>
      </c>
      <c r="R39" s="1570" t="s">
        <v>8</v>
      </c>
      <c r="S39" s="1571">
        <f t="shared" si="10"/>
        <v>100</v>
      </c>
      <c r="T39" s="1570" t="s">
        <v>8</v>
      </c>
      <c r="U39" s="1571">
        <f t="shared" si="11"/>
        <v>100</v>
      </c>
      <c r="V39" s="1570" t="s">
        <v>8</v>
      </c>
      <c r="W39" s="1571">
        <f t="shared" si="12"/>
        <v>100</v>
      </c>
      <c r="X39" s="1564"/>
      <c r="Y39" s="3388"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388"/>
      <c r="Q40" s="1569">
        <f t="shared" si="14"/>
        <v>111</v>
      </c>
      <c r="R40" s="1570" t="s">
        <v>8</v>
      </c>
      <c r="S40" s="1571">
        <f t="shared" si="10"/>
        <v>100</v>
      </c>
      <c r="T40" s="1570" t="s">
        <v>8</v>
      </c>
      <c r="U40" s="1571">
        <f t="shared" si="11"/>
        <v>100</v>
      </c>
      <c r="V40" s="1570" t="s">
        <v>8</v>
      </c>
      <c r="W40" s="1571">
        <f t="shared" si="12"/>
        <v>100</v>
      </c>
      <c r="X40" s="1564"/>
      <c r="Y40" s="338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388"/>
      <c r="Q41" s="1569">
        <f t="shared" si="14"/>
        <v>111</v>
      </c>
      <c r="R41" s="1570" t="s">
        <v>8</v>
      </c>
      <c r="S41" s="1571">
        <f t="shared" si="10"/>
        <v>100</v>
      </c>
      <c r="T41" s="1570" t="s">
        <v>8</v>
      </c>
      <c r="U41" s="1571">
        <f t="shared" si="11"/>
        <v>100</v>
      </c>
      <c r="V41" s="1570" t="s">
        <v>8</v>
      </c>
      <c r="W41" s="1571">
        <f t="shared" si="12"/>
        <v>100</v>
      </c>
      <c r="X41" s="1564"/>
      <c r="Y41" s="338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388"/>
      <c r="Q42" s="1569">
        <f t="shared" si="14"/>
        <v>111</v>
      </c>
      <c r="R42" s="1574" t="s">
        <v>8</v>
      </c>
      <c r="S42" s="1575">
        <f t="shared" si="10"/>
        <v>100</v>
      </c>
      <c r="T42" s="1574" t="s">
        <v>8</v>
      </c>
      <c r="U42" s="1575">
        <f t="shared" si="11"/>
        <v>100</v>
      </c>
      <c r="V42" s="1574" t="s">
        <v>8</v>
      </c>
      <c r="W42" s="1575">
        <f t="shared" si="12"/>
        <v>100</v>
      </c>
      <c r="X42" s="1576"/>
      <c r="Y42" s="3388"/>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83" t="str">
        <f>A43</f>
        <v>成交单价</v>
      </c>
      <c r="Q43" s="3383"/>
      <c r="R43" s="3397">
        <f>E43</f>
        <v>0</v>
      </c>
      <c r="S43" s="3397"/>
      <c r="T43" s="3397">
        <f>G43</f>
        <v>0</v>
      </c>
      <c r="U43" s="3397"/>
      <c r="V43" s="3397">
        <f>I43</f>
        <v>0</v>
      </c>
      <c r="W43" s="3397"/>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83" t="str">
        <f>A44</f>
        <v>比较价格（元/平方米）</v>
      </c>
      <c r="Q44" s="3383"/>
      <c r="R44" s="3408" t="e">
        <f>ROUND(PRODUCT(R43,AA9:AA42),0)</f>
        <v>#DIV/0!</v>
      </c>
      <c r="S44" s="3408"/>
      <c r="T44" s="3408" t="e">
        <f>ROUND(PRODUCT(T43,AB9:AB42),0)</f>
        <v>#DIV/0!</v>
      </c>
      <c r="U44" s="3408"/>
      <c r="V44" s="3408" t="e">
        <f>ROUND(PRODUCT(V43,AC9:AC42),0)</f>
        <v>#DIV/0!</v>
      </c>
      <c r="W44" s="3408"/>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405" t="str">
        <f>A45</f>
        <v>估价对象XX用房的比较价格（楼面单价，元/平方米）</v>
      </c>
      <c r="Q45" s="3406"/>
      <c r="R45" s="3407" t="e">
        <f>ROUND(AVERAGE(R44:V44),0)</f>
        <v>#DIV/0!</v>
      </c>
      <c r="S45" s="3407"/>
      <c r="T45" s="3407"/>
      <c r="U45" s="3407"/>
      <c r="V45" s="3407"/>
      <c r="W45" s="3407"/>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09" t="s">
        <v>2288</v>
      </c>
      <c r="H52" s="3410"/>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1"/>
      <c r="H53" s="3412"/>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13"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13"/>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13"/>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13"/>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22"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23"/>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32" t="s">
        <v>2792</v>
      </c>
      <c r="X8" s="3433"/>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23"/>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31"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3"/>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3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3"/>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31"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22"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31"/>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4"/>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3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24"/>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25"/>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22"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23"/>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43123</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28"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29"/>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29"/>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0"/>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26" t="s">
        <v>1635</v>
      </c>
      <c r="B90" s="3426"/>
      <c r="C90" s="3426"/>
      <c r="D90" s="3426"/>
      <c r="E90" s="3426"/>
      <c r="F90" s="3426"/>
      <c r="G90" s="3426"/>
      <c r="H90" s="3426"/>
      <c r="I90" s="3426"/>
      <c r="J90" s="3426"/>
      <c r="K90" s="2472"/>
      <c r="L90" s="2472"/>
      <c r="M90" s="2472"/>
      <c r="N90" s="2472"/>
    </row>
    <row r="91" spans="1:40">
      <c r="A91" s="3427" t="s">
        <v>1445</v>
      </c>
      <c r="B91" s="3427" t="s">
        <v>1636</v>
      </c>
      <c r="C91" s="1136" t="s">
        <v>1637</v>
      </c>
      <c r="D91" s="1137"/>
      <c r="E91" s="1137"/>
      <c r="F91" s="1137"/>
      <c r="G91" s="1137"/>
      <c r="H91" s="1137"/>
      <c r="I91" s="1137"/>
      <c r="J91" s="1138"/>
      <c r="K91" s="1130"/>
      <c r="L91" s="1130"/>
      <c r="M91" s="1130"/>
      <c r="N91" s="1130"/>
    </row>
    <row r="92" spans="1:40">
      <c r="A92" s="3427"/>
      <c r="B92" s="3427"/>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34"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3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3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3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3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3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3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35"/>
      <c r="B108" s="343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1" t="s">
        <v>1641</v>
      </c>
      <c r="B110" s="3421"/>
      <c r="C110" s="3421"/>
      <c r="D110" s="3421"/>
      <c r="E110" s="3421"/>
      <c r="F110" s="3421"/>
      <c r="G110" s="3421"/>
      <c r="H110" s="3421"/>
      <c r="I110" s="3421"/>
      <c r="J110" s="3421"/>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27" t="s">
        <v>1009</v>
      </c>
      <c r="B18" s="1150" t="s">
        <v>1448</v>
      </c>
      <c r="C18" s="1127" t="s">
        <v>1449</v>
      </c>
      <c r="D18" s="1128"/>
      <c r="E18" s="1150">
        <v>1</v>
      </c>
      <c r="F18" s="1129" t="s">
        <v>1450</v>
      </c>
      <c r="G18" s="1130"/>
      <c r="H18" s="1101"/>
      <c r="I18" s="1101"/>
    </row>
    <row r="19" spans="1:9" s="1596" customFormat="1" ht="19.5" customHeight="1">
      <c r="A19" s="3427"/>
      <c r="B19" s="3427" t="s">
        <v>1451</v>
      </c>
      <c r="C19" s="1127" t="s">
        <v>1452</v>
      </c>
      <c r="D19" s="1128"/>
      <c r="E19" s="1150">
        <v>0.9</v>
      </c>
      <c r="F19" s="1129" t="s">
        <v>1453</v>
      </c>
      <c r="G19" s="1130"/>
      <c r="H19" s="1101"/>
      <c r="I19" s="1101"/>
    </row>
    <row r="20" spans="1:9" s="1596" customFormat="1" ht="19.5" customHeight="1">
      <c r="A20" s="3427"/>
      <c r="B20" s="3427"/>
      <c r="C20" s="1127" t="s">
        <v>1454</v>
      </c>
      <c r="D20" s="1128"/>
      <c r="E20" s="1150">
        <v>1.1000000000000001</v>
      </c>
      <c r="F20" s="1129" t="s">
        <v>1455</v>
      </c>
      <c r="G20" s="1130"/>
      <c r="H20" s="1101"/>
      <c r="I20" s="1101"/>
    </row>
    <row r="21" spans="1:9" s="1596" customFormat="1" ht="19.5" customHeight="1">
      <c r="A21" s="3427"/>
      <c r="B21" s="3427"/>
      <c r="C21" s="1127" t="s">
        <v>1456</v>
      </c>
      <c r="D21" s="1128"/>
      <c r="E21" s="1150">
        <v>0.8</v>
      </c>
      <c r="F21" s="1129" t="s">
        <v>1457</v>
      </c>
      <c r="G21" s="1130"/>
      <c r="H21" s="1101"/>
      <c r="I21" s="1101"/>
    </row>
    <row r="22" spans="1:9" s="1596" customFormat="1" ht="19.5" customHeight="1">
      <c r="A22" s="3427"/>
      <c r="B22" s="3427"/>
      <c r="C22" s="1127" t="s">
        <v>1458</v>
      </c>
      <c r="D22" s="1128"/>
      <c r="E22" s="1150">
        <v>0.5</v>
      </c>
      <c r="F22" s="1129"/>
      <c r="G22" s="1130"/>
      <c r="H22" s="1101"/>
      <c r="I22" s="1101"/>
    </row>
    <row r="23" spans="1:9" s="1596" customFormat="1" ht="19.5" customHeight="1">
      <c r="A23" s="3427" t="s">
        <v>1031</v>
      </c>
      <c r="B23" s="1150" t="s">
        <v>1448</v>
      </c>
      <c r="C23" s="1127" t="s">
        <v>1459</v>
      </c>
      <c r="D23" s="1128"/>
      <c r="E23" s="1150">
        <v>1</v>
      </c>
      <c r="F23" s="1129" t="s">
        <v>1460</v>
      </c>
      <c r="G23" s="1130"/>
      <c r="H23" s="1101"/>
      <c r="I23" s="1101"/>
    </row>
    <row r="24" spans="1:9" s="1596" customFormat="1" ht="19.5" customHeight="1">
      <c r="A24" s="3427"/>
      <c r="B24" s="3427" t="s">
        <v>1451</v>
      </c>
      <c r="C24" s="1127" t="s">
        <v>1461</v>
      </c>
      <c r="D24" s="1128"/>
      <c r="E24" s="1150">
        <v>0.5</v>
      </c>
      <c r="F24" s="1129"/>
      <c r="G24" s="1130"/>
      <c r="H24" s="1101"/>
      <c r="I24" s="1101"/>
    </row>
    <row r="25" spans="1:9" s="1596" customFormat="1" ht="19.5" customHeight="1">
      <c r="A25" s="3427"/>
      <c r="B25" s="3427"/>
      <c r="C25" s="1127" t="s">
        <v>1462</v>
      </c>
      <c r="D25" s="1128"/>
      <c r="E25" s="1150">
        <v>1.1000000000000001</v>
      </c>
      <c r="F25" s="1129"/>
      <c r="G25" s="1130"/>
      <c r="H25" s="1101"/>
      <c r="I25" s="1101"/>
    </row>
    <row r="26" spans="1:9" s="1596" customFormat="1" ht="19.5" customHeight="1">
      <c r="A26" s="3427"/>
      <c r="B26" s="3427"/>
      <c r="C26" s="1127" t="s">
        <v>1463</v>
      </c>
      <c r="D26" s="1128"/>
      <c r="E26" s="1150">
        <v>1.1000000000000001</v>
      </c>
      <c r="F26" s="1129"/>
      <c r="G26" s="1130"/>
      <c r="H26" s="1101"/>
      <c r="I26" s="1101"/>
    </row>
    <row r="27" spans="1:9" s="1596" customFormat="1" ht="19.5" customHeight="1">
      <c r="A27" s="3427"/>
      <c r="B27" s="3427"/>
      <c r="C27" s="1127" t="s">
        <v>1464</v>
      </c>
      <c r="D27" s="1128"/>
      <c r="E27" s="1150">
        <v>0.9</v>
      </c>
      <c r="F27" s="1129" t="s">
        <v>1465</v>
      </c>
      <c r="G27" s="1130"/>
      <c r="H27" s="1101"/>
      <c r="I27" s="1101"/>
    </row>
    <row r="28" spans="1:9" s="1596" customFormat="1" ht="19.5" customHeight="1">
      <c r="A28" s="3427"/>
      <c r="B28" s="3427"/>
      <c r="C28" s="1127" t="s">
        <v>1466</v>
      </c>
      <c r="D28" s="1128"/>
      <c r="E28" s="1150">
        <v>0.9</v>
      </c>
      <c r="F28" s="1129" t="s">
        <v>1467</v>
      </c>
      <c r="G28" s="1130"/>
      <c r="H28" s="1101"/>
      <c r="I28" s="1101"/>
    </row>
    <row r="29" spans="1:9" s="1596" customFormat="1" ht="19.5" customHeight="1">
      <c r="A29" s="3427"/>
      <c r="B29" s="3427"/>
      <c r="C29" s="1127" t="s">
        <v>1468</v>
      </c>
      <c r="D29" s="1128"/>
      <c r="E29" s="1150">
        <v>0.9</v>
      </c>
      <c r="F29" s="1129" t="s">
        <v>1469</v>
      </c>
      <c r="G29" s="1130"/>
      <c r="H29" s="1101"/>
      <c r="I29" s="1101"/>
    </row>
    <row r="30" spans="1:9" s="1596" customFormat="1" ht="19.5" customHeight="1">
      <c r="A30" s="3427"/>
      <c r="B30" s="3427"/>
      <c r="C30" s="1127" t="s">
        <v>1470</v>
      </c>
      <c r="D30" s="1128"/>
      <c r="E30" s="1150">
        <v>0.9</v>
      </c>
      <c r="F30" s="1129" t="s">
        <v>1471</v>
      </c>
      <c r="G30" s="1130"/>
      <c r="H30" s="1101"/>
      <c r="I30" s="1101"/>
    </row>
    <row r="31" spans="1:9" s="1596" customFormat="1" ht="19.5" customHeight="1">
      <c r="A31" s="3427"/>
      <c r="B31" s="3427"/>
      <c r="C31" s="1127" t="s">
        <v>1472</v>
      </c>
      <c r="D31" s="1128"/>
      <c r="E31" s="1150">
        <v>0.8</v>
      </c>
      <c r="F31" s="1129" t="s">
        <v>1473</v>
      </c>
      <c r="G31" s="1130"/>
      <c r="H31" s="1101"/>
      <c r="I31" s="1101"/>
    </row>
    <row r="32" spans="1:9" s="1596" customFormat="1" ht="19.5" customHeight="1">
      <c r="A32" s="3427"/>
      <c r="B32" s="3427"/>
      <c r="C32" s="1127" t="s">
        <v>1474</v>
      </c>
      <c r="D32" s="1128"/>
      <c r="E32" s="1150">
        <v>0.8</v>
      </c>
      <c r="F32" s="1129" t="s">
        <v>1475</v>
      </c>
      <c r="G32" s="1130"/>
      <c r="H32" s="1101"/>
      <c r="I32" s="1101"/>
    </row>
    <row r="33" spans="1:9" s="1596" customFormat="1" ht="19.5" customHeight="1">
      <c r="A33" s="3427" t="s">
        <v>1476</v>
      </c>
      <c r="B33" s="1150" t="s">
        <v>1448</v>
      </c>
      <c r="C33" s="1127" t="s">
        <v>1477</v>
      </c>
      <c r="D33" s="1128"/>
      <c r="E33" s="1150">
        <v>1</v>
      </c>
      <c r="F33" s="1129" t="s">
        <v>1478</v>
      </c>
      <c r="G33" s="1130"/>
      <c r="H33" s="1101"/>
      <c r="I33" s="1101"/>
    </row>
    <row r="34" spans="1:9" s="1596" customFormat="1" ht="19.5" customHeight="1">
      <c r="A34" s="3427"/>
      <c r="B34" s="1150" t="s">
        <v>1451</v>
      </c>
      <c r="C34" s="1127" t="s">
        <v>1479</v>
      </c>
      <c r="D34" s="1128"/>
      <c r="E34" s="1150">
        <v>1.5</v>
      </c>
      <c r="F34" s="1129" t="s">
        <v>1480</v>
      </c>
      <c r="G34" s="1130"/>
      <c r="H34" s="1101"/>
      <c r="I34" s="1101"/>
    </row>
    <row r="35" spans="1:9" s="1596" customFormat="1" ht="19.5" customHeight="1">
      <c r="A35" s="3427" t="s">
        <v>1434</v>
      </c>
      <c r="B35" s="1150" t="s">
        <v>1448</v>
      </c>
      <c r="C35" s="1127" t="s">
        <v>1481</v>
      </c>
      <c r="D35" s="1128"/>
      <c r="E35" s="1150">
        <v>1</v>
      </c>
      <c r="F35" s="1129" t="s">
        <v>1482</v>
      </c>
      <c r="G35" s="1130"/>
      <c r="H35" s="1101"/>
      <c r="I35" s="1101"/>
    </row>
    <row r="36" spans="1:9" s="1596" customFormat="1" ht="19.5" customHeight="1">
      <c r="A36" s="3427"/>
      <c r="B36" s="3427" t="s">
        <v>1451</v>
      </c>
      <c r="C36" s="1127" t="s">
        <v>1483</v>
      </c>
      <c r="D36" s="1128"/>
      <c r="E36" s="1150">
        <v>1</v>
      </c>
      <c r="F36" s="1129" t="s">
        <v>1484</v>
      </c>
      <c r="G36" s="1130"/>
      <c r="H36" s="1101"/>
      <c r="I36" s="1101"/>
    </row>
    <row r="37" spans="1:9" s="1596" customFormat="1" ht="19.5" customHeight="1">
      <c r="A37" s="3427"/>
      <c r="B37" s="3427"/>
      <c r="C37" s="1127" t="s">
        <v>1485</v>
      </c>
      <c r="D37" s="1128"/>
      <c r="E37" s="1150">
        <v>1.5</v>
      </c>
      <c r="F37" s="1129" t="s">
        <v>1486</v>
      </c>
      <c r="G37" s="1130"/>
      <c r="H37" s="1101"/>
      <c r="I37" s="1101"/>
    </row>
    <row r="38" spans="1:9" s="1596" customFormat="1" ht="19.5" customHeight="1">
      <c r="A38" s="3427"/>
      <c r="B38" s="3427"/>
      <c r="C38" s="1127" t="s">
        <v>1487</v>
      </c>
      <c r="D38" s="1128"/>
      <c r="E38" s="1150">
        <v>1</v>
      </c>
      <c r="F38" s="1129" t="s">
        <v>1488</v>
      </c>
      <c r="G38" s="1130"/>
      <c r="H38" s="1101"/>
      <c r="I38" s="1101"/>
    </row>
    <row r="39" spans="1:9" s="1596" customFormat="1" ht="19.5" customHeight="1">
      <c r="A39" s="3427"/>
      <c r="B39" s="3427"/>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27" t="s">
        <v>1503</v>
      </c>
      <c r="C61" s="1064" t="s">
        <v>1504</v>
      </c>
      <c r="D61" s="1064" t="s">
        <v>1505</v>
      </c>
      <c r="E61" s="1135">
        <v>0.5</v>
      </c>
      <c r="F61" s="1150">
        <v>80</v>
      </c>
      <c r="H61" s="1101">
        <f>SUMIF(C59:C119,基准地价!C8,E59:E119)</f>
        <v>0</v>
      </c>
    </row>
    <row r="62" spans="1:8" s="1101" customFormat="1" ht="24">
      <c r="A62" s="1150">
        <v>2</v>
      </c>
      <c r="B62" s="3427"/>
      <c r="C62" s="1064" t="s">
        <v>1506</v>
      </c>
      <c r="D62" s="1064" t="s">
        <v>1507</v>
      </c>
      <c r="E62" s="1135">
        <v>0.5</v>
      </c>
      <c r="F62" s="1150">
        <v>80</v>
      </c>
    </row>
    <row r="63" spans="1:8" s="1101" customFormat="1" ht="36">
      <c r="A63" s="1150">
        <v>3</v>
      </c>
      <c r="B63" s="3427"/>
      <c r="C63" s="1064" t="s">
        <v>1508</v>
      </c>
      <c r="D63" s="1064" t="s">
        <v>1509</v>
      </c>
      <c r="E63" s="1135">
        <v>0.5</v>
      </c>
      <c r="F63" s="1150">
        <v>80</v>
      </c>
    </row>
    <row r="64" spans="1:8" s="1101" customFormat="1" ht="36">
      <c r="A64" s="1150">
        <v>4</v>
      </c>
      <c r="B64" s="3427"/>
      <c r="C64" s="1064" t="s">
        <v>1510</v>
      </c>
      <c r="D64" s="1064" t="s">
        <v>1511</v>
      </c>
      <c r="E64" s="1135">
        <v>0.4</v>
      </c>
      <c r="F64" s="1150">
        <v>60</v>
      </c>
    </row>
    <row r="65" spans="1:6" s="1101" customFormat="1" ht="36">
      <c r="A65" s="1150">
        <v>5</v>
      </c>
      <c r="B65" s="3427"/>
      <c r="C65" s="1064" t="s">
        <v>1512</v>
      </c>
      <c r="D65" s="1064" t="s">
        <v>1513</v>
      </c>
      <c r="E65" s="1135">
        <v>0.2</v>
      </c>
      <c r="F65" s="1150">
        <v>30</v>
      </c>
    </row>
    <row r="66" spans="1:6" s="1101" customFormat="1" ht="36">
      <c r="A66" s="1150">
        <v>6</v>
      </c>
      <c r="B66" s="3427"/>
      <c r="C66" s="1064" t="s">
        <v>1514</v>
      </c>
      <c r="D66" s="1064" t="s">
        <v>1515</v>
      </c>
      <c r="E66" s="1135">
        <v>0.3</v>
      </c>
      <c r="F66" s="1150">
        <v>50</v>
      </c>
    </row>
    <row r="67" spans="1:6" s="1101" customFormat="1" ht="36">
      <c r="A67" s="1150">
        <v>7</v>
      </c>
      <c r="B67" s="3427"/>
      <c r="C67" s="1064" t="s">
        <v>1516</v>
      </c>
      <c r="D67" s="1064" t="s">
        <v>1517</v>
      </c>
      <c r="E67" s="1135">
        <v>0.2</v>
      </c>
      <c r="F67" s="1150">
        <v>30</v>
      </c>
    </row>
    <row r="68" spans="1:6" s="1101" customFormat="1" ht="36">
      <c r="A68" s="1150">
        <v>8</v>
      </c>
      <c r="B68" s="3427"/>
      <c r="C68" s="1064" t="s">
        <v>1518</v>
      </c>
      <c r="D68" s="1064" t="s">
        <v>1519</v>
      </c>
      <c r="E68" s="1135">
        <v>0.2</v>
      </c>
      <c r="F68" s="1150">
        <v>30</v>
      </c>
    </row>
    <row r="69" spans="1:6" s="1101" customFormat="1" ht="36">
      <c r="A69" s="1150">
        <v>9</v>
      </c>
      <c r="B69" s="3427"/>
      <c r="C69" s="1064" t="s">
        <v>1520</v>
      </c>
      <c r="D69" s="1064" t="s">
        <v>1521</v>
      </c>
      <c r="E69" s="1135">
        <v>0.2</v>
      </c>
      <c r="F69" s="1150">
        <v>30</v>
      </c>
    </row>
    <row r="70" spans="1:6" s="1101" customFormat="1" ht="48">
      <c r="A70" s="1150">
        <v>10</v>
      </c>
      <c r="B70" s="3427"/>
      <c r="C70" s="1064" t="s">
        <v>1522</v>
      </c>
      <c r="D70" s="1064" t="s">
        <v>1523</v>
      </c>
      <c r="E70" s="1135">
        <v>0.2</v>
      </c>
      <c r="F70" s="1150">
        <v>30</v>
      </c>
    </row>
    <row r="71" spans="1:6" s="1101" customFormat="1" ht="48">
      <c r="A71" s="1150">
        <v>11</v>
      </c>
      <c r="B71" s="3427"/>
      <c r="C71" s="1064" t="s">
        <v>1524</v>
      </c>
      <c r="D71" s="1064" t="s">
        <v>1525</v>
      </c>
      <c r="E71" s="1135">
        <v>0.2</v>
      </c>
      <c r="F71" s="1150">
        <v>30</v>
      </c>
    </row>
    <row r="72" spans="1:6" s="1101" customFormat="1" ht="36">
      <c r="A72" s="1150">
        <v>12</v>
      </c>
      <c r="B72" s="3427"/>
      <c r="C72" s="1064" t="s">
        <v>1526</v>
      </c>
      <c r="D72" s="1064" t="s">
        <v>1527</v>
      </c>
      <c r="E72" s="1135">
        <v>0.5</v>
      </c>
      <c r="F72" s="1150">
        <v>80</v>
      </c>
    </row>
    <row r="73" spans="1:6" s="1101" customFormat="1" ht="24">
      <c r="A73" s="1150">
        <v>13</v>
      </c>
      <c r="B73" s="3427"/>
      <c r="C73" s="1064" t="s">
        <v>1528</v>
      </c>
      <c r="D73" s="1064" t="s">
        <v>1529</v>
      </c>
      <c r="E73" s="1135">
        <v>0.4</v>
      </c>
      <c r="F73" s="1150">
        <v>60</v>
      </c>
    </row>
    <row r="74" spans="1:6" s="1101" customFormat="1" ht="24">
      <c r="A74" s="1150">
        <v>14</v>
      </c>
      <c r="B74" s="3427"/>
      <c r="C74" s="1064" t="s">
        <v>1530</v>
      </c>
      <c r="D74" s="1064" t="s">
        <v>1531</v>
      </c>
      <c r="E74" s="1135">
        <v>0.2</v>
      </c>
      <c r="F74" s="1150">
        <v>30</v>
      </c>
    </row>
    <row r="75" spans="1:6" s="1101" customFormat="1" ht="24">
      <c r="A75" s="1150">
        <v>15</v>
      </c>
      <c r="B75" s="3427"/>
      <c r="C75" s="1064" t="s">
        <v>1532</v>
      </c>
      <c r="D75" s="1064" t="s">
        <v>1533</v>
      </c>
      <c r="E75" s="1135">
        <v>0.2</v>
      </c>
      <c r="F75" s="1150">
        <v>30</v>
      </c>
    </row>
    <row r="76" spans="1:6" s="1101" customFormat="1" ht="24">
      <c r="A76" s="1150">
        <v>16</v>
      </c>
      <c r="B76" s="3427" t="s">
        <v>1534</v>
      </c>
      <c r="C76" s="1064" t="s">
        <v>1535</v>
      </c>
      <c r="D76" s="1064" t="s">
        <v>1536</v>
      </c>
      <c r="E76" s="1135">
        <v>0.5</v>
      </c>
      <c r="F76" s="1150">
        <v>80</v>
      </c>
    </row>
    <row r="77" spans="1:6" s="1101" customFormat="1" ht="24">
      <c r="A77" s="1150">
        <v>17</v>
      </c>
      <c r="B77" s="3427"/>
      <c r="C77" s="1064" t="s">
        <v>1537</v>
      </c>
      <c r="D77" s="1064" t="s">
        <v>1538</v>
      </c>
      <c r="E77" s="1135">
        <v>0.5</v>
      </c>
      <c r="F77" s="1150">
        <v>80</v>
      </c>
    </row>
    <row r="78" spans="1:6" s="1101" customFormat="1" ht="24">
      <c r="A78" s="1150">
        <v>18</v>
      </c>
      <c r="B78" s="3427"/>
      <c r="C78" s="1064" t="s">
        <v>1539</v>
      </c>
      <c r="D78" s="1064" t="s">
        <v>1540</v>
      </c>
      <c r="E78" s="1135">
        <v>0.2</v>
      </c>
      <c r="F78" s="1150">
        <v>30</v>
      </c>
    </row>
    <row r="79" spans="1:6" s="1101" customFormat="1" ht="24">
      <c r="A79" s="1150">
        <v>19</v>
      </c>
      <c r="B79" s="3427"/>
      <c r="C79" s="1064" t="s">
        <v>1541</v>
      </c>
      <c r="D79" s="1064" t="s">
        <v>1542</v>
      </c>
      <c r="E79" s="1135">
        <v>0.5</v>
      </c>
      <c r="F79" s="1150">
        <v>80</v>
      </c>
    </row>
    <row r="80" spans="1:6" s="1101" customFormat="1" ht="36">
      <c r="A80" s="1150">
        <v>20</v>
      </c>
      <c r="B80" s="3427"/>
      <c r="C80" s="1064" t="s">
        <v>1543</v>
      </c>
      <c r="D80" s="1064" t="s">
        <v>1544</v>
      </c>
      <c r="E80" s="1135">
        <v>0.2</v>
      </c>
      <c r="F80" s="1150">
        <v>30</v>
      </c>
    </row>
    <row r="81" spans="1:6" s="1101" customFormat="1" ht="36">
      <c r="A81" s="1150">
        <v>21</v>
      </c>
      <c r="B81" s="3427"/>
      <c r="C81" s="1064" t="s">
        <v>1545</v>
      </c>
      <c r="D81" s="1064" t="s">
        <v>1546</v>
      </c>
      <c r="E81" s="1135">
        <v>0.2</v>
      </c>
      <c r="F81" s="1150">
        <v>30</v>
      </c>
    </row>
    <row r="82" spans="1:6" s="1101" customFormat="1" ht="48">
      <c r="A82" s="1150">
        <v>22</v>
      </c>
      <c r="B82" s="3427"/>
      <c r="C82" s="1064" t="s">
        <v>1547</v>
      </c>
      <c r="D82" s="1064" t="s">
        <v>1548</v>
      </c>
      <c r="E82" s="1135">
        <v>0.2</v>
      </c>
      <c r="F82" s="1150">
        <v>30</v>
      </c>
    </row>
    <row r="83" spans="1:6" s="1101" customFormat="1" ht="48">
      <c r="A83" s="1150">
        <v>23</v>
      </c>
      <c r="B83" s="3427"/>
      <c r="C83" s="1064" t="s">
        <v>1549</v>
      </c>
      <c r="D83" s="1064" t="s">
        <v>1550</v>
      </c>
      <c r="E83" s="1135">
        <v>0.2</v>
      </c>
      <c r="F83" s="1150">
        <v>30</v>
      </c>
    </row>
    <row r="84" spans="1:6" s="1101" customFormat="1" ht="36">
      <c r="A84" s="1150">
        <v>24</v>
      </c>
      <c r="B84" s="3427"/>
      <c r="C84" s="1064" t="s">
        <v>1551</v>
      </c>
      <c r="D84" s="1064" t="s">
        <v>1552</v>
      </c>
      <c r="E84" s="1135">
        <v>0.2</v>
      </c>
      <c r="F84" s="1150">
        <v>30</v>
      </c>
    </row>
    <row r="85" spans="1:6" s="1101" customFormat="1" ht="36">
      <c r="A85" s="1150">
        <v>25</v>
      </c>
      <c r="B85" s="3427"/>
      <c r="C85" s="1064" t="s">
        <v>1553</v>
      </c>
      <c r="D85" s="1064" t="s">
        <v>1554</v>
      </c>
      <c r="E85" s="1135">
        <v>0.5</v>
      </c>
      <c r="F85" s="1150">
        <v>80</v>
      </c>
    </row>
    <row r="86" spans="1:6" s="1101" customFormat="1" ht="36">
      <c r="A86" s="1150">
        <v>26</v>
      </c>
      <c r="B86" s="3427"/>
      <c r="C86" s="1064" t="s">
        <v>1555</v>
      </c>
      <c r="D86" s="1064" t="s">
        <v>1556</v>
      </c>
      <c r="E86" s="1135">
        <v>0.2</v>
      </c>
      <c r="F86" s="1150">
        <v>30</v>
      </c>
    </row>
    <row r="87" spans="1:6" s="1101" customFormat="1" ht="36">
      <c r="A87" s="1150">
        <v>27</v>
      </c>
      <c r="B87" s="3427"/>
      <c r="C87" s="1064" t="s">
        <v>1557</v>
      </c>
      <c r="D87" s="1064" t="s">
        <v>1558</v>
      </c>
      <c r="E87" s="1135">
        <v>0.2</v>
      </c>
      <c r="F87" s="1150">
        <v>30</v>
      </c>
    </row>
    <row r="88" spans="1:6" s="1101" customFormat="1" ht="36">
      <c r="A88" s="1150">
        <v>28</v>
      </c>
      <c r="B88" s="3427"/>
      <c r="C88" s="1064" t="s">
        <v>1559</v>
      </c>
      <c r="D88" s="1064" t="s">
        <v>1560</v>
      </c>
      <c r="E88" s="1135">
        <v>0.2</v>
      </c>
      <c r="F88" s="1150">
        <v>30</v>
      </c>
    </row>
    <row r="89" spans="1:6" s="1101" customFormat="1" ht="24">
      <c r="A89" s="1150">
        <v>29</v>
      </c>
      <c r="B89" s="3427"/>
      <c r="C89" s="1064" t="s">
        <v>1561</v>
      </c>
      <c r="D89" s="1064" t="s">
        <v>1562</v>
      </c>
      <c r="E89" s="1135">
        <v>0.2</v>
      </c>
      <c r="F89" s="1150">
        <v>30</v>
      </c>
    </row>
    <row r="90" spans="1:6" s="1101" customFormat="1" ht="24">
      <c r="A90" s="1150">
        <v>30</v>
      </c>
      <c r="B90" s="3427"/>
      <c r="C90" s="1064" t="s">
        <v>1563</v>
      </c>
      <c r="D90" s="1064" t="s">
        <v>1564</v>
      </c>
      <c r="E90" s="1135">
        <v>0.2</v>
      </c>
      <c r="F90" s="1150">
        <v>30</v>
      </c>
    </row>
    <row r="91" spans="1:6" s="1101" customFormat="1" ht="36">
      <c r="A91" s="1150">
        <v>31</v>
      </c>
      <c r="B91" s="3427"/>
      <c r="C91" s="1064" t="s">
        <v>1565</v>
      </c>
      <c r="D91" s="1064" t="s">
        <v>1566</v>
      </c>
      <c r="E91" s="1135">
        <v>0.2</v>
      </c>
      <c r="F91" s="1150">
        <v>30</v>
      </c>
    </row>
    <row r="92" spans="1:6" s="1101" customFormat="1" ht="24">
      <c r="A92" s="1150">
        <v>32</v>
      </c>
      <c r="B92" s="3427" t="s">
        <v>1567</v>
      </c>
      <c r="C92" s="1150" t="s">
        <v>1568</v>
      </c>
      <c r="D92" s="1064" t="s">
        <v>1569</v>
      </c>
      <c r="E92" s="1135">
        <v>0.2</v>
      </c>
      <c r="F92" s="1150">
        <v>30</v>
      </c>
    </row>
    <row r="93" spans="1:6" s="1101" customFormat="1" ht="36">
      <c r="A93" s="1150">
        <v>33</v>
      </c>
      <c r="B93" s="3427"/>
      <c r="C93" s="1150" t="s">
        <v>1570</v>
      </c>
      <c r="D93" s="1064" t="s">
        <v>1571</v>
      </c>
      <c r="E93" s="1135">
        <v>0.2</v>
      </c>
      <c r="F93" s="1150">
        <v>30</v>
      </c>
    </row>
    <row r="94" spans="1:6" s="1101" customFormat="1" ht="48">
      <c r="A94" s="1150">
        <v>34</v>
      </c>
      <c r="B94" s="3427"/>
      <c r="C94" s="1150" t="s">
        <v>1572</v>
      </c>
      <c r="D94" s="1064" t="s">
        <v>1573</v>
      </c>
      <c r="E94" s="1135">
        <v>0.2</v>
      </c>
      <c r="F94" s="1150">
        <v>30</v>
      </c>
    </row>
    <row r="95" spans="1:6" s="1101" customFormat="1" ht="36">
      <c r="A95" s="1150">
        <v>35</v>
      </c>
      <c r="B95" s="3427"/>
      <c r="C95" s="1150" t="s">
        <v>1574</v>
      </c>
      <c r="D95" s="1064" t="s">
        <v>1575</v>
      </c>
      <c r="E95" s="1135">
        <v>0.2</v>
      </c>
      <c r="F95" s="1150">
        <v>30</v>
      </c>
    </row>
    <row r="96" spans="1:6" s="1101" customFormat="1" ht="48">
      <c r="A96" s="1150">
        <v>36</v>
      </c>
      <c r="B96" s="3427"/>
      <c r="C96" s="1064" t="s">
        <v>1576</v>
      </c>
      <c r="D96" s="1064" t="s">
        <v>1577</v>
      </c>
      <c r="E96" s="1135">
        <v>0.2</v>
      </c>
      <c r="F96" s="1150">
        <v>30</v>
      </c>
    </row>
    <row r="97" spans="1:6" s="1101" customFormat="1" ht="36">
      <c r="A97" s="1150">
        <v>37</v>
      </c>
      <c r="B97" s="3427"/>
      <c r="C97" s="1150" t="s">
        <v>1578</v>
      </c>
      <c r="D97" s="1064" t="s">
        <v>1579</v>
      </c>
      <c r="E97" s="1135">
        <v>0.2</v>
      </c>
      <c r="F97" s="1150">
        <v>30</v>
      </c>
    </row>
    <row r="98" spans="1:6" s="1101" customFormat="1" ht="36">
      <c r="A98" s="1150">
        <v>38</v>
      </c>
      <c r="B98" s="3427"/>
      <c r="C98" s="1150" t="s">
        <v>1580</v>
      </c>
      <c r="D98" s="1064" t="s">
        <v>1581</v>
      </c>
      <c r="E98" s="1135">
        <v>0.2</v>
      </c>
      <c r="F98" s="1150">
        <v>30</v>
      </c>
    </row>
    <row r="99" spans="1:6" s="1101" customFormat="1" ht="36">
      <c r="A99" s="1150">
        <v>39</v>
      </c>
      <c r="B99" s="3427" t="s">
        <v>1582</v>
      </c>
      <c r="C99" s="1150" t="s">
        <v>1583</v>
      </c>
      <c r="D99" s="1064" t="s">
        <v>1584</v>
      </c>
      <c r="E99" s="1135">
        <v>0.3</v>
      </c>
      <c r="F99" s="1150">
        <v>50</v>
      </c>
    </row>
    <row r="100" spans="1:6" s="1101" customFormat="1" ht="24">
      <c r="A100" s="1150">
        <v>40</v>
      </c>
      <c r="B100" s="3427"/>
      <c r="C100" s="1150" t="s">
        <v>1585</v>
      </c>
      <c r="D100" s="1064" t="s">
        <v>1586</v>
      </c>
      <c r="E100" s="1135">
        <v>0.2</v>
      </c>
      <c r="F100" s="1150">
        <v>30</v>
      </c>
    </row>
    <row r="101" spans="1:6" s="1101" customFormat="1" ht="36">
      <c r="A101" s="1150">
        <v>41</v>
      </c>
      <c r="B101" s="3427"/>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27" t="s">
        <v>1597</v>
      </c>
      <c r="C105" s="1150" t="s">
        <v>1598</v>
      </c>
      <c r="D105" s="1064" t="s">
        <v>1599</v>
      </c>
      <c r="E105" s="1135">
        <v>0.2</v>
      </c>
      <c r="F105" s="1150">
        <v>30</v>
      </c>
    </row>
    <row r="106" spans="1:6" s="1101" customFormat="1" ht="36">
      <c r="A106" s="1150">
        <v>46</v>
      </c>
      <c r="B106" s="3427"/>
      <c r="C106" s="1150" t="s">
        <v>1600</v>
      </c>
      <c r="D106" s="1064" t="s">
        <v>1601</v>
      </c>
      <c r="E106" s="1135">
        <v>0.2</v>
      </c>
      <c r="F106" s="1150">
        <v>30</v>
      </c>
    </row>
    <row r="107" spans="1:6" s="1101" customFormat="1" ht="36">
      <c r="A107" s="1150">
        <v>47</v>
      </c>
      <c r="B107" s="3427" t="s">
        <v>1602</v>
      </c>
      <c r="C107" s="1150" t="s">
        <v>1603</v>
      </c>
      <c r="D107" s="1064" t="s">
        <v>1604</v>
      </c>
      <c r="E107" s="1135">
        <v>0.3</v>
      </c>
      <c r="F107" s="1150">
        <v>50</v>
      </c>
    </row>
    <row r="108" spans="1:6" s="1101" customFormat="1" ht="36">
      <c r="A108" s="1150">
        <v>48</v>
      </c>
      <c r="B108" s="3427"/>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27" t="s">
        <v>1613</v>
      </c>
      <c r="C111" s="1150" t="s">
        <v>1614</v>
      </c>
      <c r="D111" s="1064" t="s">
        <v>1615</v>
      </c>
      <c r="E111" s="1135">
        <v>0.2</v>
      </c>
      <c r="F111" s="1150">
        <v>30</v>
      </c>
    </row>
    <row r="112" spans="1:6" s="1101" customFormat="1" ht="24">
      <c r="A112" s="1150">
        <v>52</v>
      </c>
      <c r="B112" s="3427"/>
      <c r="C112" s="1150" t="s">
        <v>1616</v>
      </c>
      <c r="D112" s="1064" t="s">
        <v>1617</v>
      </c>
      <c r="E112" s="1135">
        <v>0.2</v>
      </c>
      <c r="F112" s="1150">
        <v>30</v>
      </c>
    </row>
    <row r="113" spans="1:14" s="1101" customFormat="1" ht="24">
      <c r="A113" s="1150">
        <v>53</v>
      </c>
      <c r="B113" s="3427"/>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27" t="s">
        <v>1626</v>
      </c>
      <c r="C116" s="1150" t="s">
        <v>1627</v>
      </c>
      <c r="D116" s="1064" t="s">
        <v>1628</v>
      </c>
      <c r="E116" s="1135">
        <v>0.2</v>
      </c>
      <c r="F116" s="1150">
        <v>30</v>
      </c>
    </row>
    <row r="117" spans="1:14" ht="36">
      <c r="A117" s="1150">
        <v>57</v>
      </c>
      <c r="B117" s="3427"/>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26" t="s">
        <v>1635</v>
      </c>
      <c r="B121" s="3426"/>
      <c r="C121" s="3426"/>
      <c r="D121" s="3426"/>
      <c r="E121" s="3426"/>
      <c r="F121" s="3426"/>
      <c r="G121" s="3426"/>
      <c r="H121" s="3426"/>
      <c r="I121" s="3426"/>
      <c r="J121" s="342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1041</v>
      </c>
      <c r="B1" s="3439"/>
      <c r="C1" s="3439"/>
      <c r="D1" s="3439"/>
      <c r="E1" s="3439"/>
      <c r="F1" s="343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0" t="s">
        <v>1054</v>
      </c>
      <c r="B2" s="3440"/>
      <c r="C2" s="3440"/>
      <c r="D2" s="3440"/>
      <c r="E2" s="3440"/>
      <c r="F2" s="344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2083</v>
      </c>
      <c r="B1" s="3443"/>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5" t="s">
        <v>2469</v>
      </c>
      <c r="C8" s="1823">
        <f ca="1">ROUND(F8*F10*F9*(1-F11)/10000,0)</f>
        <v>0</v>
      </c>
      <c r="D8" s="1820" t="s">
        <v>2541</v>
      </c>
      <c r="E8" s="61" t="s">
        <v>638</v>
      </c>
      <c r="F8" s="782">
        <f ca="1">INDIRECT("'数据-取费表'!u"&amp;$G$1)</f>
        <v>0</v>
      </c>
      <c r="G8" s="1589"/>
      <c r="H8" s="2526" t="s">
        <v>1826</v>
      </c>
      <c r="I8" s="3445" t="s">
        <v>2469</v>
      </c>
      <c r="J8" s="780">
        <f ca="1">ROUND(M8*M10*M9*(1-M11)/10000,0)</f>
        <v>0</v>
      </c>
      <c r="K8" s="338" t="s">
        <v>2541</v>
      </c>
      <c r="L8" s="781" t="s">
        <v>1740</v>
      </c>
      <c r="M8" s="782">
        <f ca="1">INDIRECT("'数据-取费表'!z"&amp;$G$1)</f>
        <v>0</v>
      </c>
    </row>
    <row r="9" spans="1:25" ht="18" customHeight="1">
      <c r="A9" s="2522"/>
      <c r="B9" s="3446"/>
      <c r="C9" s="1824"/>
      <c r="D9" s="1821"/>
      <c r="E9" s="61" t="s">
        <v>639</v>
      </c>
      <c r="F9" s="782">
        <f ca="1">IF(INDIRECT("'数据-取费表'!ah"&amp;$G$1)="",INDIRECT("'数据-取费表'!k"&amp;$G$1),INDIRECT("'数据-取费表'!ah"&amp;$G$1))</f>
        <v>0</v>
      </c>
      <c r="G9" s="1589"/>
      <c r="H9" s="2511"/>
      <c r="I9" s="3446"/>
      <c r="J9" s="785"/>
      <c r="K9" s="786"/>
      <c r="L9" s="781" t="s">
        <v>1741</v>
      </c>
      <c r="M9" s="782">
        <f ca="1">F9</f>
        <v>0</v>
      </c>
    </row>
    <row r="10" spans="1:25" ht="18" customHeight="1">
      <c r="A10" s="2515"/>
      <c r="B10" s="3447"/>
      <c r="C10" s="1824"/>
      <c r="D10" s="1821"/>
      <c r="E10" s="61" t="s">
        <v>640</v>
      </c>
      <c r="F10" s="782">
        <f ca="1">INDIRECT("'数据-取费表'!ai"&amp;$G$1)</f>
        <v>0</v>
      </c>
      <c r="G10" s="1589"/>
      <c r="H10" s="2511"/>
      <c r="I10" s="3447"/>
      <c r="J10" s="785"/>
      <c r="K10" s="786"/>
      <c r="L10" s="781" t="s">
        <v>1742</v>
      </c>
      <c r="M10" s="782">
        <f ca="1">INDIRECT("'数据-取费表'!ai"&amp;$G$1)</f>
        <v>0</v>
      </c>
    </row>
    <row r="11" spans="1:25" ht="18" customHeight="1">
      <c r="A11" s="783"/>
      <c r="B11" s="3448"/>
      <c r="C11" s="1824"/>
      <c r="D11" s="1821"/>
      <c r="E11" s="61" t="s">
        <v>641</v>
      </c>
      <c r="F11" s="791">
        <f ca="1">INDIRECT("'数据-取费表'!w"&amp;$G$1)</f>
        <v>0</v>
      </c>
      <c r="G11" s="1589"/>
      <c r="H11" s="2527"/>
      <c r="I11" s="3447"/>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3.5</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1.6999999999999999E-3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4"/>
      <c r="J36" s="2077"/>
      <c r="K36" s="2078"/>
      <c r="L36" s="2077"/>
      <c r="M36" s="2077"/>
    </row>
    <row r="37" spans="1:18" ht="18" customHeight="1">
      <c r="A37" s="812"/>
      <c r="B37" s="790"/>
      <c r="C37" s="69"/>
      <c r="D37" s="813"/>
      <c r="E37" s="781" t="s">
        <v>675</v>
      </c>
      <c r="F37" s="782">
        <f ca="1">INDIRECT("'数据-取费表'!r"&amp;$G$1)</f>
        <v>0</v>
      </c>
      <c r="G37" s="2060"/>
      <c r="H37" s="2063"/>
      <c r="I37" s="3444"/>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49"/>
      <c r="L54" s="3450"/>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3" t="s">
        <v>2583</v>
      </c>
      <c r="C1" s="3453"/>
      <c r="D1" s="3453"/>
      <c r="E1" s="3453"/>
      <c r="F1" s="3453"/>
      <c r="G1" s="3452" t="s">
        <v>2584</v>
      </c>
      <c r="H1" s="3452"/>
      <c r="I1" s="3452"/>
      <c r="J1" s="3452"/>
      <c r="K1" s="3452"/>
      <c r="L1" s="3452"/>
      <c r="N1" s="3452" t="s">
        <v>2585</v>
      </c>
      <c r="O1" s="3452"/>
      <c r="P1" s="3452"/>
      <c r="Q1" s="3452"/>
      <c r="R1" s="2677"/>
      <c r="S1" s="3452" t="s">
        <v>2586</v>
      </c>
      <c r="T1" s="3452"/>
      <c r="U1" s="3452"/>
      <c r="V1" s="3452"/>
      <c r="X1" s="3451" t="s">
        <v>2647</v>
      </c>
      <c r="Y1" s="3452"/>
      <c r="Z1" s="3452"/>
      <c r="AA1" s="3452"/>
      <c r="AB1" s="3452"/>
      <c r="AD1" s="3451" t="s">
        <v>2652</v>
      </c>
      <c r="AE1" s="3452"/>
      <c r="AF1" s="3452"/>
      <c r="AG1" s="3452"/>
      <c r="AH1" s="3452"/>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60">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5"/>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5"/>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6"/>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60">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5"/>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5"/>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6"/>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4">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5"/>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5"/>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6"/>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4">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5"/>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5"/>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6"/>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7">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8"/>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8"/>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59"/>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4">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5"/>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5"/>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6"/>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4">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5">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5">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6">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4">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5">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5">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6">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4">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5">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5">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6">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4">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5">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5">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6">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4">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5">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5">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6">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4">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5">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5">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6">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4">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5">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5">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6">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4">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5">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5">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6">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4">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5">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5">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6">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4">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5">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5">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6">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A4" sqref="A4:J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89" t="s">
        <v>523</v>
      </c>
      <c r="D4" s="3390"/>
      <c r="E4" s="3414" t="s">
        <v>524</v>
      </c>
      <c r="F4" s="3415"/>
      <c r="G4" s="3389" t="s">
        <v>525</v>
      </c>
      <c r="H4" s="3390"/>
      <c r="I4" s="3389" t="s">
        <v>526</v>
      </c>
      <c r="J4" s="3390"/>
      <c r="K4" s="850" t="s">
        <v>527</v>
      </c>
      <c r="L4" s="2131"/>
      <c r="M4" s="2132"/>
      <c r="N4" s="2132"/>
      <c r="O4" s="2132"/>
      <c r="P4" s="3391"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2"/>
      <c r="B5" s="513"/>
      <c r="C5" s="3400" t="s">
        <v>2940</v>
      </c>
      <c r="D5" s="3401"/>
      <c r="E5" s="3461" t="s">
        <v>3031</v>
      </c>
      <c r="F5" s="3417"/>
      <c r="G5" s="3462" t="s">
        <v>3032</v>
      </c>
      <c r="H5" s="3401"/>
      <c r="I5" s="3462" t="s">
        <v>3036</v>
      </c>
      <c r="J5" s="3401"/>
      <c r="K5" s="85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63" t="s">
        <v>3034</v>
      </c>
      <c r="F6" s="3420"/>
      <c r="G6" s="3398" t="s">
        <v>3033</v>
      </c>
      <c r="H6" s="3399"/>
      <c r="I6" s="3398" t="s">
        <v>3035</v>
      </c>
      <c r="J6" s="3399"/>
      <c r="K6" s="85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43123</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375" t="s">
        <v>531</v>
      </c>
      <c r="Q7" s="3384"/>
      <c r="R7" s="1565" t="s">
        <v>13</v>
      </c>
      <c r="S7" s="1566">
        <f t="shared" ref="S7:S15" si="0">F7</f>
        <v>100</v>
      </c>
      <c r="T7" s="1565" t="s">
        <v>13</v>
      </c>
      <c r="U7" s="1566">
        <f t="shared" ref="U7:U15" si="1">H7</f>
        <v>100</v>
      </c>
      <c r="V7" s="1565" t="s">
        <v>13</v>
      </c>
      <c r="W7" s="1566">
        <f t="shared" ref="W7:W15" si="2">J7</f>
        <v>100</v>
      </c>
      <c r="X7" s="1567"/>
      <c r="Y7" s="3375" t="s">
        <v>531</v>
      </c>
      <c r="Z7" s="3376"/>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375" t="s">
        <v>534</v>
      </c>
      <c r="Q8" s="3376"/>
      <c r="R8" s="1565" t="s">
        <v>13</v>
      </c>
      <c r="S8" s="1566">
        <f t="shared" si="0"/>
        <v>100</v>
      </c>
      <c r="T8" s="1565" t="s">
        <v>13</v>
      </c>
      <c r="U8" s="1566">
        <f t="shared" si="1"/>
        <v>100</v>
      </c>
      <c r="V8" s="1565" t="s">
        <v>13</v>
      </c>
      <c r="W8" s="1566">
        <f t="shared" si="2"/>
        <v>100</v>
      </c>
      <c r="X8" s="1567"/>
      <c r="Y8" s="3375" t="s">
        <v>534</v>
      </c>
      <c r="Z8" s="3376"/>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83"/>
      <c r="Q11" s="1147" t="str">
        <f t="shared" si="6"/>
        <v>容积率</v>
      </c>
      <c r="R11" s="1565" t="s">
        <v>11</v>
      </c>
      <c r="S11" s="1566">
        <f t="shared" si="0"/>
        <v>103</v>
      </c>
      <c r="T11" s="1565" t="s">
        <v>11</v>
      </c>
      <c r="U11" s="1566">
        <f t="shared" si="1"/>
        <v>103</v>
      </c>
      <c r="V11" s="1565" t="s">
        <v>11</v>
      </c>
      <c r="W11" s="1566">
        <f t="shared" si="2"/>
        <v>103</v>
      </c>
      <c r="X11" s="1567"/>
      <c r="Y11" s="3340"/>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83"/>
      <c r="Q12" s="1147">
        <f t="shared" si="6"/>
        <v>111</v>
      </c>
      <c r="R12" s="1565" t="s">
        <v>11</v>
      </c>
      <c r="S12" s="1566">
        <f t="shared" si="0"/>
        <v>100</v>
      </c>
      <c r="T12" s="1565" t="s">
        <v>11</v>
      </c>
      <c r="U12" s="1566">
        <f t="shared" si="1"/>
        <v>100</v>
      </c>
      <c r="V12" s="1565" t="s">
        <v>11</v>
      </c>
      <c r="W12" s="1566">
        <f t="shared" si="2"/>
        <v>100</v>
      </c>
      <c r="X12" s="1567"/>
      <c r="Y12" s="3340"/>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83"/>
      <c r="Q13" s="1147">
        <f t="shared" si="6"/>
        <v>111</v>
      </c>
      <c r="R13" s="1565" t="s">
        <v>11</v>
      </c>
      <c r="S13" s="1566">
        <f t="shared" si="0"/>
        <v>100</v>
      </c>
      <c r="T13" s="1565" t="s">
        <v>11</v>
      </c>
      <c r="U13" s="1566">
        <f t="shared" si="1"/>
        <v>100</v>
      </c>
      <c r="V13" s="1565" t="s">
        <v>11</v>
      </c>
      <c r="W13" s="1566">
        <f t="shared" si="2"/>
        <v>100</v>
      </c>
      <c r="X13" s="1567"/>
      <c r="Y13" s="3340"/>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83"/>
      <c r="Q14" s="1147">
        <f t="shared" si="6"/>
        <v>111</v>
      </c>
      <c r="R14" s="1565" t="s">
        <v>11</v>
      </c>
      <c r="S14" s="1566">
        <f t="shared" si="0"/>
        <v>100</v>
      </c>
      <c r="T14" s="1565" t="s">
        <v>11</v>
      </c>
      <c r="U14" s="1566">
        <f t="shared" si="1"/>
        <v>100</v>
      </c>
      <c r="V14" s="1565" t="s">
        <v>11</v>
      </c>
      <c r="W14" s="1566">
        <f t="shared" si="2"/>
        <v>100</v>
      </c>
      <c r="X14" s="1567"/>
      <c r="Y14" s="3340"/>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385" t="s">
        <v>541</v>
      </c>
      <c r="Q15" s="1569" t="str">
        <f t="shared" si="6"/>
        <v>居住社区成熟度</v>
      </c>
      <c r="R15" s="1570" t="s">
        <v>11</v>
      </c>
      <c r="S15" s="1571">
        <f t="shared" si="0"/>
        <v>100</v>
      </c>
      <c r="T15" s="1570" t="s">
        <v>11</v>
      </c>
      <c r="U15" s="1571">
        <f t="shared" si="1"/>
        <v>100</v>
      </c>
      <c r="V15" s="1570" t="s">
        <v>11</v>
      </c>
      <c r="W15" s="1571">
        <f t="shared" si="2"/>
        <v>100</v>
      </c>
      <c r="X15" s="1564"/>
      <c r="Y15" s="3385"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386"/>
      <c r="Q17" s="1569" t="str">
        <f>B17</f>
        <v>交通便捷度</v>
      </c>
      <c r="R17" s="1570" t="s">
        <v>11</v>
      </c>
      <c r="S17" s="1571">
        <f>F17</f>
        <v>100</v>
      </c>
      <c r="T17" s="1570" t="s">
        <v>11</v>
      </c>
      <c r="U17" s="1571">
        <f>H17</f>
        <v>100</v>
      </c>
      <c r="V17" s="1570" t="s">
        <v>11</v>
      </c>
      <c r="W17" s="1571">
        <f>J17</f>
        <v>100</v>
      </c>
      <c r="X17" s="1564"/>
      <c r="Y17" s="3386"/>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386"/>
      <c r="Q19" s="1569" t="str">
        <f>B19</f>
        <v>公共配套设施</v>
      </c>
      <c r="R19" s="1570" t="s">
        <v>11</v>
      </c>
      <c r="S19" s="1571">
        <f>F19</f>
        <v>100</v>
      </c>
      <c r="T19" s="1570" t="s">
        <v>11</v>
      </c>
      <c r="U19" s="1571">
        <f>H19</f>
        <v>100</v>
      </c>
      <c r="V19" s="1570" t="s">
        <v>11</v>
      </c>
      <c r="W19" s="1571">
        <f>J19</f>
        <v>100</v>
      </c>
      <c r="X19" s="1564"/>
      <c r="Y19" s="3386"/>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386"/>
      <c r="Q21" s="2601" t="str">
        <f>B21</f>
        <v>基础设施水平</v>
      </c>
      <c r="R21" s="1570" t="s">
        <v>11</v>
      </c>
      <c r="S21" s="1571">
        <f>F21</f>
        <v>100</v>
      </c>
      <c r="T21" s="1570" t="s">
        <v>11</v>
      </c>
      <c r="U21" s="1571">
        <f>H21</f>
        <v>100</v>
      </c>
      <c r="V21" s="1570" t="s">
        <v>11</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386"/>
      <c r="Q22" s="2601"/>
      <c r="R22" s="1570"/>
      <c r="S22" s="1571"/>
      <c r="T22" s="1570"/>
      <c r="U22" s="1571"/>
      <c r="V22" s="1570"/>
      <c r="W22" s="1571"/>
      <c r="X22" s="2603"/>
      <c r="Y22" s="3386"/>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386"/>
      <c r="Q23" s="1569" t="str">
        <f>B23</f>
        <v>自然及人文环境</v>
      </c>
      <c r="R23" s="1570" t="s">
        <v>11</v>
      </c>
      <c r="S23" s="1571">
        <f>F23</f>
        <v>100</v>
      </c>
      <c r="T23" s="1570" t="s">
        <v>11</v>
      </c>
      <c r="U23" s="1571">
        <f>H23</f>
        <v>100</v>
      </c>
      <c r="V23" s="1570" t="s">
        <v>11</v>
      </c>
      <c r="W23" s="1571">
        <f>J23</f>
        <v>100</v>
      </c>
      <c r="X23" s="1564"/>
      <c r="Y23" s="3386"/>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386"/>
      <c r="Q25" s="1569" t="str">
        <f t="shared" ref="Q25:Q46" si="11">B25</f>
        <v>楼层-1</v>
      </c>
      <c r="R25" s="1570" t="s">
        <v>11</v>
      </c>
      <c r="S25" s="1571">
        <f>F25</f>
        <v>100</v>
      </c>
      <c r="T25" s="1570" t="s">
        <v>11</v>
      </c>
      <c r="U25" s="1571">
        <f>H25</f>
        <v>100</v>
      </c>
      <c r="V25" s="1570" t="s">
        <v>11</v>
      </c>
      <c r="W25" s="1571">
        <f>J25</f>
        <v>100</v>
      </c>
      <c r="X25" s="1564"/>
      <c r="Y25" s="3386"/>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386"/>
      <c r="Q26" s="1569" t="str">
        <f t="shared" si="11"/>
        <v>朝向</v>
      </c>
      <c r="R26" s="1570" t="s">
        <v>11</v>
      </c>
      <c r="S26" s="1571">
        <f>F26</f>
        <v>100</v>
      </c>
      <c r="T26" s="1570" t="s">
        <v>11</v>
      </c>
      <c r="U26" s="1571">
        <f>H26</f>
        <v>100</v>
      </c>
      <c r="V26" s="1570" t="s">
        <v>11</v>
      </c>
      <c r="W26" s="1571">
        <f>J26</f>
        <v>100</v>
      </c>
      <c r="X26" s="1564"/>
      <c r="Y26" s="3386"/>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386"/>
      <c r="Q27" s="1147" t="str">
        <f t="shared" si="11"/>
        <v>道路级别</v>
      </c>
      <c r="R27" s="1565" t="s">
        <v>11</v>
      </c>
      <c r="S27" s="1566">
        <f>F27</f>
        <v>100</v>
      </c>
      <c r="T27" s="1565" t="s">
        <v>11</v>
      </c>
      <c r="U27" s="1566">
        <f>H27</f>
        <v>100</v>
      </c>
      <c r="V27" s="1565" t="s">
        <v>11</v>
      </c>
      <c r="W27" s="1566">
        <f>J27</f>
        <v>100</v>
      </c>
      <c r="X27" s="1567"/>
      <c r="Y27" s="338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38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386"/>
      <c r="Q29" s="1569">
        <f t="shared" si="11"/>
        <v>111</v>
      </c>
      <c r="R29" s="1570" t="s">
        <v>11</v>
      </c>
      <c r="S29" s="1571">
        <f t="shared" si="12"/>
        <v>100</v>
      </c>
      <c r="T29" s="1570" t="s">
        <v>11</v>
      </c>
      <c r="U29" s="1571">
        <f t="shared" si="13"/>
        <v>100</v>
      </c>
      <c r="V29" s="1570" t="s">
        <v>11</v>
      </c>
      <c r="W29" s="1571">
        <f t="shared" si="14"/>
        <v>100</v>
      </c>
      <c r="X29" s="1564"/>
      <c r="Y29" s="338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386"/>
      <c r="Q30" s="1569">
        <f t="shared" si="11"/>
        <v>111</v>
      </c>
      <c r="R30" s="1570" t="s">
        <v>11</v>
      </c>
      <c r="S30" s="1571">
        <f t="shared" si="12"/>
        <v>100</v>
      </c>
      <c r="T30" s="1570" t="s">
        <v>11</v>
      </c>
      <c r="U30" s="1571">
        <f t="shared" si="13"/>
        <v>100</v>
      </c>
      <c r="V30" s="1570" t="s">
        <v>11</v>
      </c>
      <c r="W30" s="1571">
        <f t="shared" si="14"/>
        <v>100</v>
      </c>
      <c r="X30" s="1564"/>
      <c r="Y30" s="338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386"/>
      <c r="Q31" s="1569">
        <f t="shared" si="11"/>
        <v>111</v>
      </c>
      <c r="R31" s="1570" t="s">
        <v>11</v>
      </c>
      <c r="S31" s="1571">
        <f t="shared" si="12"/>
        <v>100</v>
      </c>
      <c r="T31" s="1570" t="s">
        <v>11</v>
      </c>
      <c r="U31" s="1571">
        <f t="shared" si="13"/>
        <v>100</v>
      </c>
      <c r="V31" s="1570" t="s">
        <v>11</v>
      </c>
      <c r="W31" s="1571">
        <f t="shared" si="14"/>
        <v>100</v>
      </c>
      <c r="X31" s="1564"/>
      <c r="Y31" s="3386"/>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387" t="s">
        <v>551</v>
      </c>
      <c r="Q32" s="1569" t="str">
        <f t="shared" si="11"/>
        <v>建筑类型</v>
      </c>
      <c r="R32" s="1570" t="s">
        <v>11</v>
      </c>
      <c r="S32" s="1571">
        <f t="shared" si="12"/>
        <v>100</v>
      </c>
      <c r="T32" s="1570" t="s">
        <v>11</v>
      </c>
      <c r="U32" s="1571">
        <f t="shared" si="13"/>
        <v>100</v>
      </c>
      <c r="V32" s="1570" t="s">
        <v>11</v>
      </c>
      <c r="W32" s="1571">
        <f t="shared" si="14"/>
        <v>100</v>
      </c>
      <c r="X32" s="1564"/>
      <c r="Y32" s="3388"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388"/>
      <c r="Q33" s="1602" t="str">
        <f t="shared" si="11"/>
        <v>项目建筑规模</v>
      </c>
      <c r="R33" s="1574" t="s">
        <v>11</v>
      </c>
      <c r="S33" s="1575">
        <f t="shared" si="12"/>
        <v>101</v>
      </c>
      <c r="T33" s="1574" t="s">
        <v>11</v>
      </c>
      <c r="U33" s="1575">
        <f t="shared" si="13"/>
        <v>102</v>
      </c>
      <c r="V33" s="1574" t="s">
        <v>11</v>
      </c>
      <c r="W33" s="1575">
        <f t="shared" si="14"/>
        <v>100</v>
      </c>
      <c r="X33" s="1576"/>
      <c r="Y33" s="3388"/>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388"/>
      <c r="Q34" s="1569" t="str">
        <f t="shared" si="11"/>
        <v>建筑结构</v>
      </c>
      <c r="R34" s="1570" t="s">
        <v>11</v>
      </c>
      <c r="S34" s="1571">
        <f t="shared" si="12"/>
        <v>100</v>
      </c>
      <c r="T34" s="1570" t="s">
        <v>11</v>
      </c>
      <c r="U34" s="1571">
        <f t="shared" si="13"/>
        <v>100</v>
      </c>
      <c r="V34" s="1570" t="s">
        <v>11</v>
      </c>
      <c r="W34" s="1571">
        <f t="shared" si="14"/>
        <v>100</v>
      </c>
      <c r="X34" s="1564"/>
      <c r="Y34" s="3388"/>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388"/>
      <c r="Q35" s="1569" t="str">
        <f t="shared" si="11"/>
        <v>建筑品质</v>
      </c>
      <c r="R35" s="1570" t="s">
        <v>11</v>
      </c>
      <c r="S35" s="1571">
        <f t="shared" si="12"/>
        <v>100</v>
      </c>
      <c r="T35" s="1570" t="s">
        <v>11</v>
      </c>
      <c r="U35" s="1571">
        <f t="shared" si="13"/>
        <v>100</v>
      </c>
      <c r="V35" s="1570" t="s">
        <v>11</v>
      </c>
      <c r="W35" s="1571">
        <f t="shared" si="14"/>
        <v>100</v>
      </c>
      <c r="X35" s="1564"/>
      <c r="Y35" s="3388"/>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388"/>
      <c r="Q36" s="1569" t="str">
        <f t="shared" si="11"/>
        <v>公共部分装修</v>
      </c>
      <c r="R36" s="1570" t="s">
        <v>11</v>
      </c>
      <c r="S36" s="1571">
        <f t="shared" si="12"/>
        <v>100</v>
      </c>
      <c r="T36" s="1570" t="s">
        <v>11</v>
      </c>
      <c r="U36" s="1571">
        <f t="shared" si="13"/>
        <v>100</v>
      </c>
      <c r="V36" s="1570" t="s">
        <v>11</v>
      </c>
      <c r="W36" s="1571">
        <f t="shared" si="14"/>
        <v>100</v>
      </c>
      <c r="X36" s="1564"/>
      <c r="Y36" s="3388"/>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388"/>
      <c r="Q37" s="1147" t="str">
        <f t="shared" si="11"/>
        <v>成新度</v>
      </c>
      <c r="R37" s="1565" t="s">
        <v>11</v>
      </c>
      <c r="S37" s="1566">
        <f t="shared" si="12"/>
        <v>100</v>
      </c>
      <c r="T37" s="1565" t="s">
        <v>11</v>
      </c>
      <c r="U37" s="1566">
        <f t="shared" si="13"/>
        <v>100</v>
      </c>
      <c r="V37" s="1565" t="s">
        <v>11</v>
      </c>
      <c r="W37" s="1566">
        <f t="shared" si="14"/>
        <v>100</v>
      </c>
      <c r="X37" s="1567"/>
      <c r="Y37" s="3388"/>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388" t="s">
        <v>551</v>
      </c>
      <c r="Q38" s="1569" t="str">
        <f t="shared" si="11"/>
        <v>物业管理</v>
      </c>
      <c r="R38" s="1570" t="s">
        <v>11</v>
      </c>
      <c r="S38" s="1571">
        <f t="shared" si="12"/>
        <v>100</v>
      </c>
      <c r="T38" s="1570" t="s">
        <v>11</v>
      </c>
      <c r="U38" s="1571">
        <f t="shared" si="13"/>
        <v>100</v>
      </c>
      <c r="V38" s="1570" t="s">
        <v>11</v>
      </c>
      <c r="W38" s="1571">
        <f t="shared" si="14"/>
        <v>100</v>
      </c>
      <c r="X38" s="1564"/>
      <c r="Y38" s="3388"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388"/>
      <c r="Q39" s="1569" t="str">
        <f t="shared" si="11"/>
        <v>市政基础设施</v>
      </c>
      <c r="R39" s="1570" t="s">
        <v>11</v>
      </c>
      <c r="S39" s="1571">
        <f t="shared" si="12"/>
        <v>100</v>
      </c>
      <c r="T39" s="1570" t="s">
        <v>11</v>
      </c>
      <c r="U39" s="1571">
        <f t="shared" si="13"/>
        <v>100</v>
      </c>
      <c r="V39" s="1570" t="s">
        <v>11</v>
      </c>
      <c r="W39" s="1571">
        <f t="shared" si="14"/>
        <v>100</v>
      </c>
      <c r="X39" s="1564"/>
      <c r="Y39" s="3388"/>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388"/>
      <c r="Q40" s="1569" t="str">
        <f t="shared" si="11"/>
        <v>房型</v>
      </c>
      <c r="R40" s="1570" t="s">
        <v>11</v>
      </c>
      <c r="S40" s="1571">
        <f t="shared" si="12"/>
        <v>100</v>
      </c>
      <c r="T40" s="1570" t="s">
        <v>11</v>
      </c>
      <c r="U40" s="1571">
        <f t="shared" si="13"/>
        <v>100</v>
      </c>
      <c r="V40" s="1570" t="s">
        <v>11</v>
      </c>
      <c r="W40" s="1571">
        <f t="shared" si="14"/>
        <v>100</v>
      </c>
      <c r="X40" s="1564"/>
      <c r="Y40" s="3388"/>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388"/>
      <c r="Q42" s="1569" t="str">
        <f t="shared" si="11"/>
        <v>内部装修</v>
      </c>
      <c r="R42" s="1570" t="s">
        <v>11</v>
      </c>
      <c r="S42" s="1571">
        <f t="shared" si="12"/>
        <v>100</v>
      </c>
      <c r="T42" s="1570" t="s">
        <v>11</v>
      </c>
      <c r="U42" s="1571">
        <f t="shared" si="13"/>
        <v>100</v>
      </c>
      <c r="V42" s="1570" t="s">
        <v>11</v>
      </c>
      <c r="W42" s="1571">
        <f t="shared" si="14"/>
        <v>100</v>
      </c>
      <c r="X42" s="1564"/>
      <c r="Y42" s="3388"/>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388"/>
      <c r="Q43" s="1569" t="str">
        <f t="shared" si="11"/>
        <v>内部装修维护情况</v>
      </c>
      <c r="R43" s="1570" t="s">
        <v>11</v>
      </c>
      <c r="S43" s="1571">
        <f t="shared" si="12"/>
        <v>100</v>
      </c>
      <c r="T43" s="1570" t="s">
        <v>11</v>
      </c>
      <c r="U43" s="1571">
        <f t="shared" si="13"/>
        <v>100</v>
      </c>
      <c r="V43" s="1570" t="s">
        <v>11</v>
      </c>
      <c r="W43" s="1571">
        <f t="shared" si="14"/>
        <v>100</v>
      </c>
      <c r="X43" s="1564"/>
      <c r="Y43" s="338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388"/>
      <c r="Q44" s="1147">
        <f t="shared" si="11"/>
        <v>111</v>
      </c>
      <c r="R44" s="1565" t="s">
        <v>11</v>
      </c>
      <c r="S44" s="1566">
        <f t="shared" si="12"/>
        <v>100</v>
      </c>
      <c r="T44" s="1565" t="s">
        <v>11</v>
      </c>
      <c r="U44" s="1566">
        <f t="shared" si="13"/>
        <v>100</v>
      </c>
      <c r="V44" s="1565" t="s">
        <v>11</v>
      </c>
      <c r="W44" s="1566">
        <f t="shared" si="14"/>
        <v>100</v>
      </c>
      <c r="X44" s="1567"/>
      <c r="Y44" s="338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388"/>
      <c r="Q45" s="1569">
        <f t="shared" si="11"/>
        <v>111</v>
      </c>
      <c r="R45" s="1570" t="s">
        <v>11</v>
      </c>
      <c r="S45" s="1571">
        <f t="shared" si="12"/>
        <v>100</v>
      </c>
      <c r="T45" s="1570" t="s">
        <v>11</v>
      </c>
      <c r="U45" s="1571">
        <f t="shared" si="13"/>
        <v>100</v>
      </c>
      <c r="V45" s="1570" t="s">
        <v>11</v>
      </c>
      <c r="W45" s="1571">
        <f t="shared" si="14"/>
        <v>100</v>
      </c>
      <c r="X45" s="1564"/>
      <c r="Y45" s="338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6"/>
      <c r="Q46" s="1569">
        <f t="shared" si="11"/>
        <v>111</v>
      </c>
      <c r="R46" s="1570" t="s">
        <v>10</v>
      </c>
      <c r="S46" s="1571">
        <f t="shared" si="12"/>
        <v>100</v>
      </c>
      <c r="T46" s="1570" t="s">
        <v>10</v>
      </c>
      <c r="U46" s="1571">
        <f t="shared" si="13"/>
        <v>100</v>
      </c>
      <c r="V46" s="1570" t="s">
        <v>10</v>
      </c>
      <c r="W46" s="1571">
        <f t="shared" si="14"/>
        <v>100</v>
      </c>
      <c r="X46" s="1564"/>
      <c r="Y46" s="3466"/>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83" t="str">
        <f>A47</f>
        <v>成交单价（元/平方米）</v>
      </c>
      <c r="Q47" s="3383"/>
      <c r="R47" s="3465">
        <f>E47</f>
        <v>31360</v>
      </c>
      <c r="S47" s="3465"/>
      <c r="T47" s="3465">
        <f>G47</f>
        <v>30380</v>
      </c>
      <c r="U47" s="3465"/>
      <c r="V47" s="3465">
        <f>I47</f>
        <v>31360</v>
      </c>
      <c r="W47" s="3465"/>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83" t="str">
        <f>A48</f>
        <v>比较价格（元/平方米）</v>
      </c>
      <c r="Q48" s="3383"/>
      <c r="R48" s="3465">
        <f>IF(F1="售价",ROUND(PRODUCT(R47,AA7:AA46),0),ROUND(PRODUCT(R47,AA7:AA46),1))</f>
        <v>30145</v>
      </c>
      <c r="S48" s="3465"/>
      <c r="T48" s="3465">
        <f>IF(F1="售价",ROUND(PRODUCT(T47,AB7:AB46),0),ROUND(PRODUCT(T47,AB7:AB46),1))</f>
        <v>28917</v>
      </c>
      <c r="U48" s="3465"/>
      <c r="V48" s="3465">
        <f>IF(F1="售价",ROUND(PRODUCT(V47,AC7:AC46),0),ROUND(PRODUCT(V47,AC7:AC46),1))</f>
        <v>30447</v>
      </c>
      <c r="W48" s="3465"/>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405" t="str">
        <f>A49</f>
        <v>估价对象XX用房的比较价格（楼面单价，元/平方米）</v>
      </c>
      <c r="Q49" s="3406"/>
      <c r="R49" s="3464">
        <f>IF(F1="售价",ROUND(AVERAGE(R48:V48),0),ROUND(AVERAGE(R48:V48),1))</f>
        <v>29836</v>
      </c>
      <c r="S49" s="3464"/>
      <c r="T49" s="3464"/>
      <c r="U49" s="3464"/>
      <c r="V49" s="3464"/>
      <c r="W49" s="346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4" sqref="A4: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89" t="s">
        <v>523</v>
      </c>
      <c r="D4" s="3390"/>
      <c r="E4" s="3414" t="s">
        <v>524</v>
      </c>
      <c r="F4" s="3415"/>
      <c r="G4" s="3389" t="s">
        <v>525</v>
      </c>
      <c r="H4" s="3390"/>
      <c r="I4" s="3389" t="s">
        <v>526</v>
      </c>
      <c r="J4" s="3390"/>
      <c r="K4" s="511" t="s">
        <v>527</v>
      </c>
      <c r="L4" s="2131"/>
      <c r="M4" s="2132"/>
      <c r="N4" s="2132"/>
      <c r="O4" s="2132"/>
      <c r="P4" s="3467"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2"/>
      <c r="B5" s="513"/>
      <c r="C5" s="3400" t="s">
        <v>2940</v>
      </c>
      <c r="D5" s="3401"/>
      <c r="E5" s="3461" t="s">
        <v>3039</v>
      </c>
      <c r="F5" s="3417"/>
      <c r="G5" s="3400" t="s">
        <v>2942</v>
      </c>
      <c r="H5" s="3401"/>
      <c r="I5" s="3400" t="s">
        <v>2943</v>
      </c>
      <c r="J5" s="3401"/>
      <c r="K5" s="511"/>
      <c r="L5" s="2131"/>
      <c r="M5" s="2132"/>
      <c r="N5" s="2132"/>
      <c r="O5" s="2132"/>
      <c r="P5" s="3468"/>
      <c r="Q5" s="3394"/>
      <c r="R5" s="3379"/>
      <c r="S5" s="3380"/>
      <c r="T5" s="3379"/>
      <c r="U5" s="3380"/>
      <c r="V5" s="3397"/>
      <c r="W5" s="3397"/>
      <c r="X5" s="1564"/>
      <c r="Y5" s="3379"/>
      <c r="Z5" s="3380"/>
      <c r="AA5" s="3373"/>
      <c r="AB5" s="3373"/>
      <c r="AC5" s="3373"/>
    </row>
    <row r="6" spans="1:29" ht="15.75" thickBot="1">
      <c r="A6" s="514"/>
      <c r="B6" s="515"/>
      <c r="C6" s="3418" t="s">
        <v>2944</v>
      </c>
      <c r="D6" s="3399"/>
      <c r="E6" s="3463" t="s">
        <v>3040</v>
      </c>
      <c r="F6" s="3420"/>
      <c r="G6" s="3418" t="s">
        <v>2944</v>
      </c>
      <c r="H6" s="3399"/>
      <c r="I6" s="3418" t="s">
        <v>2944</v>
      </c>
      <c r="J6" s="3399"/>
      <c r="K6" s="511" t="s">
        <v>529</v>
      </c>
      <c r="L6" s="2131"/>
      <c r="M6" s="2132"/>
      <c r="N6" s="2132"/>
      <c r="O6" s="2132"/>
      <c r="P6" s="3469"/>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43123</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384" t="s">
        <v>531</v>
      </c>
      <c r="Q7" s="3384"/>
      <c r="R7" s="1565" t="s">
        <v>8</v>
      </c>
      <c r="S7" s="1566">
        <f t="shared" ref="S7:S15" si="0">F7</f>
        <v>100</v>
      </c>
      <c r="T7" s="1565" t="s">
        <v>8</v>
      </c>
      <c r="U7" s="1566">
        <f t="shared" ref="U7:U15" si="1">H7</f>
        <v>100</v>
      </c>
      <c r="V7" s="1565" t="s">
        <v>8</v>
      </c>
      <c r="W7" s="1566">
        <f t="shared" ref="W7:W15" si="2">J7</f>
        <v>100</v>
      </c>
      <c r="X7" s="1567"/>
      <c r="Y7" s="3375" t="s">
        <v>531</v>
      </c>
      <c r="Z7" s="3376"/>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384" t="s">
        <v>534</v>
      </c>
      <c r="Q8" s="3376"/>
      <c r="R8" s="1565" t="s">
        <v>8</v>
      </c>
      <c r="S8" s="1566">
        <f t="shared" si="0"/>
        <v>100</v>
      </c>
      <c r="T8" s="1565" t="s">
        <v>8</v>
      </c>
      <c r="U8" s="1566">
        <f t="shared" si="1"/>
        <v>100</v>
      </c>
      <c r="V8" s="1565" t="s">
        <v>8</v>
      </c>
      <c r="W8" s="1566">
        <f t="shared" si="2"/>
        <v>100</v>
      </c>
      <c r="X8" s="1567"/>
      <c r="Y8" s="3375" t="s">
        <v>534</v>
      </c>
      <c r="Z8" s="3376"/>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83"/>
      <c r="Q11" s="1147" t="str">
        <f t="shared" si="6"/>
        <v>容积率</v>
      </c>
      <c r="R11" s="1565" t="s">
        <v>8</v>
      </c>
      <c r="S11" s="1566">
        <f t="shared" si="0"/>
        <v>115</v>
      </c>
      <c r="T11" s="1565" t="s">
        <v>8</v>
      </c>
      <c r="U11" s="1566">
        <f t="shared" si="1"/>
        <v>105</v>
      </c>
      <c r="V11" s="1565" t="s">
        <v>8</v>
      </c>
      <c r="W11" s="1566">
        <f t="shared" si="2"/>
        <v>95</v>
      </c>
      <c r="X11" s="1567"/>
      <c r="Y11" s="3340"/>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385" t="s">
        <v>541</v>
      </c>
      <c r="Q15" s="1569" t="str">
        <f t="shared" si="6"/>
        <v>办公集聚程度</v>
      </c>
      <c r="R15" s="1570" t="s">
        <v>8</v>
      </c>
      <c r="S15" s="1571">
        <f t="shared" si="0"/>
        <v>100</v>
      </c>
      <c r="T15" s="1570" t="s">
        <v>8</v>
      </c>
      <c r="U15" s="1571">
        <f t="shared" si="1"/>
        <v>100</v>
      </c>
      <c r="V15" s="1570" t="s">
        <v>8</v>
      </c>
      <c r="W15" s="1571">
        <f t="shared" si="2"/>
        <v>97</v>
      </c>
      <c r="X15" s="1564"/>
      <c r="Y15" s="3385"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386"/>
      <c r="Q16" s="1569"/>
      <c r="R16" s="1570"/>
      <c r="S16" s="1571"/>
      <c r="T16" s="1570"/>
      <c r="U16" s="1571"/>
      <c r="V16" s="1570"/>
      <c r="W16" s="1571"/>
      <c r="X16" s="1564"/>
      <c r="Y16" s="3386"/>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386"/>
      <c r="Q18" s="1569"/>
      <c r="R18" s="1570"/>
      <c r="S18" s="1571"/>
      <c r="T18" s="1570"/>
      <c r="U18" s="1571"/>
      <c r="V18" s="1570"/>
      <c r="W18" s="1571"/>
      <c r="X18" s="1564"/>
      <c r="Y18" s="3386"/>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386"/>
      <c r="Q20" s="1569"/>
      <c r="R20" s="1570"/>
      <c r="S20" s="1571"/>
      <c r="T20" s="1570"/>
      <c r="U20" s="1571"/>
      <c r="V20" s="1570"/>
      <c r="W20" s="1571"/>
      <c r="X20" s="1564"/>
      <c r="Y20" s="3386"/>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386"/>
      <c r="Q22" s="2601"/>
      <c r="R22" s="1570"/>
      <c r="S22" s="1571"/>
      <c r="T22" s="1570"/>
      <c r="U22" s="1571"/>
      <c r="V22" s="1570"/>
      <c r="W22" s="1571"/>
      <c r="X22" s="2603"/>
      <c r="Y22" s="3386"/>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386"/>
      <c r="Q23" s="1569" t="str">
        <f>B23</f>
        <v>环境质量</v>
      </c>
      <c r="R23" s="1570" t="s">
        <v>8</v>
      </c>
      <c r="S23" s="1571">
        <f>F23</f>
        <v>100</v>
      </c>
      <c r="T23" s="1570" t="s">
        <v>8</v>
      </c>
      <c r="U23" s="1571">
        <f>H23</f>
        <v>100</v>
      </c>
      <c r="V23" s="1570" t="s">
        <v>8</v>
      </c>
      <c r="W23" s="1571">
        <f>J23</f>
        <v>98</v>
      </c>
      <c r="X23" s="1564"/>
      <c r="Y23" s="3386"/>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386"/>
      <c r="Q24" s="1569"/>
      <c r="R24" s="1570"/>
      <c r="S24" s="1571"/>
      <c r="T24" s="1570"/>
      <c r="U24" s="1571"/>
      <c r="V24" s="1570"/>
      <c r="W24" s="1571"/>
      <c r="X24" s="1564"/>
      <c r="Y24" s="3386"/>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386"/>
      <c r="Q25" s="1569" t="str">
        <f>B25</f>
        <v>毗邻道路的类型与等级</v>
      </c>
      <c r="R25" s="1570" t="s">
        <v>8</v>
      </c>
      <c r="S25" s="1571">
        <f>F25</f>
        <v>100</v>
      </c>
      <c r="T25" s="1570" t="s">
        <v>8</v>
      </c>
      <c r="U25" s="1571">
        <f>H25</f>
        <v>100</v>
      </c>
      <c r="V25" s="1570" t="s">
        <v>8</v>
      </c>
      <c r="W25" s="1571">
        <f>J25</f>
        <v>100</v>
      </c>
      <c r="X25" s="1564"/>
      <c r="Y25" s="3386"/>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386"/>
      <c r="Q26" s="1569"/>
      <c r="R26" s="1570"/>
      <c r="S26" s="1571"/>
      <c r="T26" s="1570"/>
      <c r="U26" s="1571"/>
      <c r="V26" s="1570"/>
      <c r="W26" s="1571"/>
      <c r="X26" s="1564"/>
      <c r="Y26" s="3386"/>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386"/>
      <c r="Q27" s="1569" t="str">
        <f t="shared" ref="Q27:Q47" si="11">B27</f>
        <v>楼层</v>
      </c>
      <c r="R27" s="1570" t="s">
        <v>8</v>
      </c>
      <c r="S27" s="1571">
        <f>F27</f>
        <v>100</v>
      </c>
      <c r="T27" s="1570" t="s">
        <v>8</v>
      </c>
      <c r="U27" s="1571">
        <f>H27</f>
        <v>100</v>
      </c>
      <c r="V27" s="1570" t="s">
        <v>8</v>
      </c>
      <c r="W27" s="1571">
        <f>J27</f>
        <v>100</v>
      </c>
      <c r="X27" s="1564"/>
      <c r="Y27" s="3386"/>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386"/>
      <c r="Q28" s="1147" t="str">
        <f t="shared" si="11"/>
        <v>朝向</v>
      </c>
      <c r="R28" s="1565" t="s">
        <v>8</v>
      </c>
      <c r="S28" s="1566">
        <f>F28</f>
        <v>100</v>
      </c>
      <c r="T28" s="1565" t="s">
        <v>8</v>
      </c>
      <c r="U28" s="1566">
        <f>H28</f>
        <v>100</v>
      </c>
      <c r="V28" s="1565" t="s">
        <v>8</v>
      </c>
      <c r="W28" s="1566">
        <f>J28</f>
        <v>100</v>
      </c>
      <c r="X28" s="1567"/>
      <c r="Y28" s="338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386"/>
      <c r="Q29" s="1569">
        <f t="shared" si="11"/>
        <v>111</v>
      </c>
      <c r="R29" s="1570" t="s">
        <v>8</v>
      </c>
      <c r="S29" s="1571">
        <f t="shared" ref="S29:S47" si="12">F29</f>
        <v>100</v>
      </c>
      <c r="T29" s="1570" t="s">
        <v>8</v>
      </c>
      <c r="U29" s="1571">
        <f t="shared" ref="U29:U47" si="13">H29</f>
        <v>100</v>
      </c>
      <c r="V29" s="1570" t="s">
        <v>8</v>
      </c>
      <c r="W29" s="1571">
        <f t="shared" ref="W29:W47" si="14">J29</f>
        <v>100</v>
      </c>
      <c r="X29" s="1564"/>
      <c r="Y29" s="338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386"/>
      <c r="Q32" s="1569">
        <f t="shared" si="11"/>
        <v>111</v>
      </c>
      <c r="R32" s="1570" t="s">
        <v>8</v>
      </c>
      <c r="S32" s="1571">
        <f t="shared" si="12"/>
        <v>100</v>
      </c>
      <c r="T32" s="1570" t="s">
        <v>8</v>
      </c>
      <c r="U32" s="1571">
        <f t="shared" si="13"/>
        <v>100</v>
      </c>
      <c r="V32" s="1570" t="s">
        <v>8</v>
      </c>
      <c r="W32" s="1571">
        <f t="shared" si="14"/>
        <v>100</v>
      </c>
      <c r="X32" s="1564"/>
      <c r="Y32" s="3386"/>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387" t="s">
        <v>551</v>
      </c>
      <c r="Q33" s="1569" t="str">
        <f t="shared" si="11"/>
        <v>建筑类型</v>
      </c>
      <c r="R33" s="1570" t="s">
        <v>8</v>
      </c>
      <c r="S33" s="1571">
        <f t="shared" si="12"/>
        <v>100</v>
      </c>
      <c r="T33" s="1570" t="s">
        <v>8</v>
      </c>
      <c r="U33" s="1571">
        <f t="shared" si="13"/>
        <v>100</v>
      </c>
      <c r="V33" s="1570" t="s">
        <v>8</v>
      </c>
      <c r="W33" s="1571">
        <f t="shared" si="14"/>
        <v>100</v>
      </c>
      <c r="X33" s="1564"/>
      <c r="Y33" s="3388"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388"/>
      <c r="Q34" s="1602" t="str">
        <f t="shared" si="11"/>
        <v>项目建筑规模</v>
      </c>
      <c r="R34" s="1574" t="s">
        <v>8</v>
      </c>
      <c r="S34" s="1575">
        <f t="shared" si="12"/>
        <v>100</v>
      </c>
      <c r="T34" s="1574" t="s">
        <v>8</v>
      </c>
      <c r="U34" s="1575">
        <f t="shared" si="13"/>
        <v>100</v>
      </c>
      <c r="V34" s="1574" t="s">
        <v>8</v>
      </c>
      <c r="W34" s="1575">
        <f t="shared" si="14"/>
        <v>96</v>
      </c>
      <c r="X34" s="1576"/>
      <c r="Y34" s="3388"/>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388"/>
      <c r="Q35" s="1569" t="str">
        <f t="shared" si="11"/>
        <v>建筑结构</v>
      </c>
      <c r="R35" s="1570" t="s">
        <v>8</v>
      </c>
      <c r="S35" s="1571">
        <f t="shared" si="12"/>
        <v>100</v>
      </c>
      <c r="T35" s="1570" t="s">
        <v>8</v>
      </c>
      <c r="U35" s="1571">
        <f t="shared" si="13"/>
        <v>100</v>
      </c>
      <c r="V35" s="1570" t="s">
        <v>8</v>
      </c>
      <c r="W35" s="1571">
        <f t="shared" si="14"/>
        <v>100</v>
      </c>
      <c r="X35" s="1564"/>
      <c r="Y35" s="3388"/>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388"/>
      <c r="Q36" s="1569" t="str">
        <f t="shared" si="11"/>
        <v>公共部分装修</v>
      </c>
      <c r="R36" s="1570" t="s">
        <v>8</v>
      </c>
      <c r="S36" s="1571">
        <f t="shared" si="12"/>
        <v>100</v>
      </c>
      <c r="T36" s="1570" t="s">
        <v>8</v>
      </c>
      <c r="U36" s="1571">
        <f t="shared" si="13"/>
        <v>100</v>
      </c>
      <c r="V36" s="1570" t="s">
        <v>8</v>
      </c>
      <c r="W36" s="1571">
        <f t="shared" si="14"/>
        <v>100</v>
      </c>
      <c r="X36" s="1564"/>
      <c r="Y36" s="3388"/>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388"/>
      <c r="Q37" s="1569" t="str">
        <f t="shared" si="11"/>
        <v>成新度</v>
      </c>
      <c r="R37" s="1570" t="s">
        <v>8</v>
      </c>
      <c r="S37" s="1571">
        <f t="shared" si="12"/>
        <v>100</v>
      </c>
      <c r="T37" s="1570" t="s">
        <v>8</v>
      </c>
      <c r="U37" s="1571">
        <f t="shared" si="13"/>
        <v>100</v>
      </c>
      <c r="V37" s="1570" t="s">
        <v>8</v>
      </c>
      <c r="W37" s="1571">
        <f t="shared" si="14"/>
        <v>100</v>
      </c>
      <c r="X37" s="1564"/>
      <c r="Y37" s="3388"/>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388"/>
      <c r="Q38" s="1147" t="str">
        <f t="shared" si="11"/>
        <v>写字楼等级</v>
      </c>
      <c r="R38" s="1565" t="s">
        <v>8</v>
      </c>
      <c r="S38" s="1566">
        <f t="shared" si="12"/>
        <v>100</v>
      </c>
      <c r="T38" s="1565" t="s">
        <v>8</v>
      </c>
      <c r="U38" s="1566">
        <f t="shared" si="13"/>
        <v>100</v>
      </c>
      <c r="V38" s="1565" t="s">
        <v>8</v>
      </c>
      <c r="W38" s="1566">
        <f t="shared" si="14"/>
        <v>100</v>
      </c>
      <c r="X38" s="1567"/>
      <c r="Y38" s="3388"/>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388" t="s">
        <v>551</v>
      </c>
      <c r="Q39" s="1569" t="str">
        <f t="shared" si="11"/>
        <v>物业管理</v>
      </c>
      <c r="R39" s="1570" t="s">
        <v>8</v>
      </c>
      <c r="S39" s="1571">
        <f t="shared" si="12"/>
        <v>100</v>
      </c>
      <c r="T39" s="1570" t="s">
        <v>8</v>
      </c>
      <c r="U39" s="1571">
        <f t="shared" si="13"/>
        <v>100</v>
      </c>
      <c r="V39" s="1570" t="s">
        <v>8</v>
      </c>
      <c r="W39" s="1571">
        <f t="shared" si="14"/>
        <v>100</v>
      </c>
      <c r="X39" s="1564"/>
      <c r="Y39" s="3388"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388"/>
      <c r="Q40" s="1569" t="str">
        <f t="shared" si="11"/>
        <v>市政基础设施</v>
      </c>
      <c r="R40" s="1570" t="s">
        <v>8</v>
      </c>
      <c r="S40" s="1571">
        <f t="shared" si="12"/>
        <v>100</v>
      </c>
      <c r="T40" s="1570" t="s">
        <v>8</v>
      </c>
      <c r="U40" s="1571">
        <f t="shared" si="13"/>
        <v>100</v>
      </c>
      <c r="V40" s="1570" t="s">
        <v>8</v>
      </c>
      <c r="W40" s="1571">
        <f t="shared" si="14"/>
        <v>100</v>
      </c>
      <c r="X40" s="1564"/>
      <c r="Y40" s="3388"/>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388"/>
      <c r="Q41" s="1569" t="str">
        <f t="shared" si="11"/>
        <v>层高</v>
      </c>
      <c r="R41" s="1570" t="s">
        <v>8</v>
      </c>
      <c r="S41" s="1571">
        <f t="shared" si="12"/>
        <v>100</v>
      </c>
      <c r="T41" s="1570" t="s">
        <v>8</v>
      </c>
      <c r="U41" s="1571">
        <f t="shared" si="13"/>
        <v>100</v>
      </c>
      <c r="V41" s="1570" t="s">
        <v>8</v>
      </c>
      <c r="W41" s="1571">
        <f t="shared" si="14"/>
        <v>100</v>
      </c>
      <c r="X41" s="1564"/>
      <c r="Y41" s="3388"/>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388"/>
      <c r="Q42" s="1602" t="str">
        <f t="shared" si="11"/>
        <v>单套建筑面积</v>
      </c>
      <c r="R42" s="1574" t="s">
        <v>8</v>
      </c>
      <c r="S42" s="1575">
        <f t="shared" si="12"/>
        <v>100</v>
      </c>
      <c r="T42" s="1574" t="s">
        <v>8</v>
      </c>
      <c r="U42" s="1575">
        <f t="shared" si="13"/>
        <v>100</v>
      </c>
      <c r="V42" s="1574" t="s">
        <v>8</v>
      </c>
      <c r="W42" s="1575">
        <f t="shared" si="14"/>
        <v>100</v>
      </c>
      <c r="X42" s="1576"/>
      <c r="Y42" s="3388"/>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388"/>
      <c r="Q43" s="1569" t="str">
        <f t="shared" si="11"/>
        <v>内部装修</v>
      </c>
      <c r="R43" s="1570" t="s">
        <v>8</v>
      </c>
      <c r="S43" s="1571">
        <f t="shared" si="12"/>
        <v>100</v>
      </c>
      <c r="T43" s="1570" t="s">
        <v>8</v>
      </c>
      <c r="U43" s="1571">
        <f t="shared" si="13"/>
        <v>100</v>
      </c>
      <c r="V43" s="1570" t="s">
        <v>8</v>
      </c>
      <c r="W43" s="1571">
        <f t="shared" si="14"/>
        <v>100</v>
      </c>
      <c r="X43" s="1564"/>
      <c r="Y43" s="3388"/>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388"/>
      <c r="Q44" s="1569" t="str">
        <f t="shared" si="11"/>
        <v>内部装修维护情况</v>
      </c>
      <c r="R44" s="1570" t="s">
        <v>8</v>
      </c>
      <c r="S44" s="1571">
        <f t="shared" si="12"/>
        <v>100</v>
      </c>
      <c r="T44" s="1570" t="s">
        <v>8</v>
      </c>
      <c r="U44" s="1571">
        <f t="shared" si="13"/>
        <v>100</v>
      </c>
      <c r="V44" s="1570" t="s">
        <v>8</v>
      </c>
      <c r="W44" s="1571">
        <f t="shared" si="14"/>
        <v>100</v>
      </c>
      <c r="X44" s="1564"/>
      <c r="Y44" s="338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388"/>
      <c r="Q45" s="1147">
        <f t="shared" si="11"/>
        <v>111</v>
      </c>
      <c r="R45" s="1565" t="s">
        <v>8</v>
      </c>
      <c r="S45" s="1566">
        <f t="shared" si="12"/>
        <v>100</v>
      </c>
      <c r="T45" s="1565" t="s">
        <v>8</v>
      </c>
      <c r="U45" s="1566">
        <f t="shared" si="13"/>
        <v>100</v>
      </c>
      <c r="V45" s="1565" t="s">
        <v>8</v>
      </c>
      <c r="W45" s="1566">
        <f t="shared" si="14"/>
        <v>100</v>
      </c>
      <c r="X45" s="1567"/>
      <c r="Y45" s="338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388"/>
      <c r="Q46" s="1569">
        <f t="shared" si="11"/>
        <v>111</v>
      </c>
      <c r="R46" s="1570" t="s">
        <v>8</v>
      </c>
      <c r="S46" s="1571">
        <f t="shared" si="12"/>
        <v>100</v>
      </c>
      <c r="T46" s="1570" t="s">
        <v>8</v>
      </c>
      <c r="U46" s="1571">
        <f t="shared" si="13"/>
        <v>100</v>
      </c>
      <c r="V46" s="1570" t="s">
        <v>8</v>
      </c>
      <c r="W46" s="1571">
        <f t="shared" si="14"/>
        <v>100</v>
      </c>
      <c r="X46" s="1564"/>
      <c r="Y46" s="338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6"/>
      <c r="Q47" s="1569">
        <f t="shared" si="11"/>
        <v>111</v>
      </c>
      <c r="R47" s="1570" t="s">
        <v>8</v>
      </c>
      <c r="S47" s="1571">
        <f t="shared" si="12"/>
        <v>100</v>
      </c>
      <c r="T47" s="1570" t="s">
        <v>8</v>
      </c>
      <c r="U47" s="1571">
        <f t="shared" si="13"/>
        <v>100</v>
      </c>
      <c r="V47" s="1570" t="s">
        <v>8</v>
      </c>
      <c r="W47" s="1571">
        <f t="shared" si="14"/>
        <v>100</v>
      </c>
      <c r="X47" s="1564"/>
      <c r="Y47" s="3466"/>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406" t="str">
        <f>A48</f>
        <v>成交单价（元/平方米）</v>
      </c>
      <c r="Q48" s="3383"/>
      <c r="R48" s="3465">
        <f>E48</f>
        <v>21560</v>
      </c>
      <c r="S48" s="3465"/>
      <c r="T48" s="3465">
        <f>G48</f>
        <v>18620</v>
      </c>
      <c r="U48" s="3465"/>
      <c r="V48" s="3465">
        <f>I48</f>
        <v>16660</v>
      </c>
      <c r="W48" s="3465"/>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406" t="str">
        <f>A49</f>
        <v>比较价格（元/平方米）</v>
      </c>
      <c r="Q49" s="3383"/>
      <c r="R49" s="3465">
        <f>IF(F1="售价",ROUND(PRODUCT(R48,AA7:AA47),0),ROUND(PRODUCT(R48,AA7:AA47),1))</f>
        <v>18748</v>
      </c>
      <c r="S49" s="3465"/>
      <c r="T49" s="3465">
        <f>IF(F1="售价",ROUND(PRODUCT(T48,AB7:AB47),0),ROUND(PRODUCT(T48,AB7:AB47),1))</f>
        <v>17733</v>
      </c>
      <c r="U49" s="3465"/>
      <c r="V49" s="3465">
        <f>IF(F1="售价",ROUND(PRODUCT(V48,AC7:AC47),0),ROUND(PRODUCT(V48,AC7:AC47),1))</f>
        <v>19217</v>
      </c>
      <c r="W49" s="3465"/>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70" t="str">
        <f>A50</f>
        <v>估价对象XX用房的比较价格（楼面单价，元/平方米）</v>
      </c>
      <c r="Q50" s="3406"/>
      <c r="R50" s="3464">
        <f>IF(F1="售价",ROUND(AVERAGE(R49:V49),0),ROUND(AVERAGE(R49:V49),1))</f>
        <v>18566</v>
      </c>
      <c r="S50" s="3464"/>
      <c r="T50" s="3464"/>
      <c r="U50" s="3464"/>
      <c r="V50" s="3464"/>
      <c r="W50" s="3464"/>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36.33</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15975</v>
      </c>
      <c r="C2" s="2055"/>
      <c r="D2" s="2053"/>
      <c r="E2" s="2054"/>
      <c r="F2" s="2054"/>
      <c r="G2" s="1587"/>
      <c r="H2" s="2055"/>
      <c r="I2" s="2055"/>
      <c r="J2" s="2055"/>
      <c r="K2" s="2056"/>
      <c r="L2" s="2055"/>
      <c r="M2" s="2055"/>
    </row>
    <row r="3" spans="1:33" ht="18" customHeight="1" thickBot="1">
      <c r="A3" s="830" t="s">
        <v>1729</v>
      </c>
      <c r="B3" s="831">
        <f ca="1">IF(ISERROR(B2*10000/F43),0,ROUND(B2*10000/F43,0))</f>
        <v>22821</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5" t="s">
        <v>2469</v>
      </c>
      <c r="C6" s="780">
        <f ca="1">ROUND(F6*F8*F7*(1-F9)/10000,0)</f>
        <v>920</v>
      </c>
      <c r="D6" s="2519" t="s">
        <v>2468</v>
      </c>
      <c r="E6" s="781" t="s">
        <v>1740</v>
      </c>
      <c r="F6" s="782">
        <f ca="1">INDIRECT("'数据-取费表'!u"&amp;$G$1)</f>
        <v>4</v>
      </c>
      <c r="G6" s="1589"/>
      <c r="H6" s="2526" t="s">
        <v>2475</v>
      </c>
      <c r="I6" s="3445" t="s">
        <v>2469</v>
      </c>
      <c r="J6" s="780">
        <f ca="1">ROUND(M6*M8*M7*(1-M9)/10000,0)</f>
        <v>0</v>
      </c>
      <c r="K6" s="338" t="s">
        <v>1739</v>
      </c>
      <c r="L6" s="781" t="s">
        <v>1740</v>
      </c>
      <c r="M6" s="782">
        <f ca="1">INDIRECT("'数据-取费表'!z"&amp;$G$1)</f>
        <v>0</v>
      </c>
    </row>
    <row r="7" spans="1:33" ht="18" customHeight="1">
      <c r="A7" s="2522"/>
      <c r="B7" s="3446"/>
      <c r="C7" s="785"/>
      <c r="D7" s="786"/>
      <c r="E7" s="781" t="s">
        <v>1741</v>
      </c>
      <c r="F7" s="782">
        <f ca="1">IF(INDIRECT("'数据-取费表'!ah"&amp;$G$1)="",INDIRECT("'数据-取费表'!k"&amp;$G$1),INDIRECT("'数据-取费表'!ah"&amp;$G$1))</f>
        <v>7000</v>
      </c>
      <c r="G7" s="1589"/>
      <c r="H7" s="2511"/>
      <c r="I7" s="3446"/>
      <c r="J7" s="785"/>
      <c r="K7" s="786"/>
      <c r="L7" s="781" t="s">
        <v>1741</v>
      </c>
      <c r="M7" s="782">
        <f ca="1">F7</f>
        <v>7000</v>
      </c>
    </row>
    <row r="8" spans="1:33" ht="18" customHeight="1">
      <c r="A8" s="2515"/>
      <c r="B8" s="3447"/>
      <c r="C8" s="785"/>
      <c r="D8" s="786"/>
      <c r="E8" s="781" t="s">
        <v>1742</v>
      </c>
      <c r="F8" s="782">
        <f ca="1">INDIRECT("'数据-取费表'!ai"&amp;$G$1)</f>
        <v>365</v>
      </c>
      <c r="G8" s="1589"/>
      <c r="H8" s="2511"/>
      <c r="I8" s="3447"/>
      <c r="J8" s="785"/>
      <c r="K8" s="786"/>
      <c r="L8" s="781" t="s">
        <v>1742</v>
      </c>
      <c r="M8" s="782">
        <f ca="1">INDIRECT("'数据-取费表'!ai"&amp;$G$1)</f>
        <v>365</v>
      </c>
    </row>
    <row r="9" spans="1:33" ht="18" customHeight="1">
      <c r="A9" s="783"/>
      <c r="B9" s="3448"/>
      <c r="C9" s="785"/>
      <c r="D9" s="786"/>
      <c r="E9" s="781" t="s">
        <v>1743</v>
      </c>
      <c r="F9" s="791">
        <f ca="1">INDIRECT("'数据-取费表'!w"&amp;$G$1)</f>
        <v>0.1</v>
      </c>
      <c r="G9" s="1589"/>
      <c r="H9" s="2527"/>
      <c r="I9" s="3447"/>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3844</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3844</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110</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33</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32.299999999999997</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77</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233</v>
      </c>
      <c r="D23" s="2593" t="str">
        <f>IF(F23&lt;=1,"(建造成本+管理费用)×利率×(建设周期÷2)","(建造成本+管理费用)×((1+利率)^(建设周期÷2)-1)")</f>
        <v>(建造成本+管理费用)×((1+利率)^(建设周期÷2)-1)</v>
      </c>
      <c r="E23" s="781" t="s">
        <v>1772</v>
      </c>
      <c r="F23" s="637">
        <f>'数据-取费表'!B20</f>
        <v>3.5</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1.6999999999999999E-3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-110</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3844</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183</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82.2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32.299999999999997</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327</v>
      </c>
      <c r="K35" s="2076"/>
      <c r="L35" s="2075"/>
      <c r="M35" s="2075"/>
    </row>
    <row r="36" spans="1:18" ht="18" customHeight="1">
      <c r="A36" s="1646" t="s">
        <v>1891</v>
      </c>
      <c r="B36" s="781" t="s">
        <v>1804</v>
      </c>
      <c r="C36" s="53">
        <f ca="1">ROUND(C29*F36,1)</f>
        <v>76.900000000000006</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5.8</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738</v>
      </c>
      <c r="D39" s="2570" t="s">
        <v>1808</v>
      </c>
      <c r="E39" s="2571"/>
      <c r="F39" s="2572"/>
      <c r="G39" s="2060"/>
      <c r="H39" s="2075"/>
      <c r="I39" s="834" t="s">
        <v>1820</v>
      </c>
      <c r="J39" s="842">
        <f ca="1">ROUND(J35/C39,3)</f>
        <v>0.443</v>
      </c>
      <c r="K39" s="2081"/>
      <c r="L39" s="2075"/>
      <c r="M39" s="2075"/>
    </row>
    <row r="40" spans="1:18" ht="18" customHeight="1">
      <c r="A40" s="778" t="s">
        <v>1897</v>
      </c>
      <c r="B40" s="2230" t="s">
        <v>2305</v>
      </c>
      <c r="C40" s="780">
        <f ca="1">ROUND(C39*(1-((1+F42)/(1+F40))^F41)/(F40-F42),0)</f>
        <v>15975</v>
      </c>
      <c r="D40" s="811" t="s">
        <v>1809</v>
      </c>
      <c r="E40" s="781" t="s">
        <v>2424</v>
      </c>
      <c r="F40" s="791">
        <f ca="1">INDIRECT("'数据-取费表'!I"&amp;$G$1)</f>
        <v>5.5E-2</v>
      </c>
      <c r="G40" s="2060"/>
      <c r="H40" s="2060"/>
      <c r="I40" s="834" t="s">
        <v>1821</v>
      </c>
      <c r="J40" s="842">
        <f ca="1">1-J39</f>
        <v>0.55699999999999994</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36.33</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0.24099999999999999</v>
      </c>
      <c r="K42" s="2080"/>
      <c r="L42" s="1986"/>
      <c r="M42" s="1986"/>
    </row>
    <row r="43" spans="1:18" ht="18" customHeight="1" thickBot="1">
      <c r="A43" s="820" t="s">
        <v>1789</v>
      </c>
      <c r="B43" s="821" t="s">
        <v>1812</v>
      </c>
      <c r="C43" s="822">
        <f ca="1">ROUND(C40*10000/F43,0)</f>
        <v>22821</v>
      </c>
      <c r="D43" s="823" t="s">
        <v>1813</v>
      </c>
      <c r="E43" s="824" t="s">
        <v>1814</v>
      </c>
      <c r="F43" s="825">
        <f ca="1">INDIRECT("'数据-取费表'!k"&amp;$G$1)</f>
        <v>7000</v>
      </c>
      <c r="G43" s="2060"/>
      <c r="H43" s="1986"/>
      <c r="I43" s="844" t="s">
        <v>1824</v>
      </c>
      <c r="J43" s="845">
        <f ca="1">1-J42</f>
        <v>0.75900000000000001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-17783</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39.83</v>
      </c>
      <c r="O48" s="2420" t="s">
        <v>2384</v>
      </c>
      <c r="P48" s="2421" t="s">
        <v>2410</v>
      </c>
      <c r="Q48" s="2422">
        <f ca="1">C40+J29</f>
        <v>15975</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3844</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7047</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36.33</v>
      </c>
      <c r="K53" s="3471" t="s">
        <v>2980</v>
      </c>
      <c r="L53" s="3472"/>
      <c r="O53" s="2423" t="s">
        <v>2393</v>
      </c>
      <c r="P53" s="2421" t="s">
        <v>2394</v>
      </c>
      <c r="Q53" s="2422">
        <f ca="1">J53</f>
        <v>36.33</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15975</v>
      </c>
      <c r="R54" s="2425" t="s">
        <v>2397</v>
      </c>
    </row>
    <row r="55" spans="1:18" s="2057" customFormat="1" ht="18" customHeight="1" thickTop="1" thickBot="1">
      <c r="A55" s="794">
        <v>2</v>
      </c>
      <c r="B55" s="795" t="s">
        <v>645</v>
      </c>
      <c r="C55" s="796">
        <f ca="1">C13</f>
        <v>3844</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3844</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116</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15975</v>
      </c>
      <c r="R57" s="2421" t="s">
        <v>2385</v>
      </c>
    </row>
    <row r="58" spans="1:18" s="2057" customFormat="1" ht="28.5" customHeight="1" thickBot="1">
      <c r="A58" s="1646" t="s">
        <v>1826</v>
      </c>
      <c r="B58" s="781" t="s">
        <v>657</v>
      </c>
      <c r="C58" s="53">
        <f ca="1">ROUND(IF(项目基本情况!B11="自然人",C47*F58,C59+C60+C61),1)</f>
        <v>33.1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32.299999999999997</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76.900000000000006</v>
      </c>
      <c r="D63" s="2662" t="s">
        <v>1805</v>
      </c>
      <c r="E63" s="781" t="s">
        <v>1749</v>
      </c>
      <c r="F63" s="814">
        <f t="shared" ca="1" si="0"/>
        <v>0.02</v>
      </c>
      <c r="I63" s="2407" t="s">
        <v>2375</v>
      </c>
      <c r="J63" s="2408">
        <v>70</v>
      </c>
      <c r="K63" s="2408">
        <v>50</v>
      </c>
      <c r="L63" s="2408">
        <v>80</v>
      </c>
      <c r="M63" s="3129">
        <v>0.02</v>
      </c>
      <c r="O63" s="2420" t="s">
        <v>2396</v>
      </c>
      <c r="P63" s="2421" t="s">
        <v>2413</v>
      </c>
      <c r="Q63" s="2422">
        <f ca="1">Q57+Q58</f>
        <v>15975</v>
      </c>
      <c r="R63" s="2425" t="s">
        <v>2397</v>
      </c>
    </row>
    <row r="64" spans="1:18" s="2057" customFormat="1" ht="16.5" thickBot="1">
      <c r="A64" s="1646" t="s">
        <v>1892</v>
      </c>
      <c r="B64" s="781" t="s">
        <v>680</v>
      </c>
      <c r="C64" s="53">
        <f ca="1">ROUND(C55*F64,1)</f>
        <v>5.8</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-116</v>
      </c>
      <c r="D66" s="2661" t="s">
        <v>701</v>
      </c>
      <c r="E66" s="2660"/>
      <c r="F66" s="817"/>
      <c r="K66" s="2084"/>
      <c r="O66" s="2420" t="s">
        <v>2384</v>
      </c>
      <c r="P66" s="2421" t="s">
        <v>2414</v>
      </c>
      <c r="Q66" s="2422">
        <f ca="1">C40+J29</f>
        <v>15975</v>
      </c>
      <c r="R66" s="2421" t="s">
        <v>2385</v>
      </c>
    </row>
    <row r="67" spans="1:18" s="2057" customFormat="1" ht="20.25" thickBot="1">
      <c r="A67" s="778" t="s">
        <v>1782</v>
      </c>
      <c r="B67" s="2230" t="s">
        <v>2305</v>
      </c>
      <c r="C67" s="780">
        <f ca="1">ROUND(C66*(1-((1+F69)/(1+F67))^F68)/(F67-F69),0)</f>
        <v>-1808</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36.33</v>
      </c>
      <c r="O68" s="2423" t="s">
        <v>2388</v>
      </c>
      <c r="P68" s="2421" t="s">
        <v>2418</v>
      </c>
      <c r="Q68" s="2427">
        <f ca="1">L51</f>
        <v>7047</v>
      </c>
      <c r="R68" s="2428" t="s">
        <v>2421</v>
      </c>
    </row>
    <row r="69" spans="1:18" ht="20.25" thickBot="1">
      <c r="A69" s="787"/>
      <c r="B69" s="788"/>
      <c r="C69" s="789"/>
      <c r="D69" s="813"/>
      <c r="E69" s="781" t="s">
        <v>711</v>
      </c>
      <c r="F69" s="2369"/>
      <c r="O69" s="2423" t="s">
        <v>2389</v>
      </c>
      <c r="P69" s="2429" t="s">
        <v>2403</v>
      </c>
      <c r="Q69" s="2422">
        <f ca="1">ROUND(Q70-Q71*Q72,0)</f>
        <v>411</v>
      </c>
      <c r="R69" s="2425"/>
    </row>
    <row r="70" spans="1:18" ht="15.75" thickBot="1">
      <c r="A70" s="820" t="s">
        <v>1789</v>
      </c>
      <c r="B70" s="821" t="s">
        <v>1812</v>
      </c>
      <c r="C70" s="822">
        <f ca="1">ROUND(C67*10000/F70,0)</f>
        <v>-2583</v>
      </c>
      <c r="D70" s="823" t="s">
        <v>1813</v>
      </c>
      <c r="E70" s="824" t="s">
        <v>1814</v>
      </c>
      <c r="F70" s="825">
        <f ca="1">F43</f>
        <v>7000</v>
      </c>
      <c r="O70" s="2423" t="s">
        <v>2404</v>
      </c>
      <c r="P70" s="2429" t="s">
        <v>2405</v>
      </c>
      <c r="Q70" s="2422">
        <f ca="1">C39</f>
        <v>738</v>
      </c>
      <c r="R70" s="2421" t="s">
        <v>2385</v>
      </c>
    </row>
    <row r="71" spans="1:18" ht="15.75" thickBot="1">
      <c r="O71" s="2423" t="s">
        <v>2406</v>
      </c>
      <c r="P71" s="2429" t="s">
        <v>2407</v>
      </c>
      <c r="Q71" s="2422">
        <f ca="1">C13</f>
        <v>3844</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15975</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2478</v>
      </c>
      <c r="B1" s="3490"/>
      <c r="C1" s="3491"/>
      <c r="D1" s="3492">
        <f>SUM(I10,I15,I20,I21,I23)</f>
        <v>0</v>
      </c>
      <c r="E1" s="3492"/>
      <c r="F1" s="3492"/>
      <c r="G1" s="3492"/>
      <c r="H1" s="3492"/>
      <c r="I1" s="3493"/>
    </row>
    <row r="2" spans="1:9">
      <c r="A2" s="3479" t="s">
        <v>2479</v>
      </c>
      <c r="B2" s="3480" t="s">
        <v>2480</v>
      </c>
      <c r="C2" s="3480"/>
      <c r="D2" s="2529" t="s">
        <v>2481</v>
      </c>
      <c r="E2" s="2529" t="s">
        <v>2482</v>
      </c>
      <c r="F2" s="2529" t="s">
        <v>2483</v>
      </c>
      <c r="G2" s="2529" t="s">
        <v>2484</v>
      </c>
      <c r="H2" s="2529" t="s">
        <v>2485</v>
      </c>
      <c r="I2" s="2530" t="s">
        <v>2486</v>
      </c>
    </row>
    <row r="3" spans="1:9">
      <c r="A3" s="3479"/>
      <c r="B3" s="3480" t="s">
        <v>2487</v>
      </c>
      <c r="C3" s="3480"/>
      <c r="D3" s="2531"/>
      <c r="E3" s="2529"/>
      <c r="F3" s="2532"/>
      <c r="G3" s="2532"/>
      <c r="H3" s="2533"/>
      <c r="I3" s="2534">
        <f>ROUND(D3*E3*F3*G3*H3/10000,0)</f>
        <v>0</v>
      </c>
    </row>
    <row r="4" spans="1:9">
      <c r="A4" s="3479"/>
      <c r="B4" s="3480" t="s">
        <v>2488</v>
      </c>
      <c r="C4" s="3480"/>
      <c r="D4" s="2531"/>
      <c r="E4" s="2529"/>
      <c r="F4" s="2532"/>
      <c r="G4" s="2532"/>
      <c r="H4" s="2533"/>
      <c r="I4" s="2534">
        <f t="shared" ref="I4:I9" si="0">ROUND(D4*E4*F4*G4*H4/10000,0)</f>
        <v>0</v>
      </c>
    </row>
    <row r="5" spans="1:9">
      <c r="A5" s="3479"/>
      <c r="B5" s="3480" t="s">
        <v>2489</v>
      </c>
      <c r="C5" s="3480"/>
      <c r="D5" s="2531"/>
      <c r="E5" s="2529"/>
      <c r="F5" s="2532"/>
      <c r="G5" s="2532"/>
      <c r="H5" s="2533"/>
      <c r="I5" s="2534">
        <f t="shared" si="0"/>
        <v>0</v>
      </c>
    </row>
    <row r="6" spans="1:9">
      <c r="A6" s="3479"/>
      <c r="B6" s="3480" t="s">
        <v>2490</v>
      </c>
      <c r="C6" s="3480"/>
      <c r="D6" s="2531"/>
      <c r="E6" s="2529"/>
      <c r="F6" s="2532"/>
      <c r="G6" s="2532"/>
      <c r="H6" s="2533"/>
      <c r="I6" s="2534">
        <f t="shared" si="0"/>
        <v>0</v>
      </c>
    </row>
    <row r="7" spans="1:9">
      <c r="A7" s="3479"/>
      <c r="B7" s="3480" t="s">
        <v>2491</v>
      </c>
      <c r="C7" s="3480"/>
      <c r="D7" s="2531"/>
      <c r="E7" s="2529"/>
      <c r="F7" s="2532"/>
      <c r="G7" s="2532"/>
      <c r="H7" s="2533"/>
      <c r="I7" s="2534">
        <f t="shared" si="0"/>
        <v>0</v>
      </c>
    </row>
    <row r="8" spans="1:9">
      <c r="A8" s="3479"/>
      <c r="B8" s="3480" t="s">
        <v>2492</v>
      </c>
      <c r="C8" s="3480"/>
      <c r="D8" s="2531"/>
      <c r="E8" s="2529"/>
      <c r="F8" s="2532"/>
      <c r="G8" s="2532"/>
      <c r="H8" s="2533"/>
      <c r="I8" s="2534">
        <f t="shared" si="0"/>
        <v>0</v>
      </c>
    </row>
    <row r="9" spans="1:9">
      <c r="A9" s="3479"/>
      <c r="B9" s="3480" t="s">
        <v>2493</v>
      </c>
      <c r="C9" s="3480"/>
      <c r="D9" s="2531"/>
      <c r="E9" s="2529"/>
      <c r="F9" s="2532"/>
      <c r="G9" s="2532"/>
      <c r="H9" s="2533"/>
      <c r="I9" s="2534">
        <f t="shared" si="0"/>
        <v>0</v>
      </c>
    </row>
    <row r="10" spans="1:9">
      <c r="A10" s="3479"/>
      <c r="B10" s="3481" t="s">
        <v>2494</v>
      </c>
      <c r="C10" s="3481"/>
      <c r="D10" s="2535">
        <v>527</v>
      </c>
      <c r="E10" s="2535" t="e">
        <f>ROUND(D1*10000/D10/H9,0)</f>
        <v>#DIV/0!</v>
      </c>
      <c r="F10" s="2536"/>
      <c r="G10" s="2536"/>
      <c r="H10" s="2537"/>
      <c r="I10" s="2538">
        <f>SUM(I3:I9)</f>
        <v>0</v>
      </c>
    </row>
    <row r="11" spans="1:9" ht="14.25">
      <c r="A11" s="3479" t="s">
        <v>2495</v>
      </c>
      <c r="B11" s="3480" t="s">
        <v>2496</v>
      </c>
      <c r="C11" s="3480"/>
      <c r="D11" s="2531" t="s">
        <v>2497</v>
      </c>
      <c r="E11" s="2531" t="s">
        <v>2498</v>
      </c>
      <c r="F11" s="2532" t="s">
        <v>2499</v>
      </c>
      <c r="G11" s="2532" t="s">
        <v>2500</v>
      </c>
      <c r="H11" s="2539" t="s">
        <v>2501</v>
      </c>
      <c r="I11" s="2530" t="s">
        <v>2502</v>
      </c>
    </row>
    <row r="12" spans="1:9">
      <c r="A12" s="3479"/>
      <c r="B12" s="3480" t="s">
        <v>2503</v>
      </c>
      <c r="C12" s="3480"/>
      <c r="D12" s="2531"/>
      <c r="E12" s="2531"/>
      <c r="F12" s="2532"/>
      <c r="G12" s="2533"/>
      <c r="H12" s="2540"/>
      <c r="I12" s="2530">
        <f>ROUND(D12*E12*F12*G12/10000,0)</f>
        <v>0</v>
      </c>
    </row>
    <row r="13" spans="1:9">
      <c r="A13" s="3479"/>
      <c r="B13" s="3480" t="s">
        <v>2504</v>
      </c>
      <c r="C13" s="3480"/>
      <c r="D13" s="2531"/>
      <c r="E13" s="2531"/>
      <c r="F13" s="2532"/>
      <c r="G13" s="2533"/>
      <c r="H13" s="2540"/>
      <c r="I13" s="2530">
        <f>ROUND(D13*E13*F13*G13/10000,0)</f>
        <v>0</v>
      </c>
    </row>
    <row r="14" spans="1:9">
      <c r="A14" s="3479"/>
      <c r="B14" s="3480" t="s">
        <v>2505</v>
      </c>
      <c r="C14" s="3480"/>
      <c r="D14" s="2531"/>
      <c r="E14" s="2531"/>
      <c r="F14" s="2532"/>
      <c r="G14" s="2533"/>
      <c r="H14" s="2540"/>
      <c r="I14" s="2530">
        <f>ROUND(D14*E14*F14*G14/10000,0)</f>
        <v>0</v>
      </c>
    </row>
    <row r="15" spans="1:9">
      <c r="A15" s="3479"/>
      <c r="B15" s="3481" t="s">
        <v>2494</v>
      </c>
      <c r="C15" s="3481"/>
      <c r="D15" s="2535"/>
      <c r="E15" s="2535">
        <f>SUM(E12:E14)</f>
        <v>0</v>
      </c>
      <c r="F15" s="2536"/>
      <c r="G15" s="2533"/>
      <c r="H15" s="2540"/>
      <c r="I15" s="2541">
        <f>SUM(I12:I14)</f>
        <v>0</v>
      </c>
    </row>
    <row r="16" spans="1:9" ht="24">
      <c r="A16" s="3479" t="s">
        <v>2506</v>
      </c>
      <c r="B16" s="3480" t="s">
        <v>2507</v>
      </c>
      <c r="C16" s="3480"/>
      <c r="D16" s="2531" t="s">
        <v>2508</v>
      </c>
      <c r="E16" s="2542" t="s">
        <v>2509</v>
      </c>
      <c r="F16" s="2532" t="s">
        <v>2510</v>
      </c>
      <c r="G16" s="2533" t="s">
        <v>2500</v>
      </c>
      <c r="H16" s="2539" t="s">
        <v>2501</v>
      </c>
      <c r="I16" s="2530" t="s">
        <v>2502</v>
      </c>
    </row>
    <row r="17" spans="1:9" ht="14.25">
      <c r="A17" s="3479"/>
      <c r="B17" s="3480" t="s">
        <v>2511</v>
      </c>
      <c r="C17" s="3480"/>
      <c r="D17" s="2531"/>
      <c r="E17" s="2531"/>
      <c r="F17" s="2532"/>
      <c r="G17" s="2533"/>
      <c r="H17" s="2543"/>
      <c r="I17" s="2544">
        <f>ROUND(D17*E17*F17*G17/10000,0)</f>
        <v>0</v>
      </c>
    </row>
    <row r="18" spans="1:9" ht="14.25">
      <c r="A18" s="3479"/>
      <c r="B18" s="3480" t="s">
        <v>2512</v>
      </c>
      <c r="C18" s="3480"/>
      <c r="D18" s="2531"/>
      <c r="E18" s="2531"/>
      <c r="F18" s="2532"/>
      <c r="G18" s="2533"/>
      <c r="H18" s="2543"/>
      <c r="I18" s="2544">
        <f>ROUND(D18*E18*F18*G18/10000,0)</f>
        <v>0</v>
      </c>
    </row>
    <row r="19" spans="1:9" ht="14.25">
      <c r="A19" s="3479"/>
      <c r="B19" s="3480" t="s">
        <v>2513</v>
      </c>
      <c r="C19" s="3480"/>
      <c r="D19" s="2531"/>
      <c r="E19" s="2531"/>
      <c r="F19" s="2532"/>
      <c r="G19" s="2533"/>
      <c r="H19" s="2543"/>
      <c r="I19" s="2544">
        <f>ROUND(D19*E19*F19*G19/10000,0)</f>
        <v>0</v>
      </c>
    </row>
    <row r="20" spans="1:9">
      <c r="A20" s="3479"/>
      <c r="B20" s="3481" t="s">
        <v>2494</v>
      </c>
      <c r="C20" s="3481"/>
      <c r="D20" s="2535">
        <f>SUM(D17:D19)</f>
        <v>0</v>
      </c>
      <c r="E20" s="2535"/>
      <c r="F20" s="2536"/>
      <c r="G20" s="2533"/>
      <c r="H20" s="2540"/>
      <c r="I20" s="2541">
        <f>SUM(I17:I19)</f>
        <v>0</v>
      </c>
    </row>
    <row r="21" spans="1:9">
      <c r="A21" s="3479" t="s">
        <v>2514</v>
      </c>
      <c r="B21" s="3482"/>
      <c r="C21" s="3482"/>
      <c r="D21" s="3482"/>
      <c r="E21" s="3482"/>
      <c r="F21" s="3482"/>
      <c r="G21" s="3482"/>
      <c r="H21" s="2545">
        <v>0.1</v>
      </c>
      <c r="I21" s="2538">
        <f>ROUND(I10*H21,0)</f>
        <v>0</v>
      </c>
    </row>
    <row r="22" spans="1:9" ht="14.25">
      <c r="A22" s="3483" t="s">
        <v>2515</v>
      </c>
      <c r="B22" s="3484"/>
      <c r="C22" s="3485"/>
      <c r="D22" s="2546" t="s">
        <v>2516</v>
      </c>
      <c r="E22" s="2546" t="s">
        <v>2517</v>
      </c>
      <c r="F22" s="2547" t="s">
        <v>2518</v>
      </c>
      <c r="G22" s="2547" t="s">
        <v>2519</v>
      </c>
      <c r="H22" s="2539" t="s">
        <v>2520</v>
      </c>
      <c r="I22" s="2530" t="s">
        <v>2521</v>
      </c>
    </row>
    <row r="23" spans="1:9" ht="14.25" thickBot="1">
      <c r="A23" s="3486"/>
      <c r="B23" s="3487"/>
      <c r="C23" s="3488"/>
      <c r="D23" s="2548"/>
      <c r="E23" s="2548"/>
      <c r="F23" s="2548"/>
      <c r="G23" s="2549"/>
      <c r="H23" s="2550"/>
      <c r="I23" s="2551">
        <f>ROUND(E23*D23*F23*(1-G23)/10000,0)</f>
        <v>0</v>
      </c>
    </row>
    <row r="26" spans="1:9">
      <c r="A26" s="2552" t="s">
        <v>2522</v>
      </c>
      <c r="B26" s="2552"/>
      <c r="C26" s="2552"/>
      <c r="D26" s="2552"/>
      <c r="E26" s="3476">
        <f>C27-C30-C31-C32</f>
        <v>0</v>
      </c>
      <c r="F26" s="3476"/>
      <c r="G26" s="3476"/>
      <c r="H26" s="3067" t="s">
        <v>2852</v>
      </c>
    </row>
    <row r="27" spans="1:9">
      <c r="A27" s="2553">
        <v>1</v>
      </c>
      <c r="B27" s="2554" t="s">
        <v>2523</v>
      </c>
      <c r="C27" s="2554"/>
      <c r="D27" s="2554"/>
      <c r="E27" s="3477"/>
      <c r="F27" s="3477"/>
      <c r="G27" s="3477"/>
    </row>
    <row r="28" spans="1:9">
      <c r="A28" s="2555" t="s">
        <v>2524</v>
      </c>
      <c r="B28" s="2554" t="s">
        <v>2525</v>
      </c>
      <c r="C28" s="2554"/>
      <c r="D28" s="2554"/>
      <c r="E28" s="3477"/>
      <c r="F28" s="3477"/>
      <c r="G28" s="3477"/>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78"/>
      <c r="F32" s="3478"/>
      <c r="G32" s="3478"/>
    </row>
    <row r="33" spans="1:7" hidden="1">
      <c r="A33" s="3473" t="s">
        <v>2533</v>
      </c>
      <c r="B33" s="3474"/>
      <c r="C33" s="3474"/>
      <c r="D33" s="3475"/>
      <c r="E33" s="3476"/>
      <c r="F33" s="3476"/>
      <c r="G33" s="3476"/>
    </row>
    <row r="34" spans="1:7" hidden="1">
      <c r="A34" s="2557">
        <v>1</v>
      </c>
      <c r="B34" s="2554" t="s">
        <v>2534</v>
      </c>
      <c r="C34" s="2554"/>
      <c r="D34" s="2554"/>
      <c r="E34" s="3477"/>
      <c r="F34" s="3477"/>
      <c r="G34" s="3477"/>
    </row>
    <row r="35" spans="1:7" hidden="1">
      <c r="A35" s="2557">
        <v>2</v>
      </c>
      <c r="B35" s="2554" t="s">
        <v>2535</v>
      </c>
      <c r="C35" s="2554"/>
      <c r="D35" s="2554"/>
      <c r="E35" s="3477"/>
      <c r="F35" s="3477"/>
      <c r="G35" s="3477"/>
    </row>
    <row r="36" spans="1:7" hidden="1">
      <c r="A36" s="2557">
        <v>3</v>
      </c>
      <c r="B36" s="2554" t="s">
        <v>2536</v>
      </c>
      <c r="C36" s="2554"/>
      <c r="D36" s="2554"/>
      <c r="E36" s="3477"/>
      <c r="F36" s="3477"/>
      <c r="G36" s="3477"/>
    </row>
    <row r="37" spans="1:7" hidden="1">
      <c r="A37" s="2557">
        <v>4</v>
      </c>
      <c r="B37" s="2554" t="s">
        <v>2537</v>
      </c>
      <c r="C37" s="2554"/>
      <c r="D37" s="2554"/>
      <c r="E37" s="3477"/>
      <c r="F37" s="3477"/>
      <c r="G37" s="3477"/>
    </row>
    <row r="38" spans="1:7" hidden="1">
      <c r="A38" s="3473" t="s">
        <v>2538</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89" t="s">
        <v>523</v>
      </c>
      <c r="D4" s="3390"/>
      <c r="E4" s="3414" t="s">
        <v>524</v>
      </c>
      <c r="F4" s="3415"/>
      <c r="G4" s="3389" t="s">
        <v>525</v>
      </c>
      <c r="H4" s="3390"/>
      <c r="I4" s="3389" t="s">
        <v>526</v>
      </c>
      <c r="J4" s="3390"/>
      <c r="K4" s="511" t="s">
        <v>527</v>
      </c>
      <c r="L4" s="2131"/>
      <c r="M4" s="2132"/>
      <c r="N4" s="2132"/>
      <c r="O4" s="2132"/>
      <c r="P4" s="3391" t="s">
        <v>528</v>
      </c>
      <c r="Q4" s="3392"/>
      <c r="R4" s="3377" t="s">
        <v>524</v>
      </c>
      <c r="S4" s="3378"/>
      <c r="T4" s="3377" t="s">
        <v>525</v>
      </c>
      <c r="U4" s="3378"/>
      <c r="V4" s="3397" t="s">
        <v>526</v>
      </c>
      <c r="W4" s="3397"/>
      <c r="X4" s="1564"/>
      <c r="Y4" s="3377" t="s">
        <v>528</v>
      </c>
      <c r="Z4" s="3378"/>
      <c r="AA4" s="3372" t="s">
        <v>524</v>
      </c>
      <c r="AB4" s="3397" t="s">
        <v>525</v>
      </c>
      <c r="AC4" s="3372" t="s">
        <v>526</v>
      </c>
    </row>
    <row r="5" spans="1:29" ht="15">
      <c r="A5" s="512"/>
      <c r="B5" s="513"/>
      <c r="C5" s="3400" t="s">
        <v>2940</v>
      </c>
      <c r="D5" s="3401"/>
      <c r="E5" s="3416" t="s">
        <v>2941</v>
      </c>
      <c r="F5" s="3417"/>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97"/>
      <c r="AC5" s="3373"/>
    </row>
    <row r="6" spans="1:29" ht="15.75" thickBot="1">
      <c r="A6" s="514"/>
      <c r="B6" s="515"/>
      <c r="C6" s="3418" t="s">
        <v>2944</v>
      </c>
      <c r="D6" s="3399"/>
      <c r="E6" s="3419" t="s">
        <v>2944</v>
      </c>
      <c r="F6" s="3420"/>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97"/>
      <c r="AC6" s="3374"/>
    </row>
    <row r="7" spans="1:29" s="1216" customFormat="1" ht="15.75" thickBot="1">
      <c r="A7" s="2935"/>
      <c r="B7" s="2942" t="s">
        <v>530</v>
      </c>
      <c r="C7" s="516">
        <f>'数据-取费表'!B2</f>
        <v>43123</v>
      </c>
      <c r="D7" s="517">
        <v>100</v>
      </c>
      <c r="E7" s="518"/>
      <c r="F7" s="519">
        <f>SUMIF(58:58,YEAR(E7)&amp;"-"&amp;MONTH(E7),59:59)</f>
        <v>0</v>
      </c>
      <c r="G7" s="518"/>
      <c r="H7" s="517">
        <f>SUMIF(58:58,YEAR(G7)&amp;"-"&amp;MONTH(G7),59:59)</f>
        <v>0</v>
      </c>
      <c r="I7" s="518"/>
      <c r="J7" s="517">
        <f>SUMIF(58:58,YEAR(I7)&amp;"-"&amp;MONTH(I7),59:59)</f>
        <v>0</v>
      </c>
      <c r="K7" s="521"/>
      <c r="L7" s="2133"/>
      <c r="M7" s="2134"/>
      <c r="N7" s="2134"/>
      <c r="O7" s="2134"/>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83"/>
      <c r="Q11" s="1147" t="str">
        <f t="shared" si="6"/>
        <v>容积率</v>
      </c>
      <c r="R11" s="1565" t="s">
        <v>8</v>
      </c>
      <c r="S11" s="1566" t="e">
        <f t="shared" si="0"/>
        <v>#N/A</v>
      </c>
      <c r="T11" s="1565" t="s">
        <v>8</v>
      </c>
      <c r="U11" s="1566" t="e">
        <f t="shared" si="1"/>
        <v>#N/A</v>
      </c>
      <c r="V11" s="1565" t="s">
        <v>8</v>
      </c>
      <c r="W11" s="1566" t="e">
        <f t="shared" si="2"/>
        <v>#N/A</v>
      </c>
      <c r="X11" s="1567"/>
      <c r="Y11" s="3340"/>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385" t="s">
        <v>541</v>
      </c>
      <c r="Q15" s="1569" t="str">
        <f t="shared" si="6"/>
        <v>商业繁华度</v>
      </c>
      <c r="R15" s="1570" t="s">
        <v>8</v>
      </c>
      <c r="S15" s="1571">
        <f t="shared" si="0"/>
        <v>100</v>
      </c>
      <c r="T15" s="1570" t="s">
        <v>8</v>
      </c>
      <c r="U15" s="1571">
        <f t="shared" si="1"/>
        <v>100</v>
      </c>
      <c r="V15" s="1570" t="s">
        <v>8</v>
      </c>
      <c r="W15" s="1571">
        <f t="shared" si="2"/>
        <v>100</v>
      </c>
      <c r="X15" s="1564"/>
      <c r="Y15" s="3385"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386"/>
      <c r="Q22" s="2601"/>
      <c r="R22" s="1570"/>
      <c r="S22" s="1571"/>
      <c r="T22" s="1570"/>
      <c r="U22" s="1571"/>
      <c r="V22" s="1570"/>
      <c r="W22" s="1571"/>
      <c r="X22" s="2603"/>
      <c r="Y22" s="3386"/>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386"/>
      <c r="Q23" s="1569" t="str">
        <f>B23</f>
        <v>自然及人文环境</v>
      </c>
      <c r="R23" s="1570" t="s">
        <v>8</v>
      </c>
      <c r="S23" s="1571">
        <f>F23</f>
        <v>100</v>
      </c>
      <c r="T23" s="1570" t="s">
        <v>8</v>
      </c>
      <c r="U23" s="1571">
        <f>H23</f>
        <v>100</v>
      </c>
      <c r="V23" s="1570" t="s">
        <v>8</v>
      </c>
      <c r="W23" s="1571">
        <f>J23</f>
        <v>100</v>
      </c>
      <c r="X23" s="1564"/>
      <c r="Y23" s="338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386"/>
      <c r="Q25" s="1569" t="str">
        <f t="shared" ref="Q25:Q46" si="11">B25</f>
        <v>临街状况</v>
      </c>
      <c r="R25" s="1570" t="s">
        <v>8</v>
      </c>
      <c r="S25" s="1571">
        <f>F25</f>
        <v>100</v>
      </c>
      <c r="T25" s="1570" t="s">
        <v>8</v>
      </c>
      <c r="U25" s="1571">
        <f>H25</f>
        <v>100</v>
      </c>
      <c r="V25" s="1570" t="s">
        <v>8</v>
      </c>
      <c r="W25" s="1571">
        <f>J25</f>
        <v>100</v>
      </c>
      <c r="X25" s="1564"/>
      <c r="Y25" s="3386"/>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386"/>
      <c r="Q26" s="1569" t="str">
        <f t="shared" si="11"/>
        <v>平面位置/可视性</v>
      </c>
      <c r="R26" s="1570" t="s">
        <v>8</v>
      </c>
      <c r="S26" s="1571">
        <f>F26</f>
        <v>100</v>
      </c>
      <c r="T26" s="1570" t="s">
        <v>8</v>
      </c>
      <c r="U26" s="1571">
        <f>H26</f>
        <v>100</v>
      </c>
      <c r="V26" s="1570" t="s">
        <v>8</v>
      </c>
      <c r="W26" s="1571">
        <f>J26</f>
        <v>100</v>
      </c>
      <c r="X26" s="1564"/>
      <c r="Y26" s="3386"/>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386"/>
      <c r="Q27" s="1147" t="str">
        <f t="shared" si="11"/>
        <v>人流量</v>
      </c>
      <c r="R27" s="1565" t="s">
        <v>8</v>
      </c>
      <c r="S27" s="1566">
        <f>F27</f>
        <v>100</v>
      </c>
      <c r="T27" s="1565" t="s">
        <v>8</v>
      </c>
      <c r="U27" s="1566">
        <f>H27</f>
        <v>100</v>
      </c>
      <c r="V27" s="1565" t="s">
        <v>8</v>
      </c>
      <c r="W27" s="1566">
        <f>J27</f>
        <v>100</v>
      </c>
      <c r="X27" s="1567"/>
      <c r="Y27" s="3386"/>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38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386"/>
      <c r="Q29" s="1569">
        <f t="shared" si="11"/>
        <v>111</v>
      </c>
      <c r="R29" s="1570" t="s">
        <v>8</v>
      </c>
      <c r="S29" s="1571">
        <f t="shared" si="12"/>
        <v>100</v>
      </c>
      <c r="T29" s="1570" t="s">
        <v>8</v>
      </c>
      <c r="U29" s="1571">
        <f t="shared" si="13"/>
        <v>100</v>
      </c>
      <c r="V29" s="1570" t="s">
        <v>8</v>
      </c>
      <c r="W29" s="1571">
        <f t="shared" si="14"/>
        <v>100</v>
      </c>
      <c r="X29" s="1564"/>
      <c r="Y29" s="338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387" t="s">
        <v>551</v>
      </c>
      <c r="Q32" s="1569" t="str">
        <f t="shared" si="11"/>
        <v>商业类型</v>
      </c>
      <c r="R32" s="1570" t="s">
        <v>8</v>
      </c>
      <c r="S32" s="1571">
        <f t="shared" si="12"/>
        <v>100</v>
      </c>
      <c r="T32" s="1570" t="s">
        <v>8</v>
      </c>
      <c r="U32" s="1571">
        <f t="shared" si="13"/>
        <v>100</v>
      </c>
      <c r="V32" s="1570" t="s">
        <v>8</v>
      </c>
      <c r="W32" s="1571">
        <f t="shared" si="14"/>
        <v>100</v>
      </c>
      <c r="X32" s="1564"/>
      <c r="Y32" s="3388"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388"/>
      <c r="Q33" s="1602" t="str">
        <f t="shared" si="11"/>
        <v>项目建筑规模</v>
      </c>
      <c r="R33" s="1574" t="s">
        <v>8</v>
      </c>
      <c r="S33" s="1575" t="e">
        <f t="shared" si="12"/>
        <v>#N/A</v>
      </c>
      <c r="T33" s="1574" t="s">
        <v>8</v>
      </c>
      <c r="U33" s="1575" t="e">
        <f t="shared" si="13"/>
        <v>#N/A</v>
      </c>
      <c r="V33" s="1574" t="s">
        <v>8</v>
      </c>
      <c r="W33" s="1575" t="e">
        <f t="shared" si="14"/>
        <v>#N/A</v>
      </c>
      <c r="X33" s="1576"/>
      <c r="Y33" s="3388"/>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388"/>
      <c r="Q34" s="1569" t="str">
        <f t="shared" si="11"/>
        <v>建筑结构</v>
      </c>
      <c r="R34" s="1570" t="s">
        <v>8</v>
      </c>
      <c r="S34" s="1571">
        <f t="shared" si="12"/>
        <v>100</v>
      </c>
      <c r="T34" s="1570" t="s">
        <v>8</v>
      </c>
      <c r="U34" s="1571">
        <f t="shared" si="13"/>
        <v>100</v>
      </c>
      <c r="V34" s="1570" t="s">
        <v>8</v>
      </c>
      <c r="W34" s="1571">
        <f t="shared" si="14"/>
        <v>100</v>
      </c>
      <c r="X34" s="1564"/>
      <c r="Y34" s="3388"/>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388"/>
      <c r="Q35" s="1569" t="str">
        <f t="shared" si="11"/>
        <v>公共部分装修</v>
      </c>
      <c r="R35" s="1570" t="s">
        <v>8</v>
      </c>
      <c r="S35" s="1571">
        <f t="shared" si="12"/>
        <v>100</v>
      </c>
      <c r="T35" s="1570" t="s">
        <v>8</v>
      </c>
      <c r="U35" s="1571">
        <f t="shared" si="13"/>
        <v>100</v>
      </c>
      <c r="V35" s="1570" t="s">
        <v>8</v>
      </c>
      <c r="W35" s="1571">
        <f t="shared" si="14"/>
        <v>100</v>
      </c>
      <c r="X35" s="1564"/>
      <c r="Y35" s="3388"/>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388"/>
      <c r="Q36" s="1569" t="str">
        <f t="shared" si="11"/>
        <v>成新度</v>
      </c>
      <c r="R36" s="1570" t="s">
        <v>8</v>
      </c>
      <c r="S36" s="1571" t="e">
        <f t="shared" si="12"/>
        <v>#N/A</v>
      </c>
      <c r="T36" s="1570" t="s">
        <v>8</v>
      </c>
      <c r="U36" s="1571" t="e">
        <f t="shared" si="13"/>
        <v>#N/A</v>
      </c>
      <c r="V36" s="1570" t="s">
        <v>8</v>
      </c>
      <c r="W36" s="1571" t="e">
        <f t="shared" si="14"/>
        <v>#N/A</v>
      </c>
      <c r="X36" s="1564"/>
      <c r="Y36" s="3388"/>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388"/>
      <c r="Q37" s="1147" t="str">
        <f t="shared" si="11"/>
        <v>市政基础设施</v>
      </c>
      <c r="R37" s="1565" t="s">
        <v>8</v>
      </c>
      <c r="S37" s="1566">
        <f t="shared" si="12"/>
        <v>100</v>
      </c>
      <c r="T37" s="1565" t="s">
        <v>8</v>
      </c>
      <c r="U37" s="1566">
        <f t="shared" si="13"/>
        <v>100</v>
      </c>
      <c r="V37" s="1565" t="s">
        <v>8</v>
      </c>
      <c r="W37" s="1566">
        <f t="shared" si="14"/>
        <v>100</v>
      </c>
      <c r="X37" s="1567"/>
      <c r="Y37" s="3388"/>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388" t="s">
        <v>767</v>
      </c>
      <c r="Q38" s="1569" t="str">
        <f t="shared" si="11"/>
        <v>业态</v>
      </c>
      <c r="R38" s="1570" t="s">
        <v>8</v>
      </c>
      <c r="S38" s="1571">
        <f t="shared" si="12"/>
        <v>100</v>
      </c>
      <c r="T38" s="1570" t="s">
        <v>8</v>
      </c>
      <c r="U38" s="1571">
        <f t="shared" si="13"/>
        <v>100</v>
      </c>
      <c r="V38" s="1570" t="s">
        <v>8</v>
      </c>
      <c r="W38" s="1571">
        <f t="shared" si="14"/>
        <v>100</v>
      </c>
      <c r="X38" s="1564"/>
      <c r="Y38" s="3388"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8"/>
      <c r="Q39" s="1569" t="str">
        <f t="shared" si="11"/>
        <v>层高</v>
      </c>
      <c r="R39" s="1570" t="s">
        <v>8</v>
      </c>
      <c r="S39" s="1571">
        <f t="shared" si="12"/>
        <v>100</v>
      </c>
      <c r="T39" s="1570" t="s">
        <v>8</v>
      </c>
      <c r="U39" s="1571">
        <f t="shared" si="13"/>
        <v>100</v>
      </c>
      <c r="V39" s="1570" t="s">
        <v>8</v>
      </c>
      <c r="W39" s="1571">
        <f t="shared" si="14"/>
        <v>100</v>
      </c>
      <c r="X39" s="1564"/>
      <c r="Y39" s="3388"/>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388"/>
      <c r="Q40" s="1569" t="str">
        <f t="shared" si="11"/>
        <v>单套建筑面积</v>
      </c>
      <c r="R40" s="1570" t="s">
        <v>8</v>
      </c>
      <c r="S40" s="1571">
        <f t="shared" si="12"/>
        <v>100</v>
      </c>
      <c r="T40" s="1570" t="s">
        <v>8</v>
      </c>
      <c r="U40" s="1571">
        <f t="shared" si="13"/>
        <v>100</v>
      </c>
      <c r="V40" s="1570" t="s">
        <v>8</v>
      </c>
      <c r="W40" s="1571">
        <f t="shared" si="14"/>
        <v>100</v>
      </c>
      <c r="X40" s="1564"/>
      <c r="Y40" s="3388"/>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388"/>
      <c r="Q41" s="1602" t="str">
        <f t="shared" si="11"/>
        <v>进深比</v>
      </c>
      <c r="R41" s="1574" t="s">
        <v>8</v>
      </c>
      <c r="S41" s="1575">
        <f t="shared" si="12"/>
        <v>100</v>
      </c>
      <c r="T41" s="1574" t="s">
        <v>8</v>
      </c>
      <c r="U41" s="1575">
        <f t="shared" si="13"/>
        <v>100</v>
      </c>
      <c r="V41" s="1574" t="s">
        <v>8</v>
      </c>
      <c r="W41" s="1575">
        <f t="shared" si="14"/>
        <v>100</v>
      </c>
      <c r="X41" s="1576"/>
      <c r="Y41" s="3388"/>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388"/>
      <c r="Q42" s="1569" t="str">
        <f t="shared" si="11"/>
        <v>内部装修</v>
      </c>
      <c r="R42" s="1570" t="s">
        <v>8</v>
      </c>
      <c r="S42" s="1571">
        <f t="shared" si="12"/>
        <v>100</v>
      </c>
      <c r="T42" s="1570" t="s">
        <v>8</v>
      </c>
      <c r="U42" s="1571">
        <f t="shared" si="13"/>
        <v>100</v>
      </c>
      <c r="V42" s="1570" t="s">
        <v>8</v>
      </c>
      <c r="W42" s="1571">
        <f t="shared" si="14"/>
        <v>100</v>
      </c>
      <c r="X42" s="1564"/>
      <c r="Y42" s="3388"/>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388"/>
      <c r="Q43" s="1569" t="str">
        <f t="shared" si="11"/>
        <v>内部装修维护情况</v>
      </c>
      <c r="R43" s="1570" t="s">
        <v>8</v>
      </c>
      <c r="S43" s="1571">
        <f t="shared" si="12"/>
        <v>100</v>
      </c>
      <c r="T43" s="1570" t="s">
        <v>8</v>
      </c>
      <c r="U43" s="1571">
        <f t="shared" si="13"/>
        <v>100</v>
      </c>
      <c r="V43" s="1570" t="s">
        <v>8</v>
      </c>
      <c r="W43" s="1571">
        <f t="shared" si="14"/>
        <v>100</v>
      </c>
      <c r="X43" s="1564"/>
      <c r="Y43" s="338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388"/>
      <c r="Q44" s="1147">
        <f t="shared" si="11"/>
        <v>111</v>
      </c>
      <c r="R44" s="1565" t="s">
        <v>8</v>
      </c>
      <c r="S44" s="1566">
        <f t="shared" si="12"/>
        <v>100</v>
      </c>
      <c r="T44" s="1565" t="s">
        <v>8</v>
      </c>
      <c r="U44" s="1566">
        <f t="shared" si="13"/>
        <v>100</v>
      </c>
      <c r="V44" s="1565" t="s">
        <v>8</v>
      </c>
      <c r="W44" s="1566">
        <f t="shared" si="14"/>
        <v>100</v>
      </c>
      <c r="X44" s="1567"/>
      <c r="Y44" s="338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388"/>
      <c r="Q45" s="1569">
        <f t="shared" si="11"/>
        <v>111</v>
      </c>
      <c r="R45" s="1570" t="s">
        <v>8</v>
      </c>
      <c r="S45" s="1571">
        <f t="shared" si="12"/>
        <v>100</v>
      </c>
      <c r="T45" s="1570" t="s">
        <v>8</v>
      </c>
      <c r="U45" s="1571">
        <f t="shared" si="13"/>
        <v>100</v>
      </c>
      <c r="V45" s="1570" t="s">
        <v>8</v>
      </c>
      <c r="W45" s="1571">
        <f t="shared" si="14"/>
        <v>100</v>
      </c>
      <c r="X45" s="1564"/>
      <c r="Y45" s="338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6"/>
      <c r="Q46" s="1569">
        <f t="shared" si="11"/>
        <v>111</v>
      </c>
      <c r="R46" s="1570" t="s">
        <v>8</v>
      </c>
      <c r="S46" s="1571">
        <f t="shared" si="12"/>
        <v>100</v>
      </c>
      <c r="T46" s="1570" t="s">
        <v>8</v>
      </c>
      <c r="U46" s="1571">
        <f t="shared" si="13"/>
        <v>100</v>
      </c>
      <c r="V46" s="1570" t="s">
        <v>8</v>
      </c>
      <c r="W46" s="1571">
        <f t="shared" si="14"/>
        <v>100</v>
      </c>
      <c r="X46" s="1564"/>
      <c r="Y46" s="3466"/>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83" t="str">
        <f>A47</f>
        <v>成交单价（元/平方米）</v>
      </c>
      <c r="Q47" s="3383"/>
      <c r="R47" s="3465">
        <f>E47</f>
        <v>0</v>
      </c>
      <c r="S47" s="3465"/>
      <c r="T47" s="3465">
        <f>G47</f>
        <v>0</v>
      </c>
      <c r="U47" s="3465"/>
      <c r="V47" s="3465">
        <f>I47</f>
        <v>0</v>
      </c>
      <c r="W47" s="3465"/>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83" t="str">
        <f>A48</f>
        <v>比较价格（元/平方米）</v>
      </c>
      <c r="Q48" s="3383"/>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405" t="str">
        <f>A49</f>
        <v>估价对象XX用房的比较价格（楼面单价，元/平方米）</v>
      </c>
      <c r="Q49" s="3406"/>
      <c r="R49" s="3464" t="e">
        <f>IF(F1="售价",ROUND(AVERAGE(R48:V48),0),ROUND(AVERAGE(R48:V48),1))</f>
        <v>#DIV/0!</v>
      </c>
      <c r="S49" s="3464"/>
      <c r="T49" s="3464"/>
      <c r="U49" s="3464"/>
      <c r="V49" s="3464"/>
      <c r="W49" s="346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89" t="s">
        <v>523</v>
      </c>
      <c r="D4" s="3390"/>
      <c r="E4" s="3414" t="s">
        <v>524</v>
      </c>
      <c r="F4" s="3415"/>
      <c r="G4" s="3389" t="s">
        <v>525</v>
      </c>
      <c r="H4" s="3390"/>
      <c r="I4" s="3389" t="s">
        <v>526</v>
      </c>
      <c r="J4" s="3390"/>
      <c r="K4" s="511" t="s">
        <v>527</v>
      </c>
      <c r="L4" s="2131"/>
      <c r="M4" s="2132"/>
      <c r="N4" s="2132"/>
      <c r="O4" s="2132"/>
      <c r="P4" s="3391" t="s">
        <v>528</v>
      </c>
      <c r="Q4" s="3392"/>
      <c r="R4" s="3377" t="s">
        <v>524</v>
      </c>
      <c r="S4" s="3378"/>
      <c r="T4" s="3377" t="s">
        <v>525</v>
      </c>
      <c r="U4" s="3378"/>
      <c r="V4" s="3397" t="s">
        <v>526</v>
      </c>
      <c r="W4" s="3397"/>
      <c r="X4" s="1564"/>
      <c r="Y4" s="3377" t="s">
        <v>528</v>
      </c>
      <c r="Z4" s="3378"/>
      <c r="AA4" s="3372" t="s">
        <v>524</v>
      </c>
      <c r="AB4" s="3373" t="s">
        <v>525</v>
      </c>
      <c r="AC4" s="3372" t="s">
        <v>526</v>
      </c>
    </row>
    <row r="5" spans="1:29" ht="15">
      <c r="A5" s="512"/>
      <c r="B5" s="513"/>
      <c r="C5" s="3400" t="s">
        <v>2940</v>
      </c>
      <c r="D5" s="3401"/>
      <c r="E5" s="3416" t="s">
        <v>2941</v>
      </c>
      <c r="F5" s="3417"/>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19" t="s">
        <v>2944</v>
      </c>
      <c r="F6" s="3420"/>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43123</v>
      </c>
      <c r="D7" s="517">
        <v>100</v>
      </c>
      <c r="E7" s="518"/>
      <c r="F7" s="519">
        <f>SUMIF(52:52,YEAR(E7)&amp;"-"&amp;MONTH(E7),53:53)</f>
        <v>0</v>
      </c>
      <c r="G7" s="518"/>
      <c r="H7" s="517">
        <f>SUMIF(52:52,YEAR(G7)&amp;"-"&amp;MONTH(G7),53:53)</f>
        <v>0</v>
      </c>
      <c r="I7" s="518"/>
      <c r="J7" s="517">
        <f>SUMIF(52:52,YEAR(I7)&amp;"-"&amp;MONTH(I7),53:53)</f>
        <v>0</v>
      </c>
      <c r="K7" s="521"/>
      <c r="L7" s="2133"/>
      <c r="M7" s="2134"/>
      <c r="N7" s="2134"/>
      <c r="O7" s="2134"/>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83"/>
      <c r="Q11" s="1147" t="str">
        <f t="shared" si="6"/>
        <v>容积率</v>
      </c>
      <c r="R11" s="1565" t="s">
        <v>8</v>
      </c>
      <c r="S11" s="1566" t="e">
        <f t="shared" si="0"/>
        <v>#N/A</v>
      </c>
      <c r="T11" s="1565" t="s">
        <v>8</v>
      </c>
      <c r="U11" s="1566" t="e">
        <f t="shared" si="1"/>
        <v>#N/A</v>
      </c>
      <c r="V11" s="1565" t="s">
        <v>8</v>
      </c>
      <c r="W11" s="1566" t="e">
        <f t="shared" si="2"/>
        <v>#N/A</v>
      </c>
      <c r="X11" s="1567"/>
      <c r="Y11" s="3340"/>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385" t="s">
        <v>541</v>
      </c>
      <c r="Q15" s="1569" t="str">
        <f t="shared" si="6"/>
        <v>产业集聚程度</v>
      </c>
      <c r="R15" s="1570" t="s">
        <v>8</v>
      </c>
      <c r="S15" s="1571">
        <f t="shared" si="0"/>
        <v>100</v>
      </c>
      <c r="T15" s="1570" t="s">
        <v>8</v>
      </c>
      <c r="U15" s="1571">
        <f t="shared" si="1"/>
        <v>100</v>
      </c>
      <c r="V15" s="1570" t="s">
        <v>8</v>
      </c>
      <c r="W15" s="1571">
        <f t="shared" si="2"/>
        <v>100</v>
      </c>
      <c r="X15" s="1564"/>
      <c r="Y15" s="3385"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386"/>
      <c r="Q22" s="2601"/>
      <c r="R22" s="1570"/>
      <c r="S22" s="1571"/>
      <c r="T22" s="1570"/>
      <c r="U22" s="1571"/>
      <c r="V22" s="1570"/>
      <c r="W22" s="1571"/>
      <c r="X22" s="2603"/>
      <c r="Y22" s="3386"/>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386"/>
      <c r="Q25" s="1569">
        <f>B25</f>
        <v>111</v>
      </c>
      <c r="R25" s="1570" t="s">
        <v>8</v>
      </c>
      <c r="S25" s="1571">
        <f>F25</f>
        <v>100</v>
      </c>
      <c r="T25" s="1570" t="s">
        <v>8</v>
      </c>
      <c r="U25" s="1571">
        <f>H25</f>
        <v>100</v>
      </c>
      <c r="V25" s="1570" t="s">
        <v>8</v>
      </c>
      <c r="W25" s="1571">
        <f>J25</f>
        <v>100</v>
      </c>
      <c r="X25" s="1564"/>
      <c r="Y25" s="338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386"/>
      <c r="Q26" s="1569">
        <f t="shared" ref="Q26:Q40" si="11">B26</f>
        <v>111</v>
      </c>
      <c r="R26" s="1570" t="s">
        <v>8</v>
      </c>
      <c r="S26" s="1571">
        <f>F26</f>
        <v>100</v>
      </c>
      <c r="T26" s="1570" t="s">
        <v>8</v>
      </c>
      <c r="U26" s="1571">
        <f>H26</f>
        <v>100</v>
      </c>
      <c r="V26" s="1570" t="s">
        <v>8</v>
      </c>
      <c r="W26" s="1571">
        <f>J26</f>
        <v>100</v>
      </c>
      <c r="X26" s="1564"/>
      <c r="Y26" s="338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386"/>
      <c r="Q27" s="1147">
        <f t="shared" si="11"/>
        <v>111</v>
      </c>
      <c r="R27" s="1565" t="s">
        <v>8</v>
      </c>
      <c r="S27" s="1566">
        <f>F27</f>
        <v>100</v>
      </c>
      <c r="T27" s="1565" t="s">
        <v>8</v>
      </c>
      <c r="U27" s="1566">
        <f>H27</f>
        <v>100</v>
      </c>
      <c r="V27" s="1565" t="s">
        <v>8</v>
      </c>
      <c r="W27" s="1566">
        <f>J27</f>
        <v>100</v>
      </c>
      <c r="X27" s="1567"/>
      <c r="Y27" s="338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386"/>
      <c r="Q28" s="1569">
        <f t="shared" si="11"/>
        <v>111</v>
      </c>
      <c r="R28" s="1570" t="s">
        <v>8</v>
      </c>
      <c r="S28" s="1571">
        <f t="shared" ref="S28:S40" si="12">F28</f>
        <v>100</v>
      </c>
      <c r="T28" s="1570" t="s">
        <v>8</v>
      </c>
      <c r="U28" s="1571">
        <f t="shared" ref="U28:U40" si="13">H28</f>
        <v>100</v>
      </c>
      <c r="V28" s="1570" t="s">
        <v>8</v>
      </c>
      <c r="W28" s="1571">
        <f t="shared" ref="W28:W40" si="14">J28</f>
        <v>100</v>
      </c>
      <c r="X28" s="1564"/>
      <c r="Y28" s="3386"/>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387" t="s">
        <v>551</v>
      </c>
      <c r="Q29" s="1569" t="str">
        <f t="shared" si="11"/>
        <v>建筑类型</v>
      </c>
      <c r="R29" s="1570" t="s">
        <v>8</v>
      </c>
      <c r="S29" s="1571">
        <f t="shared" si="12"/>
        <v>100</v>
      </c>
      <c r="T29" s="1570" t="s">
        <v>8</v>
      </c>
      <c r="U29" s="1571">
        <f t="shared" si="13"/>
        <v>100</v>
      </c>
      <c r="V29" s="1570" t="s">
        <v>8</v>
      </c>
      <c r="W29" s="1571">
        <f t="shared" si="14"/>
        <v>100</v>
      </c>
      <c r="X29" s="1564"/>
      <c r="Y29" s="3388"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388"/>
      <c r="Q30" s="1602" t="str">
        <f t="shared" si="11"/>
        <v>项目建筑规模</v>
      </c>
      <c r="R30" s="1574" t="s">
        <v>8</v>
      </c>
      <c r="S30" s="1575" t="e">
        <f t="shared" si="12"/>
        <v>#N/A</v>
      </c>
      <c r="T30" s="1574" t="s">
        <v>8</v>
      </c>
      <c r="U30" s="1575" t="e">
        <f t="shared" si="13"/>
        <v>#N/A</v>
      </c>
      <c r="V30" s="1574" t="s">
        <v>8</v>
      </c>
      <c r="W30" s="1575" t="e">
        <f t="shared" si="14"/>
        <v>#N/A</v>
      </c>
      <c r="X30" s="1576"/>
      <c r="Y30" s="3388"/>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388"/>
      <c r="Q31" s="1569" t="str">
        <f t="shared" si="11"/>
        <v>建筑结构</v>
      </c>
      <c r="R31" s="1570" t="s">
        <v>8</v>
      </c>
      <c r="S31" s="1571">
        <f t="shared" si="12"/>
        <v>100</v>
      </c>
      <c r="T31" s="1570" t="s">
        <v>8</v>
      </c>
      <c r="U31" s="1571">
        <f t="shared" si="13"/>
        <v>100</v>
      </c>
      <c r="V31" s="1570" t="s">
        <v>8</v>
      </c>
      <c r="W31" s="1571">
        <f t="shared" si="14"/>
        <v>100</v>
      </c>
      <c r="X31" s="1564"/>
      <c r="Y31" s="3388"/>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388"/>
      <c r="Q32" s="1569" t="str">
        <f t="shared" si="11"/>
        <v>公共部分装修</v>
      </c>
      <c r="R32" s="1570" t="s">
        <v>8</v>
      </c>
      <c r="S32" s="1571">
        <f t="shared" si="12"/>
        <v>100</v>
      </c>
      <c r="T32" s="1570" t="s">
        <v>8</v>
      </c>
      <c r="U32" s="1571">
        <f t="shared" si="13"/>
        <v>100</v>
      </c>
      <c r="V32" s="1570" t="s">
        <v>8</v>
      </c>
      <c r="W32" s="1571">
        <f t="shared" si="14"/>
        <v>100</v>
      </c>
      <c r="X32" s="1564"/>
      <c r="Y32" s="3388"/>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388"/>
      <c r="Q33" s="1569" t="str">
        <f t="shared" si="11"/>
        <v>成新度</v>
      </c>
      <c r="R33" s="1570" t="s">
        <v>8</v>
      </c>
      <c r="S33" s="1571" t="e">
        <f t="shared" si="12"/>
        <v>#N/A</v>
      </c>
      <c r="T33" s="1570" t="s">
        <v>8</v>
      </c>
      <c r="U33" s="1571" t="e">
        <f t="shared" si="13"/>
        <v>#N/A</v>
      </c>
      <c r="V33" s="1570" t="s">
        <v>8</v>
      </c>
      <c r="W33" s="1571" t="e">
        <f t="shared" si="14"/>
        <v>#N/A</v>
      </c>
      <c r="X33" s="1564"/>
      <c r="Y33" s="3388"/>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388"/>
      <c r="Q34" s="1147" t="str">
        <f t="shared" si="11"/>
        <v>物业管理</v>
      </c>
      <c r="R34" s="1565" t="s">
        <v>8</v>
      </c>
      <c r="S34" s="1566">
        <f t="shared" si="12"/>
        <v>100</v>
      </c>
      <c r="T34" s="1565" t="s">
        <v>8</v>
      </c>
      <c r="U34" s="1566">
        <f t="shared" si="13"/>
        <v>100</v>
      </c>
      <c r="V34" s="1565" t="s">
        <v>8</v>
      </c>
      <c r="W34" s="1566">
        <f t="shared" si="14"/>
        <v>100</v>
      </c>
      <c r="X34" s="1567"/>
      <c r="Y34" s="3388"/>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388" t="s">
        <v>551</v>
      </c>
      <c r="Q35" s="1569" t="str">
        <f t="shared" si="11"/>
        <v>市政基础设施</v>
      </c>
      <c r="R35" s="1570" t="s">
        <v>8</v>
      </c>
      <c r="S35" s="1571">
        <f t="shared" si="12"/>
        <v>100</v>
      </c>
      <c r="T35" s="1570" t="s">
        <v>8</v>
      </c>
      <c r="U35" s="1571">
        <f t="shared" si="13"/>
        <v>100</v>
      </c>
      <c r="V35" s="1570" t="s">
        <v>8</v>
      </c>
      <c r="W35" s="1571">
        <f t="shared" si="14"/>
        <v>100</v>
      </c>
      <c r="X35" s="1564"/>
      <c r="Y35" s="3388"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388"/>
      <c r="Q36" s="1569" t="str">
        <f t="shared" si="11"/>
        <v>内部装修</v>
      </c>
      <c r="R36" s="1570" t="s">
        <v>8</v>
      </c>
      <c r="S36" s="1571">
        <f t="shared" si="12"/>
        <v>100</v>
      </c>
      <c r="T36" s="1570" t="s">
        <v>8</v>
      </c>
      <c r="U36" s="1571">
        <f t="shared" si="13"/>
        <v>100</v>
      </c>
      <c r="V36" s="1570" t="s">
        <v>8</v>
      </c>
      <c r="W36" s="1571">
        <f t="shared" si="14"/>
        <v>100</v>
      </c>
      <c r="X36" s="1564"/>
      <c r="Y36" s="3388"/>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388"/>
      <c r="Q37" s="1569" t="str">
        <f t="shared" si="11"/>
        <v>内部装修状况</v>
      </c>
      <c r="R37" s="1570" t="s">
        <v>8</v>
      </c>
      <c r="S37" s="1571">
        <f t="shared" si="12"/>
        <v>100</v>
      </c>
      <c r="T37" s="1570" t="s">
        <v>8</v>
      </c>
      <c r="U37" s="1571">
        <f t="shared" si="13"/>
        <v>100</v>
      </c>
      <c r="V37" s="1570" t="s">
        <v>8</v>
      </c>
      <c r="W37" s="1571">
        <f t="shared" si="14"/>
        <v>100</v>
      </c>
      <c r="X37" s="1564"/>
      <c r="Y37" s="338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388"/>
      <c r="Q38" s="1602">
        <f t="shared" si="11"/>
        <v>111</v>
      </c>
      <c r="R38" s="1574" t="s">
        <v>8</v>
      </c>
      <c r="S38" s="1575">
        <f t="shared" si="12"/>
        <v>100</v>
      </c>
      <c r="T38" s="1574" t="s">
        <v>8</v>
      </c>
      <c r="U38" s="1575">
        <f t="shared" si="13"/>
        <v>100</v>
      </c>
      <c r="V38" s="1574" t="s">
        <v>8</v>
      </c>
      <c r="W38" s="1575">
        <f t="shared" si="14"/>
        <v>100</v>
      </c>
      <c r="X38" s="1576"/>
      <c r="Y38" s="338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388"/>
      <c r="Q39" s="1569">
        <f t="shared" si="11"/>
        <v>111</v>
      </c>
      <c r="R39" s="1570" t="s">
        <v>8</v>
      </c>
      <c r="S39" s="1571">
        <f t="shared" si="12"/>
        <v>100</v>
      </c>
      <c r="T39" s="1570" t="s">
        <v>8</v>
      </c>
      <c r="U39" s="1571">
        <f t="shared" si="13"/>
        <v>100</v>
      </c>
      <c r="V39" s="1570" t="s">
        <v>8</v>
      </c>
      <c r="W39" s="1571">
        <f t="shared" si="14"/>
        <v>100</v>
      </c>
      <c r="X39" s="1564"/>
      <c r="Y39" s="338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6"/>
      <c r="Q40" s="1569">
        <f t="shared" si="11"/>
        <v>111</v>
      </c>
      <c r="R40" s="1570" t="s">
        <v>8</v>
      </c>
      <c r="S40" s="1571">
        <f t="shared" si="12"/>
        <v>100</v>
      </c>
      <c r="T40" s="1570" t="s">
        <v>8</v>
      </c>
      <c r="U40" s="1571">
        <f t="shared" si="13"/>
        <v>100</v>
      </c>
      <c r="V40" s="1570" t="s">
        <v>8</v>
      </c>
      <c r="W40" s="1571">
        <f t="shared" si="14"/>
        <v>100</v>
      </c>
      <c r="X40" s="1564"/>
      <c r="Y40" s="3466"/>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83" t="str">
        <f>A41</f>
        <v>成交单价（元/平方米）</v>
      </c>
      <c r="Q41" s="3383"/>
      <c r="R41" s="3465">
        <f>E41</f>
        <v>0</v>
      </c>
      <c r="S41" s="3465"/>
      <c r="T41" s="3465">
        <f>G41</f>
        <v>0</v>
      </c>
      <c r="U41" s="3465"/>
      <c r="V41" s="3465">
        <f>I41</f>
        <v>0</v>
      </c>
      <c r="W41" s="3465"/>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83" t="str">
        <f>A42</f>
        <v>比较价格（元/平方米）</v>
      </c>
      <c r="Q42" s="3383"/>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405" t="str">
        <f>A43</f>
        <v>估价对象XX用房的比较价格（楼面单价，元/平方米）</v>
      </c>
      <c r="Q43" s="3406"/>
      <c r="R43" s="3464" t="e">
        <f>IF(F1="售价",ROUND(AVERAGE(R42:V42),0),ROUND(AVERAGE(R42:V42),1))</f>
        <v>#DIV/0!</v>
      </c>
      <c r="S43" s="3464"/>
      <c r="T43" s="3464"/>
      <c r="U43" s="3464"/>
      <c r="V43" s="3464"/>
      <c r="W43" s="3464"/>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89" t="s">
        <v>799</v>
      </c>
      <c r="D4" s="3390"/>
      <c r="E4" s="3389" t="s">
        <v>800</v>
      </c>
      <c r="F4" s="3390"/>
      <c r="G4" s="3389" t="s">
        <v>801</v>
      </c>
      <c r="H4" s="3390"/>
      <c r="I4" s="3389" t="s">
        <v>802</v>
      </c>
      <c r="J4" s="3390"/>
      <c r="K4" s="511" t="s">
        <v>803</v>
      </c>
      <c r="L4" s="2131"/>
      <c r="M4" s="2132"/>
      <c r="N4" s="2132"/>
      <c r="O4" s="2132"/>
      <c r="P4" s="3391" t="s">
        <v>804</v>
      </c>
      <c r="Q4" s="3392"/>
      <c r="R4" s="3377" t="s">
        <v>800</v>
      </c>
      <c r="S4" s="3378"/>
      <c r="T4" s="3377" t="s">
        <v>801</v>
      </c>
      <c r="U4" s="3378"/>
      <c r="V4" s="3397" t="s">
        <v>802</v>
      </c>
      <c r="W4" s="3397"/>
      <c r="X4" s="1564"/>
      <c r="Y4" s="3377" t="s">
        <v>804</v>
      </c>
      <c r="Z4" s="3378"/>
      <c r="AA4" s="3372" t="s">
        <v>800</v>
      </c>
      <c r="AB4" s="3373" t="s">
        <v>801</v>
      </c>
      <c r="AC4" s="3372" t="s">
        <v>802</v>
      </c>
    </row>
    <row r="5" spans="1:29" ht="15">
      <c r="A5" s="512"/>
      <c r="B5" s="513"/>
      <c r="C5" s="3400" t="s">
        <v>2940</v>
      </c>
      <c r="D5" s="3401"/>
      <c r="E5" s="3400" t="s">
        <v>2941</v>
      </c>
      <c r="F5" s="3401"/>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02" t="s">
        <v>2944</v>
      </c>
      <c r="F6" s="3403"/>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43123</v>
      </c>
      <c r="D7" s="517">
        <v>100</v>
      </c>
      <c r="E7" s="518"/>
      <c r="F7" s="519">
        <f>SUMIF(48:48,YEAR(E7)&amp;"-"&amp;MONTH(E7),49:49)</f>
        <v>0</v>
      </c>
      <c r="G7" s="520"/>
      <c r="H7" s="517">
        <f>SUMIF(48:48,YEAR(G7)&amp;"-"&amp;MONTH(G7),49:49)</f>
        <v>0</v>
      </c>
      <c r="I7" s="520"/>
      <c r="J7" s="517">
        <f>SUMIF(48:48,YEAR(I7)&amp;"-"&amp;MONTH(I7),49:49)</f>
        <v>0</v>
      </c>
      <c r="K7" s="521"/>
      <c r="L7" s="2133"/>
      <c r="M7" s="2134"/>
      <c r="N7" s="2134"/>
      <c r="O7" s="2134"/>
      <c r="P7" s="3375" t="s">
        <v>531</v>
      </c>
      <c r="Q7" s="3384"/>
      <c r="R7" s="1565" t="s">
        <v>8</v>
      </c>
      <c r="S7" s="1566">
        <f t="shared" ref="S7:S14" si="0">F7</f>
        <v>0</v>
      </c>
      <c r="T7" s="1565" t="s">
        <v>8</v>
      </c>
      <c r="U7" s="1566">
        <f t="shared" ref="U7:U14" si="1">H7</f>
        <v>0</v>
      </c>
      <c r="V7" s="1565" t="s">
        <v>8</v>
      </c>
      <c r="W7" s="1566">
        <f t="shared" ref="W7:W14"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83" t="s">
        <v>536</v>
      </c>
      <c r="Q9" s="1147" t="str">
        <f t="shared" ref="Q9:Q14" si="6">B9</f>
        <v>用途</v>
      </c>
      <c r="R9" s="1565" t="s">
        <v>8</v>
      </c>
      <c r="S9" s="1566">
        <f t="shared" si="0"/>
        <v>100</v>
      </c>
      <c r="T9" s="1565" t="s">
        <v>8</v>
      </c>
      <c r="U9" s="1566">
        <f t="shared" si="1"/>
        <v>100</v>
      </c>
      <c r="V9" s="1565" t="s">
        <v>8</v>
      </c>
      <c r="W9" s="1566">
        <f t="shared" si="2"/>
        <v>100</v>
      </c>
      <c r="X9" s="1567"/>
      <c r="Y9" s="3340"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83"/>
      <c r="Q11" s="1147">
        <f t="shared" si="6"/>
        <v>111</v>
      </c>
      <c r="R11" s="1565" t="s">
        <v>8</v>
      </c>
      <c r="S11" s="1566">
        <f t="shared" si="0"/>
        <v>100</v>
      </c>
      <c r="T11" s="1565" t="s">
        <v>8</v>
      </c>
      <c r="U11" s="1566">
        <f t="shared" si="1"/>
        <v>100</v>
      </c>
      <c r="V11" s="1565" t="s">
        <v>8</v>
      </c>
      <c r="W11" s="1566">
        <f t="shared" si="2"/>
        <v>100</v>
      </c>
      <c r="X11" s="1567"/>
      <c r="Y11" s="3340"/>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385" t="s">
        <v>541</v>
      </c>
      <c r="Q14" s="1569" t="str">
        <f t="shared" si="6"/>
        <v>交通便捷度</v>
      </c>
      <c r="R14" s="1570" t="s">
        <v>8</v>
      </c>
      <c r="S14" s="1571">
        <f t="shared" si="0"/>
        <v>100</v>
      </c>
      <c r="T14" s="1570" t="s">
        <v>8</v>
      </c>
      <c r="U14" s="1571">
        <f t="shared" si="1"/>
        <v>100</v>
      </c>
      <c r="V14" s="1570" t="s">
        <v>8</v>
      </c>
      <c r="W14" s="1571">
        <f t="shared" si="2"/>
        <v>100</v>
      </c>
      <c r="X14" s="1564"/>
      <c r="Y14" s="3385"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386"/>
      <c r="Q15" s="1569"/>
      <c r="R15" s="1570"/>
      <c r="S15" s="1571"/>
      <c r="T15" s="1570"/>
      <c r="U15" s="1571"/>
      <c r="V15" s="1570"/>
      <c r="W15" s="1571"/>
      <c r="X15" s="1564"/>
      <c r="Y15" s="3386"/>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386"/>
      <c r="Q17" s="1569"/>
      <c r="R17" s="1570"/>
      <c r="S17" s="1571"/>
      <c r="T17" s="1570"/>
      <c r="U17" s="1571"/>
      <c r="V17" s="1570"/>
      <c r="W17" s="1571"/>
      <c r="X17" s="1564"/>
      <c r="Y17" s="3386"/>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386"/>
      <c r="Q18" s="2601" t="str">
        <f>B18</f>
        <v>基础设施水平</v>
      </c>
      <c r="R18" s="1570" t="s">
        <v>8</v>
      </c>
      <c r="S18" s="1571">
        <f>F18</f>
        <v>100</v>
      </c>
      <c r="T18" s="1570" t="s">
        <v>8</v>
      </c>
      <c r="U18" s="1571">
        <f>H18</f>
        <v>100</v>
      </c>
      <c r="V18" s="1570" t="s">
        <v>8</v>
      </c>
      <c r="W18" s="1571">
        <f>J18</f>
        <v>100</v>
      </c>
      <c r="X18" s="2603"/>
      <c r="Y18" s="338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386"/>
      <c r="Q19" s="2601"/>
      <c r="R19" s="1570"/>
      <c r="S19" s="1571"/>
      <c r="T19" s="1570"/>
      <c r="U19" s="1571"/>
      <c r="V19" s="1570"/>
      <c r="W19" s="1571"/>
      <c r="X19" s="2603"/>
      <c r="Y19" s="3386"/>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386"/>
      <c r="Q21" s="1569"/>
      <c r="R21" s="1570"/>
      <c r="S21" s="1571"/>
      <c r="T21" s="1570"/>
      <c r="U21" s="1571"/>
      <c r="V21" s="1570"/>
      <c r="W21" s="1571"/>
      <c r="X21" s="1564"/>
      <c r="Y21" s="3386"/>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386"/>
      <c r="Q24" s="1569">
        <f t="shared" ref="Q24:Q36"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386"/>
      <c r="Q25" s="1147">
        <f t="shared" si="11"/>
        <v>111</v>
      </c>
      <c r="R25" s="1565" t="s">
        <v>8</v>
      </c>
      <c r="S25" s="1566">
        <f>F25</f>
        <v>100</v>
      </c>
      <c r="T25" s="1565" t="s">
        <v>8</v>
      </c>
      <c r="U25" s="1566">
        <f>H25</f>
        <v>100</v>
      </c>
      <c r="V25" s="1565" t="s">
        <v>8</v>
      </c>
      <c r="W25" s="1566">
        <f>J25</f>
        <v>100</v>
      </c>
      <c r="X25" s="1567"/>
      <c r="Y25" s="3386"/>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38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8"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388"/>
      <c r="Q27" s="1602" t="str">
        <f t="shared" si="11"/>
        <v>项目停车位配比</v>
      </c>
      <c r="R27" s="1574" t="s">
        <v>8</v>
      </c>
      <c r="S27" s="1575">
        <f t="shared" si="12"/>
        <v>100</v>
      </c>
      <c r="T27" s="1574" t="s">
        <v>8</v>
      </c>
      <c r="U27" s="1575">
        <f t="shared" si="13"/>
        <v>100</v>
      </c>
      <c r="V27" s="1574" t="s">
        <v>8</v>
      </c>
      <c r="W27" s="1575">
        <f t="shared" si="14"/>
        <v>100</v>
      </c>
      <c r="X27" s="1576"/>
      <c r="Y27" s="3388"/>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388"/>
      <c r="Q28" s="1569" t="str">
        <f t="shared" si="11"/>
        <v>公共部分装修</v>
      </c>
      <c r="R28" s="1570" t="s">
        <v>8</v>
      </c>
      <c r="S28" s="1571">
        <f t="shared" si="12"/>
        <v>100</v>
      </c>
      <c r="T28" s="1570" t="s">
        <v>8</v>
      </c>
      <c r="U28" s="1571">
        <f t="shared" si="13"/>
        <v>100</v>
      </c>
      <c r="V28" s="1570" t="s">
        <v>8</v>
      </c>
      <c r="W28" s="1571">
        <f t="shared" si="14"/>
        <v>100</v>
      </c>
      <c r="X28" s="1564"/>
      <c r="Y28" s="3388"/>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388"/>
      <c r="Q29" s="1569" t="str">
        <f t="shared" si="11"/>
        <v>成新率</v>
      </c>
      <c r="R29" s="1570" t="s">
        <v>8</v>
      </c>
      <c r="S29" s="1571" t="e">
        <f t="shared" si="12"/>
        <v>#N/A</v>
      </c>
      <c r="T29" s="1570" t="s">
        <v>8</v>
      </c>
      <c r="U29" s="1571" t="e">
        <f t="shared" si="13"/>
        <v>#N/A</v>
      </c>
      <c r="V29" s="1570" t="s">
        <v>8</v>
      </c>
      <c r="W29" s="1571" t="e">
        <f t="shared" si="14"/>
        <v>#N/A</v>
      </c>
      <c r="X29" s="1564"/>
      <c r="Y29" s="3388"/>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388"/>
      <c r="Q30" s="1569" t="str">
        <f t="shared" si="11"/>
        <v>物业等级</v>
      </c>
      <c r="R30" s="1570" t="s">
        <v>8</v>
      </c>
      <c r="S30" s="1571">
        <f t="shared" si="12"/>
        <v>100</v>
      </c>
      <c r="T30" s="1570" t="s">
        <v>8</v>
      </c>
      <c r="U30" s="1571">
        <f t="shared" si="13"/>
        <v>100</v>
      </c>
      <c r="V30" s="1570" t="s">
        <v>8</v>
      </c>
      <c r="W30" s="1571">
        <f t="shared" si="14"/>
        <v>100</v>
      </c>
      <c r="X30" s="1564"/>
      <c r="Y30" s="3388"/>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388"/>
      <c r="Q31" s="1147" t="str">
        <f t="shared" si="11"/>
        <v>停车位面积</v>
      </c>
      <c r="R31" s="1565" t="s">
        <v>8</v>
      </c>
      <c r="S31" s="1566" t="e">
        <f t="shared" si="12"/>
        <v>#N/A</v>
      </c>
      <c r="T31" s="1565" t="s">
        <v>8</v>
      </c>
      <c r="U31" s="1566" t="e">
        <f t="shared" si="13"/>
        <v>#N/A</v>
      </c>
      <c r="V31" s="1565" t="s">
        <v>8</v>
      </c>
      <c r="W31" s="1566" t="e">
        <f t="shared" si="14"/>
        <v>#N/A</v>
      </c>
      <c r="X31" s="1567"/>
      <c r="Y31" s="3388"/>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388" t="s">
        <v>551</v>
      </c>
      <c r="Q32" s="1569" t="str">
        <f t="shared" si="11"/>
        <v>车位类型</v>
      </c>
      <c r="R32" s="1570" t="s">
        <v>8</v>
      </c>
      <c r="S32" s="1571">
        <f t="shared" si="12"/>
        <v>100</v>
      </c>
      <c r="T32" s="1570" t="s">
        <v>8</v>
      </c>
      <c r="U32" s="1571">
        <f t="shared" si="13"/>
        <v>100</v>
      </c>
      <c r="V32" s="1570" t="s">
        <v>8</v>
      </c>
      <c r="W32" s="1571">
        <f t="shared" si="14"/>
        <v>100</v>
      </c>
      <c r="X32" s="1564"/>
      <c r="Y32" s="3388"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388"/>
      <c r="Q33" s="1569" t="str">
        <f t="shared" si="11"/>
        <v>是否直接入户</v>
      </c>
      <c r="R33" s="1570" t="s">
        <v>8</v>
      </c>
      <c r="S33" s="1571">
        <f t="shared" si="12"/>
        <v>100</v>
      </c>
      <c r="T33" s="1570" t="s">
        <v>8</v>
      </c>
      <c r="U33" s="1571">
        <f t="shared" si="13"/>
        <v>100</v>
      </c>
      <c r="V33" s="1570" t="s">
        <v>8</v>
      </c>
      <c r="W33" s="1571">
        <f t="shared" si="14"/>
        <v>100</v>
      </c>
      <c r="X33" s="1564"/>
      <c r="Y33" s="338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388"/>
      <c r="Q35" s="1602">
        <f t="shared" si="11"/>
        <v>111</v>
      </c>
      <c r="R35" s="1574" t="s">
        <v>8</v>
      </c>
      <c r="S35" s="1575">
        <f t="shared" si="12"/>
        <v>100</v>
      </c>
      <c r="T35" s="1574" t="s">
        <v>8</v>
      </c>
      <c r="U35" s="1575">
        <f t="shared" si="13"/>
        <v>100</v>
      </c>
      <c r="V35" s="1574" t="s">
        <v>8</v>
      </c>
      <c r="W35" s="1575">
        <f t="shared" si="14"/>
        <v>100</v>
      </c>
      <c r="X35" s="1576"/>
      <c r="Y35" s="338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388"/>
      <c r="Q36" s="1569">
        <f t="shared" si="11"/>
        <v>111</v>
      </c>
      <c r="R36" s="1570" t="s">
        <v>8</v>
      </c>
      <c r="S36" s="1571">
        <f t="shared" si="12"/>
        <v>100</v>
      </c>
      <c r="T36" s="1570" t="s">
        <v>8</v>
      </c>
      <c r="U36" s="1571">
        <f t="shared" si="13"/>
        <v>100</v>
      </c>
      <c r="V36" s="1570" t="s">
        <v>8</v>
      </c>
      <c r="W36" s="1571">
        <f t="shared" si="14"/>
        <v>100</v>
      </c>
      <c r="X36" s="1564"/>
      <c r="Y36" s="338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83" t="str">
        <f>A37</f>
        <v>成交单价</v>
      </c>
      <c r="Q37" s="3383"/>
      <c r="R37" s="3465">
        <f>E37</f>
        <v>0</v>
      </c>
      <c r="S37" s="3465"/>
      <c r="T37" s="3465">
        <f>G37</f>
        <v>0</v>
      </c>
      <c r="U37" s="3465"/>
      <c r="V37" s="3465">
        <f>I37</f>
        <v>0</v>
      </c>
      <c r="W37" s="3465"/>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83" t="str">
        <f>A38</f>
        <v>比较价格（元/平方米）</v>
      </c>
      <c r="Q38" s="3383"/>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405" t="str">
        <f>A39</f>
        <v>估价对象XX用房的比较价格（楼面单价，元/平方米）</v>
      </c>
      <c r="Q39" s="3406"/>
      <c r="R39" s="3464" t="e">
        <f>IF(F1="售价",ROUND(AVERAGE(R38:V38),0),ROUND(AVERAGE(R38:V38),1))</f>
        <v>#DIV/0!</v>
      </c>
      <c r="S39" s="3464"/>
      <c r="T39" s="3464"/>
      <c r="U39" s="3464"/>
      <c r="V39" s="3464"/>
      <c r="W39" s="3464"/>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89" t="s">
        <v>799</v>
      </c>
      <c r="D4" s="3390"/>
      <c r="E4" s="3414" t="s">
        <v>800</v>
      </c>
      <c r="F4" s="3415"/>
      <c r="G4" s="3389" t="s">
        <v>801</v>
      </c>
      <c r="H4" s="3390"/>
      <c r="I4" s="3389" t="s">
        <v>802</v>
      </c>
      <c r="J4" s="3390"/>
      <c r="K4" s="511" t="s">
        <v>803</v>
      </c>
      <c r="L4" s="2131"/>
      <c r="M4" s="2132"/>
      <c r="N4" s="2132"/>
      <c r="O4" s="2132"/>
      <c r="P4" s="3391" t="s">
        <v>804</v>
      </c>
      <c r="Q4" s="3392"/>
      <c r="R4" s="3377" t="s">
        <v>800</v>
      </c>
      <c r="S4" s="3378"/>
      <c r="T4" s="3377" t="s">
        <v>801</v>
      </c>
      <c r="U4" s="3378"/>
      <c r="V4" s="3397" t="s">
        <v>802</v>
      </c>
      <c r="W4" s="3397"/>
      <c r="X4" s="1564"/>
      <c r="Y4" s="3377" t="s">
        <v>804</v>
      </c>
      <c r="Z4" s="3378"/>
      <c r="AA4" s="3372" t="s">
        <v>800</v>
      </c>
      <c r="AB4" s="3373" t="s">
        <v>801</v>
      </c>
      <c r="AC4" s="3372" t="s">
        <v>802</v>
      </c>
    </row>
    <row r="5" spans="1:29" ht="15">
      <c r="A5" s="512"/>
      <c r="B5" s="513"/>
      <c r="C5" s="3400" t="s">
        <v>2940</v>
      </c>
      <c r="D5" s="3401"/>
      <c r="E5" s="3416" t="s">
        <v>2941</v>
      </c>
      <c r="F5" s="3417"/>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19" t="s">
        <v>2944</v>
      </c>
      <c r="F6" s="3420"/>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43123</v>
      </c>
      <c r="D7" s="517">
        <v>100</v>
      </c>
      <c r="E7" s="518"/>
      <c r="F7" s="519">
        <f>SUMIF(46:46,YEAR(E7)&amp;"-"&amp;MONTH(E7),47:47)</f>
        <v>0</v>
      </c>
      <c r="G7" s="520"/>
      <c r="H7" s="517">
        <f>SUMIF(46:46,YEAR(G7)&amp;"-"&amp;MONTH(G7),47:47)</f>
        <v>0</v>
      </c>
      <c r="I7" s="520"/>
      <c r="J7" s="517">
        <f>SUMIF(46:46,YEAR(I7)&amp;"-"&amp;MONTH(I7),47:47)</f>
        <v>0</v>
      </c>
      <c r="K7" s="521"/>
      <c r="L7" s="2133"/>
      <c r="M7" s="2134"/>
      <c r="N7" s="2134"/>
      <c r="O7" s="2134"/>
      <c r="P7" s="3375" t="s">
        <v>531</v>
      </c>
      <c r="Q7" s="3384"/>
      <c r="R7" s="1565" t="s">
        <v>8</v>
      </c>
      <c r="S7" s="1566">
        <f t="shared" ref="S7:S14" si="0">F7</f>
        <v>0</v>
      </c>
      <c r="T7" s="1565" t="s">
        <v>8</v>
      </c>
      <c r="U7" s="1566">
        <f t="shared" ref="U7:U14" si="1">H7</f>
        <v>0</v>
      </c>
      <c r="V7" s="1565" t="s">
        <v>8</v>
      </c>
      <c r="W7" s="1566">
        <f t="shared" ref="W7:W14"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83" t="s">
        <v>536</v>
      </c>
      <c r="Q9" s="1147" t="str">
        <f t="shared" ref="Q9:Q14" si="6">B9</f>
        <v>用途</v>
      </c>
      <c r="R9" s="1565" t="s">
        <v>8</v>
      </c>
      <c r="S9" s="1566">
        <f t="shared" si="0"/>
        <v>100</v>
      </c>
      <c r="T9" s="1565" t="s">
        <v>8</v>
      </c>
      <c r="U9" s="1566">
        <f t="shared" si="1"/>
        <v>100</v>
      </c>
      <c r="V9" s="1565" t="s">
        <v>8</v>
      </c>
      <c r="W9" s="1566">
        <f t="shared" si="2"/>
        <v>100</v>
      </c>
      <c r="X9" s="1567"/>
      <c r="Y9" s="3340"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83"/>
      <c r="Q11" s="1147">
        <f t="shared" si="6"/>
        <v>111</v>
      </c>
      <c r="R11" s="1565" t="s">
        <v>8</v>
      </c>
      <c r="S11" s="1566">
        <f t="shared" si="0"/>
        <v>100</v>
      </c>
      <c r="T11" s="1565" t="s">
        <v>8</v>
      </c>
      <c r="U11" s="1566">
        <f t="shared" si="1"/>
        <v>100</v>
      </c>
      <c r="V11" s="1565" t="s">
        <v>8</v>
      </c>
      <c r="W11" s="1566">
        <f t="shared" si="2"/>
        <v>100</v>
      </c>
      <c r="X11" s="1567"/>
      <c r="Y11" s="3340"/>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385" t="s">
        <v>541</v>
      </c>
      <c r="Q14" s="1569" t="str">
        <f t="shared" si="6"/>
        <v>交通便捷度</v>
      </c>
      <c r="R14" s="1570" t="s">
        <v>8</v>
      </c>
      <c r="S14" s="1571">
        <f t="shared" si="0"/>
        <v>100</v>
      </c>
      <c r="T14" s="1570" t="s">
        <v>8</v>
      </c>
      <c r="U14" s="1571">
        <f t="shared" si="1"/>
        <v>100</v>
      </c>
      <c r="V14" s="1570" t="s">
        <v>8</v>
      </c>
      <c r="W14" s="1571">
        <f t="shared" si="2"/>
        <v>100</v>
      </c>
      <c r="X14" s="1564"/>
      <c r="Y14" s="3385"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386"/>
      <c r="Q15" s="1569"/>
      <c r="R15" s="1570"/>
      <c r="S15" s="1571"/>
      <c r="T15" s="1570"/>
      <c r="U15" s="1571"/>
      <c r="V15" s="1570"/>
      <c r="W15" s="1571"/>
      <c r="X15" s="1564"/>
      <c r="Y15" s="3386"/>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386"/>
      <c r="Q17" s="1569"/>
      <c r="R17" s="1570"/>
      <c r="S17" s="1571"/>
      <c r="T17" s="1570"/>
      <c r="U17" s="1571"/>
      <c r="V17" s="1570"/>
      <c r="W17" s="1571"/>
      <c r="X17" s="1564"/>
      <c r="Y17" s="3386"/>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386"/>
      <c r="Q18" s="2601" t="str">
        <f>B18</f>
        <v>基础设施水平</v>
      </c>
      <c r="R18" s="1570" t="s">
        <v>8</v>
      </c>
      <c r="S18" s="1571">
        <f>F18</f>
        <v>100</v>
      </c>
      <c r="T18" s="1570" t="s">
        <v>8</v>
      </c>
      <c r="U18" s="1571">
        <f>H18</f>
        <v>100</v>
      </c>
      <c r="V18" s="1570" t="s">
        <v>8</v>
      </c>
      <c r="W18" s="1571">
        <f>J18</f>
        <v>100</v>
      </c>
      <c r="X18" s="2603"/>
      <c r="Y18" s="338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386"/>
      <c r="Q19" s="2601"/>
      <c r="R19" s="1570"/>
      <c r="S19" s="1571"/>
      <c r="T19" s="1570"/>
      <c r="U19" s="1571"/>
      <c r="V19" s="1570"/>
      <c r="W19" s="1571"/>
      <c r="X19" s="2603"/>
      <c r="Y19" s="3386"/>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386"/>
      <c r="Q21" s="1569"/>
      <c r="R21" s="1570"/>
      <c r="S21" s="1571"/>
      <c r="T21" s="1570"/>
      <c r="U21" s="1571"/>
      <c r="V21" s="1570"/>
      <c r="W21" s="1571"/>
      <c r="X21" s="1564"/>
      <c r="Y21" s="3386"/>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386"/>
      <c r="Q24" s="1569">
        <f t="shared" ref="Q24:Q34"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386"/>
      <c r="Q25" s="1147">
        <f t="shared" si="11"/>
        <v>111</v>
      </c>
      <c r="R25" s="1565" t="s">
        <v>8</v>
      </c>
      <c r="S25" s="1566">
        <f>F25</f>
        <v>100</v>
      </c>
      <c r="T25" s="1565" t="s">
        <v>8</v>
      </c>
      <c r="U25" s="1566">
        <f>H25</f>
        <v>100</v>
      </c>
      <c r="V25" s="1565" t="s">
        <v>8</v>
      </c>
      <c r="W25" s="1566">
        <f>J25</f>
        <v>100</v>
      </c>
      <c r="X25" s="1567"/>
      <c r="Y25" s="3386"/>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38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8"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388"/>
      <c r="Q27" s="1602" t="str">
        <f t="shared" si="11"/>
        <v>成新率</v>
      </c>
      <c r="R27" s="1574" t="s">
        <v>8</v>
      </c>
      <c r="S27" s="1575" t="e">
        <f t="shared" si="12"/>
        <v>#N/A</v>
      </c>
      <c r="T27" s="1574" t="s">
        <v>8</v>
      </c>
      <c r="U27" s="1575" t="e">
        <f t="shared" si="13"/>
        <v>#N/A</v>
      </c>
      <c r="V27" s="1574" t="s">
        <v>8</v>
      </c>
      <c r="W27" s="1575" t="e">
        <f t="shared" si="14"/>
        <v>#N/A</v>
      </c>
      <c r="X27" s="1576"/>
      <c r="Y27" s="3388"/>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388"/>
      <c r="Q28" s="1569" t="str">
        <f t="shared" si="11"/>
        <v>物业等级</v>
      </c>
      <c r="R28" s="1570" t="s">
        <v>8</v>
      </c>
      <c r="S28" s="1571">
        <f t="shared" si="12"/>
        <v>100</v>
      </c>
      <c r="T28" s="1570" t="s">
        <v>8</v>
      </c>
      <c r="U28" s="1571">
        <f t="shared" si="13"/>
        <v>100</v>
      </c>
      <c r="V28" s="1570" t="s">
        <v>8</v>
      </c>
      <c r="W28" s="1571">
        <f t="shared" si="14"/>
        <v>100</v>
      </c>
      <c r="X28" s="1564"/>
      <c r="Y28" s="3388"/>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388"/>
      <c r="Q29" s="1569" t="str">
        <f t="shared" si="11"/>
        <v>有无电梯</v>
      </c>
      <c r="R29" s="1570" t="s">
        <v>8</v>
      </c>
      <c r="S29" s="1571">
        <f t="shared" si="12"/>
        <v>100</v>
      </c>
      <c r="T29" s="1570" t="s">
        <v>8</v>
      </c>
      <c r="U29" s="1571">
        <f t="shared" si="13"/>
        <v>100</v>
      </c>
      <c r="V29" s="1570" t="s">
        <v>8</v>
      </c>
      <c r="W29" s="1571">
        <f t="shared" si="14"/>
        <v>100</v>
      </c>
      <c r="X29" s="1564"/>
      <c r="Y29" s="3388"/>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388"/>
      <c r="Q30" s="1569" t="str">
        <f t="shared" si="11"/>
        <v>建筑面积</v>
      </c>
      <c r="R30" s="1570" t="s">
        <v>8</v>
      </c>
      <c r="S30" s="1571" t="e">
        <f t="shared" si="12"/>
        <v>#N/A</v>
      </c>
      <c r="T30" s="1570" t="s">
        <v>8</v>
      </c>
      <c r="U30" s="1571" t="e">
        <f t="shared" si="13"/>
        <v>#N/A</v>
      </c>
      <c r="V30" s="1570" t="s">
        <v>8</v>
      </c>
      <c r="W30" s="1571" t="e">
        <f t="shared" si="14"/>
        <v>#N/A</v>
      </c>
      <c r="X30" s="1564"/>
      <c r="Y30" s="3388"/>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388"/>
      <c r="Q31" s="1147" t="str">
        <f t="shared" si="11"/>
        <v>是否封闭</v>
      </c>
      <c r="R31" s="1565" t="s">
        <v>8</v>
      </c>
      <c r="S31" s="1566">
        <f t="shared" si="12"/>
        <v>100</v>
      </c>
      <c r="T31" s="1565" t="s">
        <v>8</v>
      </c>
      <c r="U31" s="1566">
        <f t="shared" si="13"/>
        <v>100</v>
      </c>
      <c r="V31" s="1565" t="s">
        <v>8</v>
      </c>
      <c r="W31" s="1566">
        <f t="shared" si="14"/>
        <v>100</v>
      </c>
      <c r="X31" s="1567"/>
      <c r="Y31" s="338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388" t="s">
        <v>551</v>
      </c>
      <c r="Q32" s="1569">
        <f t="shared" si="11"/>
        <v>111</v>
      </c>
      <c r="R32" s="1570" t="s">
        <v>8</v>
      </c>
      <c r="S32" s="1571">
        <f t="shared" si="12"/>
        <v>100</v>
      </c>
      <c r="T32" s="1570" t="s">
        <v>8</v>
      </c>
      <c r="U32" s="1571">
        <f t="shared" si="13"/>
        <v>100</v>
      </c>
      <c r="V32" s="1570" t="s">
        <v>8</v>
      </c>
      <c r="W32" s="1571">
        <f t="shared" si="14"/>
        <v>100</v>
      </c>
      <c r="X32" s="1564"/>
      <c r="Y32" s="3388"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388"/>
      <c r="Q33" s="1569">
        <f t="shared" si="11"/>
        <v>111</v>
      </c>
      <c r="R33" s="1570" t="s">
        <v>8</v>
      </c>
      <c r="S33" s="1571">
        <f t="shared" si="12"/>
        <v>100</v>
      </c>
      <c r="T33" s="1570" t="s">
        <v>8</v>
      </c>
      <c r="U33" s="1571">
        <f t="shared" si="13"/>
        <v>100</v>
      </c>
      <c r="V33" s="1570" t="s">
        <v>8</v>
      </c>
      <c r="W33" s="1571">
        <f t="shared" si="14"/>
        <v>100</v>
      </c>
      <c r="X33" s="1564"/>
      <c r="Y33" s="338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83" t="str">
        <f>A35</f>
        <v>成交单价（元/平方米）</v>
      </c>
      <c r="Q35" s="3383"/>
      <c r="R35" s="3465">
        <f>E35</f>
        <v>0</v>
      </c>
      <c r="S35" s="3465"/>
      <c r="T35" s="3465">
        <f>G35</f>
        <v>0</v>
      </c>
      <c r="U35" s="3465"/>
      <c r="V35" s="3465">
        <f>I35</f>
        <v>0</v>
      </c>
      <c r="W35" s="3465"/>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83" t="str">
        <f>A36</f>
        <v>比较价格（元/平方米）</v>
      </c>
      <c r="Q36" s="3383"/>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405" t="str">
        <f>A37</f>
        <v>估价对象XX用房的比较价格（楼面单价，元/平方米）</v>
      </c>
      <c r="Q37" s="3406"/>
      <c r="R37" s="3464" t="e">
        <f>IF(F1="售价",ROUND(AVERAGE(R36:V36),0),ROUND(AVERAGE(R36:V36),1))</f>
        <v>#DIV/0!</v>
      </c>
      <c r="S37" s="3464"/>
      <c r="T37" s="3464"/>
      <c r="U37" s="3464"/>
      <c r="V37" s="3464"/>
      <c r="W37" s="3464"/>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7" t="s">
        <v>2308</v>
      </c>
      <c r="D1" s="3498"/>
      <c r="E1" s="3498"/>
      <c r="F1" s="3498"/>
      <c r="G1" s="3498"/>
      <c r="H1" s="3498"/>
      <c r="I1" s="3498"/>
      <c r="J1" s="3498"/>
      <c r="K1" s="3498"/>
      <c r="L1" s="3498"/>
      <c r="M1" s="3498"/>
      <c r="N1" s="3498"/>
      <c r="O1" s="3498"/>
      <c r="P1" s="3498"/>
      <c r="Q1" s="3498"/>
      <c r="R1" s="3498"/>
      <c r="S1" s="3499"/>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43123</v>
      </c>
      <c r="H1" s="2961">
        <f>IF(C1&gt;C13,0,MATCH(C1,C$13:C$100,-1))+IF(SUMIF(C13:C100,C1,D13:D100)=0,13,12)</f>
        <v>13</v>
      </c>
      <c r="I1" s="2961">
        <f>MATCH(C2,H3:H7,1)+IF(SUMIF(H3:H7,C2,I3:I7)=0,2,1)</f>
        <v>6</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3.5</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2042</v>
      </c>
      <c r="B1" s="3206"/>
      <c r="C1" s="3206"/>
      <c r="D1" s="3206"/>
      <c r="E1" s="3206"/>
      <c r="F1" s="3206"/>
      <c r="G1" s="3206"/>
      <c r="H1" s="3206"/>
      <c r="I1" s="3206"/>
      <c r="J1" s="3206"/>
      <c r="K1" s="3206"/>
      <c r="L1" s="3206"/>
      <c r="M1" s="3206"/>
      <c r="N1" s="3206"/>
      <c r="O1" s="3206"/>
      <c r="P1" s="3206"/>
      <c r="Q1" s="3206"/>
      <c r="R1" s="3206"/>
    </row>
    <row r="2" spans="1:18">
      <c r="A2" s="1805" t="s">
        <v>2044</v>
      </c>
      <c r="B2" s="1805"/>
      <c r="C2" s="1805"/>
      <c r="D2" s="1805"/>
      <c r="E2" s="1805"/>
      <c r="F2" s="1805"/>
      <c r="G2" s="1805"/>
      <c r="H2" s="1805"/>
      <c r="I2" s="1806"/>
      <c r="J2" s="1806"/>
      <c r="K2" s="1807" t="str">
        <f>"估价期日："&amp;TEXT(项目基本情况!D3,"yyyy年m月d日;;")</f>
        <v>估价期日：2018年1月23日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7" t="s">
        <v>2033</v>
      </c>
      <c r="B3" s="3207" t="s">
        <v>2740</v>
      </c>
      <c r="C3" s="3208" t="s">
        <v>2034</v>
      </c>
      <c r="D3" s="3207" t="s">
        <v>2744</v>
      </c>
      <c r="E3" s="3210" t="s">
        <v>2035</v>
      </c>
      <c r="F3" s="3210"/>
      <c r="G3" s="3210"/>
      <c r="H3" s="3210" t="s">
        <v>2036</v>
      </c>
      <c r="I3" s="3210"/>
      <c r="J3" s="3210"/>
      <c r="K3" s="3208" t="s">
        <v>2037</v>
      </c>
      <c r="L3" s="3208" t="s">
        <v>2038</v>
      </c>
      <c r="M3" s="3207" t="s">
        <v>2741</v>
      </c>
      <c r="N3" s="3209" t="str">
        <f>"（分摊）"&amp;项目基本情况!B16&amp;"国有建设用地使用权面积/㎡"</f>
        <v>（分摊）出让国有建设用地使用权面积/㎡</v>
      </c>
      <c r="O3" s="3207" t="s">
        <v>2067</v>
      </c>
      <c r="P3" s="3208" t="s">
        <v>2047</v>
      </c>
      <c r="Q3" s="3208" t="s">
        <v>2068</v>
      </c>
      <c r="R3" s="3208" t="s">
        <v>2039</v>
      </c>
    </row>
    <row r="4" spans="1:18" ht="36.75" customHeight="1">
      <c r="A4" s="3207"/>
      <c r="B4" s="3207"/>
      <c r="C4" s="3208"/>
      <c r="D4" s="3207"/>
      <c r="E4" s="2672" t="s">
        <v>2046</v>
      </c>
      <c r="F4" s="2672" t="s">
        <v>2753</v>
      </c>
      <c r="G4" s="2672" t="s">
        <v>2040</v>
      </c>
      <c r="H4" s="2672" t="s">
        <v>2041</v>
      </c>
      <c r="I4" s="2672" t="s">
        <v>2754</v>
      </c>
      <c r="J4" s="2672" t="s">
        <v>2040</v>
      </c>
      <c r="K4" s="3208"/>
      <c r="L4" s="3208"/>
      <c r="M4" s="3207"/>
      <c r="N4" s="3209"/>
      <c r="O4" s="3207"/>
      <c r="P4" s="3208"/>
      <c r="Q4" s="3208"/>
      <c r="R4" s="3208"/>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72005</v>
      </c>
      <c r="Q5" s="1808">
        <f ca="1">结果表!D42</f>
        <v>19727</v>
      </c>
      <c r="R5" s="1809">
        <f ca="1">结果表!C42</f>
        <v>269141</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0" t="str">
        <f>结果表!O39</f>
        <v>——</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0"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1" t="s">
        <v>2069</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2070</v>
      </c>
      <c r="B5" s="3214"/>
      <c r="C5" s="3214"/>
      <c r="D5" s="3214"/>
    </row>
    <row r="6" spans="1:4">
      <c r="A6" s="3211" t="s">
        <v>2048</v>
      </c>
      <c r="B6" s="3211"/>
      <c r="C6" s="3211"/>
      <c r="D6" s="3211"/>
    </row>
    <row r="7" spans="1:4" ht="33" customHeight="1">
      <c r="A7" s="3211" t="s">
        <v>2582</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2072</v>
      </c>
      <c r="B12" s="3214"/>
      <c r="C12" s="3214"/>
      <c r="D12" s="3214"/>
    </row>
    <row r="13" spans="1:4">
      <c r="A13" s="3212" t="s">
        <v>2755</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2711</v>
      </c>
      <c r="B17" s="3211"/>
      <c r="C17" s="3211"/>
      <c r="D17" s="3211"/>
    </row>
    <row r="18" spans="1:4">
      <c r="A18" s="3211" t="s">
        <v>2703</v>
      </c>
      <c r="B18" s="3211"/>
      <c r="C18" s="3211"/>
      <c r="D18" s="3211"/>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1" t="s">
        <v>2708</v>
      </c>
      <c r="B23" s="3211"/>
      <c r="C23" s="3211"/>
      <c r="D23" s="3211"/>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3" t="s">
        <v>53</v>
      </c>
      <c r="B15" s="3224" t="s">
        <v>847</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838</v>
      </c>
    </row>
    <row r="25" spans="1:3" ht="14.25">
      <c r="A25" s="3222"/>
      <c r="B25" s="3226"/>
      <c r="C25" s="1172" t="s">
        <v>839</v>
      </c>
    </row>
    <row r="26" spans="1:3" ht="14.25">
      <c r="A26" s="3222"/>
      <c r="B26" s="3226"/>
      <c r="C26" s="1172" t="s">
        <v>840</v>
      </c>
    </row>
    <row r="27" spans="1:3" ht="14.25">
      <c r="A27" s="3222"/>
      <c r="B27" s="3226"/>
      <c r="C27" s="1172" t="s">
        <v>841</v>
      </c>
    </row>
    <row r="28" spans="1:3" ht="14.25">
      <c r="A28" s="3222"/>
      <c r="B28" s="3226"/>
      <c r="C28" s="1172" t="s">
        <v>842</v>
      </c>
    </row>
    <row r="29" spans="1:3" ht="14.25">
      <c r="A29" s="3222"/>
      <c r="B29" s="3226"/>
      <c r="C29" s="1172" t="s">
        <v>843</v>
      </c>
    </row>
    <row r="30" spans="1:3" ht="14.25">
      <c r="A30" s="3222"/>
      <c r="B30" s="3226"/>
      <c r="C30" s="1172" t="s">
        <v>844</v>
      </c>
    </row>
    <row r="31" spans="1:3" ht="14.25">
      <c r="A31" s="3222"/>
      <c r="B31" s="3226"/>
      <c r="C31" s="1172" t="s">
        <v>845</v>
      </c>
    </row>
    <row r="32" spans="1:3" ht="14.25">
      <c r="A32" s="3222"/>
      <c r="B32" s="3226"/>
      <c r="C32" s="1172" t="s">
        <v>1648</v>
      </c>
    </row>
    <row r="33" spans="1:3" ht="14.25">
      <c r="A33" s="3222"/>
      <c r="B33" s="3216" t="s">
        <v>1654</v>
      </c>
      <c r="C33" s="1172" t="s">
        <v>1649</v>
      </c>
    </row>
    <row r="34" spans="1:3" ht="14.25">
      <c r="A34" s="3222"/>
      <c r="B34" s="3217"/>
      <c r="C34" s="1177" t="s">
        <v>1650</v>
      </c>
    </row>
    <row r="35" spans="1:3" ht="14.25">
      <c r="A35" s="3222"/>
      <c r="B35" s="3217"/>
      <c r="C35" s="1178" t="s">
        <v>1651</v>
      </c>
    </row>
    <row r="36" spans="1:3" ht="14.25">
      <c r="A36" s="3222"/>
      <c r="B36" s="3217"/>
      <c r="C36" s="1178" t="s">
        <v>1652</v>
      </c>
    </row>
    <row r="37" spans="1:3" ht="14.25">
      <c r="A37" s="3222"/>
      <c r="B37" s="321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43126</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c r="D53" s="1765"/>
      <c r="E53" s="1765"/>
    </row>
    <row r="54" spans="1:5">
      <c r="A54" s="32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2018-01-26T07:25:05Z</dcterms:modified>
</cp:coreProperties>
</file>