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45" windowWidth="9630" windowHeight="1054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场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47" i="21" l="1"/>
  <c r="G47" i="21"/>
  <c r="E47" i="21"/>
  <c r="I33" i="21"/>
  <c r="G33" i="21"/>
  <c r="E33" i="21"/>
  <c r="D3" i="21"/>
  <c r="C33" i="21"/>
  <c r="I5" i="21"/>
  <c r="G5" i="21"/>
  <c r="E5" i="21"/>
  <c r="E25" i="80"/>
  <c r="E24" i="80"/>
  <c r="E23" i="80"/>
  <c r="E16" i="80"/>
  <c r="E15" i="80"/>
  <c r="E14" i="80"/>
  <c r="E13" i="80"/>
  <c r="E9" i="80"/>
  <c r="E8" i="80"/>
  <c r="E5" i="80"/>
  <c r="E4" i="80"/>
  <c r="G73" i="43"/>
  <c r="G74" i="43"/>
  <c r="G75" i="43"/>
  <c r="G76" i="43"/>
  <c r="G77" i="43"/>
  <c r="G78" i="43"/>
  <c r="G79" i="43"/>
  <c r="G80" i="43"/>
  <c r="G72" i="43"/>
  <c r="D33" i="43"/>
  <c r="N6" i="1"/>
  <c r="N19"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1" i="71" s="1"/>
  <c r="D30" i="71"/>
  <c r="D34" i="71"/>
  <c r="C39" i="71"/>
  <c r="D38" i="71"/>
  <c r="C43" i="71"/>
  <c r="D42" i="71"/>
  <c r="C47" i="71"/>
  <c r="D47" i="71"/>
  <c r="D46"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44" i="71"/>
  <c r="T44" i="71" s="1"/>
  <c r="D43" i="71"/>
  <c r="C40" i="71"/>
  <c r="T40" i="71" s="1"/>
  <c r="D39" i="71"/>
  <c r="C36" i="71"/>
  <c r="T36" i="71" s="1"/>
  <c r="D35" i="71"/>
  <c r="C32" i="71"/>
  <c r="T32" i="71" s="1"/>
  <c r="O66" i="71"/>
  <c r="O65" i="71"/>
  <c r="D32" i="71"/>
  <c r="D36"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U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H38" i="21"/>
  <c r="U38" i="21"/>
  <c r="H43" i="21"/>
  <c r="AB43" i="21" s="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35" i="21"/>
  <c r="AC35" i="21"/>
  <c r="G8" i="1"/>
  <c r="G10" i="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Z465" i="3"/>
  <c r="AZ586" i="3"/>
  <c r="AA32" i="36"/>
  <c r="S32" i="36"/>
  <c r="AZ408" i="3"/>
  <c r="AZ437" i="3"/>
  <c r="AZ441" i="3"/>
  <c r="AZ457" i="3"/>
  <c r="AZ473" i="3"/>
  <c r="AZ490" i="3"/>
  <c r="F28" i="6"/>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AC15" i="21"/>
  <c r="U13" i="21"/>
  <c r="AB13" i="21"/>
  <c r="S35" i="21"/>
  <c r="J37" i="21"/>
  <c r="W37" i="21" s="1"/>
  <c r="H15" i="21"/>
  <c r="U15" i="21"/>
  <c r="J17" i="21"/>
  <c r="AC17" i="21"/>
  <c r="AC19" i="21"/>
  <c r="W39" i="21"/>
  <c r="AC14" i="21"/>
  <c r="W30" i="21"/>
  <c r="S46" i="21"/>
  <c r="H45" i="21"/>
  <c r="U45" i="21" s="1"/>
  <c r="F29" i="21"/>
  <c r="S29" i="21" s="1"/>
  <c r="F13" i="21"/>
  <c r="AC38" i="21"/>
  <c r="H32" i="21"/>
  <c r="H9" i="21"/>
  <c r="J9" i="21"/>
  <c r="W9" i="21" s="1"/>
  <c r="J32" i="21"/>
  <c r="W32" i="21" s="1"/>
  <c r="F32" i="21"/>
  <c r="AA31" i="21"/>
  <c r="U17" i="21"/>
  <c r="W29" i="21"/>
  <c r="S1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A32" i="39"/>
  <c r="S32" i="39"/>
  <c r="AB21" i="39"/>
  <c r="U21" i="39"/>
  <c r="AA21" i="39"/>
  <c r="S21" i="39"/>
  <c r="AC17" i="37"/>
  <c r="J19" i="37"/>
  <c r="W19" i="37" s="1"/>
  <c r="G75" i="37"/>
  <c r="S19" i="37"/>
  <c r="AA23" i="37"/>
  <c r="J23" i="37"/>
  <c r="G79" i="37"/>
  <c r="J10" i="37"/>
  <c r="W10" i="37" s="1"/>
  <c r="G63" i="37"/>
  <c r="H11" i="37"/>
  <c r="AB11" i="37" s="1"/>
  <c r="G70" i="34"/>
  <c r="H11" i="34"/>
  <c r="U11" i="34" s="1"/>
  <c r="J10" i="34"/>
  <c r="AC10" i="34" s="1"/>
  <c r="AB41" i="33"/>
  <c r="U41" i="33"/>
  <c r="W35" i="33"/>
  <c r="AC35"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S37" i="21"/>
  <c r="AA23" i="21"/>
  <c r="AB15" i="21"/>
  <c r="J23" i="21"/>
  <c r="F85" i="21"/>
  <c r="G85" i="21" s="1"/>
  <c r="H23" i="21"/>
  <c r="D6" i="52"/>
  <c r="AP7" i="1"/>
  <c r="AB45" i="21"/>
  <c r="AB9" i="21"/>
  <c r="U9" i="21"/>
  <c r="AA32" i="21"/>
  <c r="S32" i="21"/>
  <c r="AC9" i="21"/>
  <c r="AB32" i="21"/>
  <c r="U32" i="21"/>
  <c r="U32" i="39"/>
  <c r="AC32" i="39"/>
  <c r="W32" i="39"/>
  <c r="AC19" i="37"/>
  <c r="W23" i="37"/>
  <c r="AC23" i="37"/>
  <c r="H63" i="37"/>
  <c r="I63" i="37"/>
  <c r="J63" i="37" s="1"/>
  <c r="K63" i="37" s="1"/>
  <c r="L63" i="37" s="1"/>
  <c r="M63" i="37" s="1"/>
  <c r="J11" i="37"/>
  <c r="AC11" i="37" s="1"/>
  <c r="H70" i="34"/>
  <c r="I70" i="34" s="1"/>
  <c r="J70" i="34" s="1"/>
  <c r="K70" i="34" s="1"/>
  <c r="L70" i="34" s="1"/>
  <c r="M70" i="34" s="1"/>
  <c r="J11" i="34"/>
  <c r="W11" i="34" s="1"/>
  <c r="W27" i="33"/>
  <c r="AC27" i="33"/>
  <c r="W25" i="33"/>
  <c r="AC25" i="33"/>
  <c r="AA23" i="33"/>
  <c r="AB19"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F16" i="67"/>
  <c r="E2" i="69"/>
  <c r="E8" i="76"/>
  <c r="F16" i="15"/>
  <c r="E7" i="76"/>
  <c r="F8" i="15"/>
  <c r="F36" i="15"/>
  <c r="AO13" i="1"/>
  <c r="F7" i="15"/>
  <c r="E13" i="76"/>
  <c r="F7" i="67"/>
  <c r="M24" i="67"/>
  <c r="D7" i="73"/>
  <c r="F4" i="73"/>
  <c r="L47" i="67"/>
  <c r="B8" i="76"/>
  <c r="E11" i="76"/>
  <c r="E12" i="76"/>
  <c r="F37" i="67"/>
  <c r="L47" i="15"/>
  <c r="F9" i="15"/>
  <c r="L48" i="67"/>
  <c r="F13" i="67"/>
  <c r="F43" i="67"/>
  <c r="M28" i="67"/>
  <c r="F42" i="15"/>
  <c r="M23" i="67"/>
  <c r="F3" i="73"/>
  <c r="B13" i="76"/>
  <c r="B7" i="76"/>
  <c r="F20" i="31"/>
  <c r="F6" i="67"/>
  <c r="E10" i="76"/>
  <c r="F37" i="15"/>
  <c r="D3" i="73"/>
  <c r="M22" i="67"/>
  <c r="D6" i="73"/>
  <c r="F26" i="15"/>
  <c r="D4" i="73"/>
  <c r="F8" i="67"/>
  <c r="B9" i="76"/>
  <c r="M29" i="67"/>
  <c r="F42" i="67"/>
  <c r="M29" i="15"/>
  <c r="M9" i="67"/>
  <c r="F9" i="67"/>
  <c r="F40" i="15"/>
  <c r="F13" i="15"/>
  <c r="E2" i="68"/>
  <c r="B10" i="76"/>
  <c r="M8" i="67"/>
  <c r="M28" i="15"/>
  <c r="M26" i="15"/>
  <c r="M9" i="15"/>
  <c r="M26" i="67"/>
  <c r="F5" i="73"/>
  <c r="J15" i="67"/>
  <c r="F36" i="67"/>
  <c r="M22" i="15"/>
  <c r="F43" i="15"/>
  <c r="M6" i="67"/>
  <c r="B12" i="76"/>
  <c r="F6" i="73"/>
  <c r="F38" i="67"/>
  <c r="M24" i="15"/>
  <c r="C76" i="15"/>
  <c r="J15" i="15"/>
  <c r="B11" i="76"/>
  <c r="C76" i="67"/>
  <c r="L48" i="15"/>
  <c r="F7" i="73"/>
  <c r="F40" i="67"/>
  <c r="M6" i="15"/>
  <c r="E9" i="76"/>
  <c r="F6" i="15"/>
  <c r="F26" i="67"/>
  <c r="M23" i="15"/>
  <c r="M8" i="15"/>
  <c r="F38" i="15"/>
  <c r="U43" i="21" l="1"/>
  <c r="F43" i="21"/>
  <c r="W43" i="21"/>
  <c r="S42" i="21"/>
  <c r="W12" i="21"/>
  <c r="H67" i="43"/>
  <c r="F30" i="69"/>
  <c r="F48" i="69" s="1"/>
  <c r="F31" i="12"/>
  <c r="F54" i="9"/>
  <c r="M18" i="15"/>
  <c r="M18" i="67"/>
  <c r="F30" i="11"/>
  <c r="C48" i="11" s="1"/>
  <c r="D68" i="9"/>
  <c r="F28" i="15"/>
  <c r="F32" i="15"/>
  <c r="F60" i="15" s="1"/>
  <c r="F32" i="67"/>
  <c r="F60" i="67" s="1"/>
  <c r="F52" i="9"/>
  <c r="F28" i="67"/>
  <c r="F30" i="68"/>
  <c r="F48" i="68" s="1"/>
  <c r="G29" i="6"/>
  <c r="E19" i="71"/>
  <c r="E18" i="71" s="1"/>
  <c r="E17" i="71" s="1"/>
  <c r="E16" i="71" s="1"/>
  <c r="V20" i="71"/>
  <c r="D17" i="71"/>
  <c r="C16" i="71"/>
  <c r="D19" i="53"/>
  <c r="B38" i="72" s="1"/>
  <c r="D16" i="53"/>
  <c r="B34" i="72" s="1"/>
  <c r="AB36" i="33"/>
  <c r="AA36" i="33"/>
  <c r="S36" i="33"/>
  <c r="AZ521" i="3"/>
  <c r="U31" i="39"/>
  <c r="AB31" i="39"/>
  <c r="AA36" i="39"/>
  <c r="S36" i="39"/>
  <c r="AA13" i="21"/>
  <c r="S13" i="21"/>
  <c r="AA17" i="37"/>
  <c r="S17" i="37"/>
  <c r="AC45" i="21"/>
  <c r="W45" i="21"/>
  <c r="G28" i="6"/>
  <c r="AZ548" i="3"/>
  <c r="H23" i="35"/>
  <c r="J23" i="35"/>
  <c r="H25" i="37"/>
  <c r="J25" i="37"/>
  <c r="F25" i="37"/>
  <c r="F38" i="40"/>
  <c r="J38" i="40"/>
  <c r="H38" i="40"/>
  <c r="BL550" i="3"/>
  <c r="AZ550" i="3" s="1"/>
  <c r="AZ409" i="3"/>
  <c r="AZ425" i="3"/>
  <c r="AZ432" i="3"/>
  <c r="AZ445" i="3"/>
  <c r="AZ447" i="3"/>
  <c r="AZ464" i="3"/>
  <c r="AZ467" i="3"/>
  <c r="AZ474" i="3"/>
  <c r="AZ480" i="3"/>
  <c r="AZ482" i="3"/>
  <c r="AZ486" i="3"/>
  <c r="AZ488" i="3"/>
  <c r="C28" i="67"/>
  <c r="W33" i="34"/>
  <c r="AA40" i="34"/>
  <c r="BL5" i="3"/>
  <c r="G5" i="3"/>
  <c r="B3" i="3" s="1"/>
  <c r="E77" i="3" s="1"/>
  <c r="AA35" i="33"/>
  <c r="AC39" i="34"/>
  <c r="U44" i="34"/>
  <c r="AB20" i="36"/>
  <c r="S15" i="39"/>
  <c r="U25" i="39"/>
  <c r="U37" i="39"/>
  <c r="AC34" i="33"/>
  <c r="AA39" i="34"/>
  <c r="U12" i="40"/>
  <c r="S15" i="37"/>
  <c r="AC11" i="39"/>
  <c r="AC5" i="3"/>
  <c r="W35" i="40"/>
  <c r="AB33" i="40"/>
  <c r="AC12" i="37"/>
  <c r="AC11" i="35"/>
  <c r="S26" i="33"/>
  <c r="F31" i="39"/>
  <c r="U35" i="33"/>
  <c r="U34" i="35"/>
  <c r="U31" i="35"/>
  <c r="U31" i="36"/>
  <c r="U9" i="36"/>
  <c r="U14" i="37"/>
  <c r="W31" i="37"/>
  <c r="J36" i="39"/>
  <c r="H36" i="39"/>
  <c r="J12" i="33"/>
  <c r="H12" i="33"/>
  <c r="H12" i="36"/>
  <c r="H24" i="36"/>
  <c r="J26" i="37"/>
  <c r="H26" i="37"/>
  <c r="F26" i="37"/>
  <c r="H44" i="39"/>
  <c r="F44" i="39"/>
  <c r="J39" i="40"/>
  <c r="H39" i="40"/>
  <c r="BA551" i="3"/>
  <c r="AZ551" i="3" s="1"/>
  <c r="AZ399" i="3"/>
  <c r="AZ404" i="3"/>
  <c r="AZ414" i="3"/>
  <c r="AZ421" i="3"/>
  <c r="AZ430" i="3"/>
  <c r="AZ449" i="3"/>
  <c r="AZ453" i="3"/>
  <c r="AZ455" i="3"/>
  <c r="AZ385" i="3"/>
  <c r="AZ210" i="3"/>
  <c r="AZ225" i="3"/>
  <c r="AZ239" i="3"/>
  <c r="AZ255" i="3"/>
  <c r="AZ205" i="3"/>
  <c r="AZ18" i="3"/>
  <c r="AZ23" i="3"/>
  <c r="AZ27" i="3"/>
  <c r="AZ56" i="3"/>
  <c r="AZ73" i="3"/>
  <c r="AZ282" i="3"/>
  <c r="AZ285" i="3"/>
  <c r="AZ290" i="3"/>
  <c r="AZ294" i="3"/>
  <c r="AZ300" i="3"/>
  <c r="AZ118" i="3"/>
  <c r="AZ121" i="3"/>
  <c r="AZ134" i="3"/>
  <c r="AZ137" i="3"/>
  <c r="AZ145" i="3"/>
  <c r="AZ161" i="3"/>
  <c r="AZ177" i="3"/>
  <c r="AZ44" i="3"/>
  <c r="AZ48" i="3"/>
  <c r="AZ60" i="3"/>
  <c r="AZ64" i="3"/>
  <c r="AZ78" i="3"/>
  <c r="AZ87" i="3"/>
  <c r="AZ91" i="3"/>
  <c r="AZ95" i="3"/>
  <c r="T64" i="71"/>
  <c r="D64" i="71"/>
  <c r="P66" i="71"/>
  <c r="P65" i="71"/>
  <c r="C26" i="71"/>
  <c r="D26" i="71" s="1"/>
  <c r="D27" i="71"/>
  <c r="AZ108" i="3"/>
  <c r="S21" i="21"/>
  <c r="U18" i="36"/>
  <c r="S25" i="40"/>
  <c r="AA29" i="71"/>
  <c r="Y9" i="71"/>
  <c r="Z9" i="71" s="1"/>
  <c r="Y10" i="71"/>
  <c r="Z10" i="71" s="1"/>
  <c r="AA9" i="71"/>
  <c r="AA10" i="71"/>
  <c r="X22" i="71"/>
  <c r="AA24" i="71"/>
  <c r="AA22" i="71"/>
  <c r="X21" i="71"/>
  <c r="X18" i="71"/>
  <c r="AA18" i="71"/>
  <c r="Y14" i="71"/>
  <c r="Z14" i="71" s="1"/>
  <c r="X17" i="71"/>
  <c r="AA17" i="71"/>
  <c r="V28" i="71"/>
  <c r="AA28" i="71"/>
  <c r="AA26" i="71"/>
  <c r="X9" i="71"/>
  <c r="X10" i="71"/>
  <c r="AB9" i="71"/>
  <c r="AB10" i="71"/>
  <c r="AB24" i="71"/>
  <c r="Y21" i="71"/>
  <c r="Z21" i="71" s="1"/>
  <c r="AB23" i="71"/>
  <c r="AB21" i="71"/>
  <c r="AA21" i="71"/>
  <c r="Y18" i="71"/>
  <c r="Z18" i="71" s="1"/>
  <c r="AB18" i="71"/>
  <c r="X13" i="71"/>
  <c r="AA14" i="71"/>
  <c r="Y17" i="71"/>
  <c r="Z17" i="71" s="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S43" i="21" l="1"/>
  <c r="AA43" i="21"/>
  <c r="G26" i="43"/>
  <c r="E277" i="3"/>
  <c r="E120" i="3"/>
  <c r="E228" i="3"/>
  <c r="E262" i="3"/>
  <c r="AK6" i="3"/>
  <c r="E128" i="3"/>
  <c r="E545" i="3"/>
  <c r="E434" i="3"/>
  <c r="E181" i="3"/>
  <c r="E238" i="3"/>
  <c r="E568" i="3"/>
  <c r="E156" i="3"/>
  <c r="D20" i="53"/>
  <c r="B40" i="72" s="1"/>
  <c r="B15" i="71"/>
  <c r="B14" i="71" s="1"/>
  <c r="B13" i="71" s="1"/>
  <c r="B12" i="71" s="1"/>
  <c r="S16" i="71"/>
  <c r="AB39" i="40"/>
  <c r="U39" i="40"/>
  <c r="AA44" i="39"/>
  <c r="S44" i="39"/>
  <c r="AA26" i="37"/>
  <c r="S26" i="37"/>
  <c r="AC26" i="37"/>
  <c r="W26" i="37"/>
  <c r="U12" i="36"/>
  <c r="AB12" i="36"/>
  <c r="W12" i="33"/>
  <c r="AC12" i="33"/>
  <c r="AC36" i="39"/>
  <c r="W36" i="39"/>
  <c r="AA31" i="39"/>
  <c r="S31" i="39"/>
  <c r="AC38" i="40"/>
  <c r="W38" i="40"/>
  <c r="AA25" i="37"/>
  <c r="S25" i="37"/>
  <c r="U25" i="37"/>
  <c r="AB25" i="37"/>
  <c r="U23" i="35"/>
  <c r="AB23" i="35"/>
  <c r="C15" i="71"/>
  <c r="T16" i="71"/>
  <c r="F66" i="71"/>
  <c r="Q67" i="71"/>
  <c r="W39" i="40"/>
  <c r="AC39" i="40"/>
  <c r="AB44" i="39"/>
  <c r="U44" i="39"/>
  <c r="U26" i="37"/>
  <c r="AB26" i="37"/>
  <c r="AB24" i="36"/>
  <c r="U24" i="36"/>
  <c r="U12" i="33"/>
  <c r="AB12" i="33"/>
  <c r="AB36" i="39"/>
  <c r="U36" i="3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59" i="3"/>
  <c r="E378" i="3"/>
  <c r="E504" i="3"/>
  <c r="E110" i="3"/>
  <c r="E462" i="3"/>
  <c r="E446" i="3"/>
  <c r="E98" i="3"/>
  <c r="E138" i="3"/>
  <c r="E163" i="3"/>
  <c r="E209" i="3"/>
  <c r="E307" i="3"/>
  <c r="E354" i="3"/>
  <c r="E24" i="3"/>
  <c r="E87" i="3"/>
  <c r="E250" i="3"/>
  <c r="E341" i="3"/>
  <c r="E19"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54" i="3"/>
  <c r="E118" i="3"/>
  <c r="E179" i="3"/>
  <c r="E264" i="3"/>
  <c r="E222" i="3"/>
  <c r="E283" i="3"/>
  <c r="E323" i="3"/>
  <c r="E309" i="3"/>
  <c r="E373" i="3"/>
  <c r="E513" i="3"/>
  <c r="E82" i="3"/>
  <c r="E21" i="3"/>
  <c r="E57" i="3"/>
  <c r="E297" i="3"/>
  <c r="E348" i="3"/>
  <c r="E375" i="3"/>
  <c r="E58" i="3"/>
  <c r="E488" i="3"/>
  <c r="E521" i="3"/>
  <c r="E47" i="3"/>
  <c r="E65" i="3"/>
  <c r="E195" i="3"/>
  <c r="E248" i="3"/>
  <c r="E266" i="3"/>
  <c r="E386" i="3"/>
  <c r="E584" i="3"/>
  <c r="E66" i="3"/>
  <c r="E48" i="3"/>
  <c r="E127" i="3"/>
  <c r="E284" i="3"/>
  <c r="Y6" i="3"/>
  <c r="E51" i="3"/>
  <c r="E113" i="3"/>
  <c r="E158" i="3"/>
  <c r="E287" i="3"/>
  <c r="E308" i="3"/>
  <c r="E326" i="3"/>
  <c r="E22" i="3"/>
  <c r="E83" i="3"/>
  <c r="U38" i="40"/>
  <c r="AB38" i="40"/>
  <c r="AA38" i="40"/>
  <c r="S38" i="40"/>
  <c r="W25" i="37"/>
  <c r="AC25" i="37"/>
  <c r="AC23" i="35"/>
  <c r="W23" i="35"/>
  <c r="BA5"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C28" i="43" l="1"/>
  <c r="T15" i="43" s="1"/>
  <c r="V15" i="43" s="1"/>
  <c r="E11" i="71"/>
  <c r="E10" i="71" s="1"/>
  <c r="E9" i="71" s="1"/>
  <c r="E8" i="71" s="1"/>
  <c r="E7" i="71" s="1"/>
  <c r="E6" i="71" s="1"/>
  <c r="E5" i="71" s="1"/>
  <c r="V12" i="71"/>
  <c r="E65" i="39"/>
  <c r="Q66" i="71"/>
  <c r="Q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39" i="43" l="1"/>
  <c r="E39" i="43" s="1"/>
  <c r="C33" i="43"/>
  <c r="C38" i="43"/>
  <c r="G38" i="43" s="1"/>
  <c r="I38" i="43" s="1"/>
  <c r="C37" i="43"/>
  <c r="T6" i="43"/>
  <c r="V6" i="43" s="1"/>
  <c r="T3" i="43"/>
  <c r="V3" i="43" s="1"/>
  <c r="T8" i="43"/>
  <c r="V8" i="43" s="1"/>
  <c r="T12" i="43"/>
  <c r="V12" i="43" s="1"/>
  <c r="T16" i="43"/>
  <c r="V16" i="43" s="1"/>
  <c r="T9" i="43"/>
  <c r="V9" i="43" s="1"/>
  <c r="T13" i="43"/>
  <c r="V13" i="43" s="1"/>
  <c r="C42" i="43"/>
  <c r="E42" i="43" s="1"/>
  <c r="C41" i="43"/>
  <c r="E41" i="43" s="1"/>
  <c r="C40" i="43"/>
  <c r="T5" i="43"/>
  <c r="V5" i="43" s="1"/>
  <c r="T2" i="43"/>
  <c r="V2" i="43" s="1"/>
  <c r="T4" i="43"/>
  <c r="V4" i="43" s="1"/>
  <c r="T10" i="43"/>
  <c r="V10" i="43" s="1"/>
  <c r="T14" i="43"/>
  <c r="V14" i="43" s="1"/>
  <c r="T7" i="43"/>
  <c r="V7" i="43" s="1"/>
  <c r="T11" i="43"/>
  <c r="V11" i="43"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G39" i="43" l="1"/>
  <c r="I39" i="43" s="1"/>
  <c r="E38" i="43"/>
  <c r="G41" i="43"/>
  <c r="I41" i="43" s="1"/>
  <c r="H25" i="6"/>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7" i="68" l="1"/>
  <c r="C5" i="68" s="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23" i="68" l="1"/>
  <c r="C20" i="68"/>
  <c r="C28" i="68" s="1"/>
  <c r="C27" i="68" s="1"/>
  <c r="AC7" i="2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F35" i="67"/>
  <c r="F35" i="15"/>
  <c r="M21" i="15"/>
  <c r="M21" i="67"/>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D19" i="9"/>
  <c r="D102" i="9" l="1"/>
  <c r="D21" i="9"/>
  <c r="B3" i="68"/>
  <c r="C48" i="2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L51" i="67"/>
  <c r="D2" i="21"/>
  <c r="D103" i="9" l="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C102" i="9" l="1"/>
  <c r="C21" i="9"/>
  <c r="G19" i="9"/>
  <c r="D22"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5"/>
  <c r="C20" i="9"/>
  <c r="D2" i="34"/>
  <c r="D2" i="36"/>
  <c r="G21" i="9" l="1"/>
  <c r="D14" i="74"/>
  <c r="C103" i="9"/>
  <c r="G20" i="9"/>
  <c r="C32" i="9" s="1"/>
  <c r="C35"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5" i="9"/>
  <c r="AO6" i="1"/>
  <c r="AO8" i="1"/>
  <c r="AO9" i="1"/>
  <c r="AO12" i="1"/>
  <c r="AO10" i="1"/>
  <c r="AO7" i="1"/>
  <c r="AO11" i="1"/>
  <c r="C34"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C105" i="9" s="1"/>
  <c r="H102" i="9" l="1"/>
  <c r="D7" i="53" s="1"/>
  <c r="B21" i="72" s="1"/>
  <c r="H118" i="9"/>
  <c r="H119" i="9" s="1"/>
  <c r="H5" i="52" s="1"/>
  <c r="F4" i="52"/>
  <c r="B51" i="72" s="1"/>
  <c r="F119" i="9"/>
  <c r="F5" i="52" s="1"/>
  <c r="B53" i="72" s="1"/>
  <c r="I4" i="52"/>
  <c r="G4" i="52"/>
  <c r="B52" i="72" s="1"/>
  <c r="E118" i="9"/>
  <c r="H4" i="52" l="1"/>
  <c r="H101" i="9"/>
  <c r="H107" i="9" s="1"/>
  <c r="C104" i="9"/>
  <c r="D118" i="9"/>
  <c r="E4" i="52"/>
  <c r="B48" i="72" s="1"/>
  <c r="D5" i="53"/>
  <c r="D45" i="9" l="1"/>
  <c r="D53" i="9" s="1"/>
  <c r="F14" i="74"/>
  <c r="E14" i="74"/>
  <c r="B5" i="74"/>
  <c r="M48" i="9"/>
  <c r="D6" i="53"/>
  <c r="B22" i="72" s="1"/>
  <c r="B20" i="72"/>
  <c r="D4" i="52"/>
  <c r="B47" i="72" s="1"/>
  <c r="D119" i="9"/>
  <c r="D5" i="52" s="1"/>
  <c r="B49" i="72" s="1"/>
  <c r="M49" i="9"/>
  <c r="H108" i="9"/>
  <c r="D13" i="53"/>
  <c r="D122" i="9"/>
  <c r="C78" i="9" l="1"/>
  <c r="C73" i="9" s="1"/>
  <c r="C79" i="9" s="1"/>
  <c r="C80" i="9" s="1"/>
  <c r="E80" i="9" s="1"/>
  <c r="E81" i="9" s="1"/>
  <c r="C93" i="9"/>
  <c r="C86" i="9" s="1"/>
  <c r="C85" i="9"/>
  <c r="D55" i="9"/>
  <c r="M53" i="9" s="1"/>
  <c r="D52" i="9"/>
  <c r="C72" i="9"/>
  <c r="C64" i="9"/>
  <c r="C63" i="9" s="1"/>
  <c r="C67" i="9" s="1"/>
  <c r="C68" i="9" s="1"/>
  <c r="D54" i="9" s="1"/>
  <c r="D5" i="74"/>
  <c r="C5" i="74"/>
  <c r="D123" i="9"/>
  <c r="D9" i="52" s="1"/>
  <c r="D8" i="52"/>
  <c r="D15" i="53"/>
  <c r="B31" i="72" s="1"/>
  <c r="C6" i="74"/>
  <c r="B30" i="72"/>
  <c r="D14" i="53"/>
  <c r="B32" i="72" s="1"/>
  <c r="L68" i="9"/>
  <c r="M68" i="9" s="1"/>
  <c r="L67" i="9"/>
  <c r="M67" i="9" s="1"/>
  <c r="L65" i="9"/>
  <c r="M65" i="9" s="1"/>
  <c r="L63" i="9"/>
  <c r="M63" i="9" s="1"/>
  <c r="L66" i="9"/>
  <c r="M66" i="9" s="1"/>
  <c r="L64" i="9"/>
  <c r="M64" i="9" s="1"/>
  <c r="D59" i="9"/>
  <c r="M55" i="9" s="1"/>
  <c r="C95" i="9" l="1"/>
  <c r="C96" i="9" s="1"/>
  <c r="E96" i="9" s="1"/>
  <c r="E97" i="9" s="1"/>
  <c r="M69" i="9"/>
  <c r="N69" i="9" s="1"/>
  <c r="C81" i="9"/>
  <c r="C97" i="9" l="1"/>
  <c r="D58" i="9" s="1"/>
  <c r="D56" i="9" s="1"/>
  <c r="M54" i="9" s="1"/>
  <c r="N57" i="9" s="1"/>
  <c r="N58" i="9" s="1"/>
  <c r="P57"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<sst xmlns="http://schemas.openxmlformats.org/spreadsheetml/2006/main" count="7877" uniqueCount="3459">
  <si>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</si>
  <si>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</si>
  <si>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</si>
  <si>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</si>
  <si>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</si>
  <si>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</si>
  <si>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</si>
  <si>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</si>
  <si>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</si>
  <si>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</si>
  <si>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</si>
  <si>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</si>
  <si>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</si>
  <si>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</si>
  <si>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</si>
  <si>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</si>
  <si>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</si>
  <si>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</si>
  <si>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</si>
  <si>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</si>
  <si>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</si>
  <si>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</si>
  <si>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</si>
  <si>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</si>
  <si>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</si>
  <si>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</si>
  <si>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</si>
  <si>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</si>
  <si>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</si>
  <si>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</si>
  <si>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</si>
  <si>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</si>
  <si>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</si>
  <si>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</si>
  <si>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</si>
  <si>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</si>
  <si>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</si>
  <si>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</si>
  <si>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</si>
  <si>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</si>
  <si>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</si>
  <si>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</si>
  <si>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</si>
  <si>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</si>
  <si>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</si>
  <si>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</si>
  <si>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</si>
  <si>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</si>
  <si>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</si>
  <si>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</si>
  <si>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</si>
  <si>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</si>
  <si>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</si>
  <si>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</si>
  <si>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</si>
  <si>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</si>
  <si>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</si>
  <si>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</si>
  <si>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</si>
  <si>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</si>
  <si>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</si>
  <si>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</si>
  <si>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</si>
  <si>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</si>
  <si>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</si>
  <si>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</si>
  <si>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</si>
  <si>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</si>
  <si>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</si>
  <si>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</si>
  <si>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</si>
  <si>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</si>
  <si>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</si>
  <si>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</si>
  <si>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</si>
  <si>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</si>
  <si>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</si>
  <si>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</si>
  <si>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</si>
  <si>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</si>
  <si>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</si>
  <si>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</si>
  <si>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</si>
  <si>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</si>
  <si>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</si>
  <si>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</si>
  <si>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</si>
  <si>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</si>
  <si>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</si>
  <si>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</si>
  <si>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</si>
  <si>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</si>
  <si>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</si>
  <si>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</si>
  <si>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</si>
  <si>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</si>
  <si>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</si>
  <si>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</si>
  <si>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</si>
  <si>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</si>
  <si>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</si>
  <si>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</si>
  <si>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</si>
  <si>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</si>
  <si>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</si>
  <si>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</si>
  <si>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</si>
  <si>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</si>
  <si>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</si>
  <si>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</si>
  <si>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</si>
  <si>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</si>
  <si>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</si>
  <si>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</si>
  <si>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</si>
  <si>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</si>
  <si>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</si>
  <si>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</si>
  <si>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</si>
  <si>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</si>
  <si>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</si>
  <si>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</si>
  <si>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</si>
  <si>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</si>
  <si>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</si>
  <si>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</si>
  <si>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</si>
  <si>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</si>
  <si>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</si>
  <si>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</si>
  <si>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</si>
  <si>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</si>
  <si>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</si>
  <si>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</si>
  <si>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</si>
  <si>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</si>
  <si>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</si>
  <si>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</si>
  <si>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</si>
  <si>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</si>
  <si>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</si>
  <si>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</si>
  <si>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</si>
  <si>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</si>
  <si>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</si>
  <si>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</si>
  <si>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</si>
  <si>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</si>
  <si>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</si>
  <si>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</si>
  <si>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</si>
  <si>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</si>
  <si>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</si>
  <si>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</si>
  <si>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</si>
  <si>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</si>
  <si>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</si>
  <si>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</si>
  <si>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</si>
  <si>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</si>
  <si>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</si>
  <si>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</si>
  <si>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</si>
  <si>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</si>
  <si>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</si>
  <si>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</si>
  <si>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</si>
  <si>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</si>
  <si>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</si>
  <si>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</si>
  <si>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</si>
  <si>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</si>
  <si>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</si>
  <si>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</si>
  <si>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</si>
  <si>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</si>
  <si>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</si>
  <si>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</si>
  <si>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</si>
  <si>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</si>
  <si>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</si>
  <si>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</si>
  <si>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</si>
  <si>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</si>
  <si>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</si>
  <si>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</si>
  <si>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</si>
  <si>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</si>
  <si>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</si>
  <si>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</si>
  <si>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</si>
  <si>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</si>
  <si>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</si>
  <si>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</si>
  <si>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</si>
  <si>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</si>
  <si>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</si>
  <si>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</si>
  <si>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</si>
  <si>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</si>
  <si>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</si>
  <si>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</si>
  <si>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</si>
  <si>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</si>
  <si>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</si>
  <si>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</si>
  <si>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</si>
  <si>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</si>
  <si>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</si>
  <si>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</si>
  <si>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</si>
  <si>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</si>
  <si>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</si>
  <si>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</si>
  <si>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</si>
  <si>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</si>
  <si>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</si>
  <si>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</si>
  <si>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</si>
  <si>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</si>
  <si>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</si>
  <si>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</si>
  <si>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</si>
  <si>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</si>
  <si>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</si>
  <si>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</si>
  <si>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</si>
  <si>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</si>
  <si>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</si>
  <si>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</si>
  <si>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</si>
  <si>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</si>
  <si>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</si>
  <si>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</si>
  <si>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</si>
  <si>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</si>
  <si>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</si>
  <si>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</si>
  <si>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</si>
  <si>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</si>
  <si>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</si>
  <si>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</si>
  <si>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</si>
  <si>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</si>
  <si>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</si>
  <si>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</si>
  <si>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</si>
  <si>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</si>
  <si>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</si>
  <si>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</si>
  <si>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</si>
  <si>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</si>
  <si>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</si>
  <si>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</si>
  <si>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</si>
  <si>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</si>
  <si>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</si>
  <si>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</si>
  <si>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</si>
  <si>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</si>
  <si>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</si>
  <si>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</si>
  <si>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</si>
  <si>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</si>
  <si>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</si>
  <si>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</si>
  <si>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</si>
  <si>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</si>
  <si>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</si>
  <si>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</si>
  <si>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</si>
  <si>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</si>
  <si>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</si>
  <si>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</si>
  <si>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</si>
  <si>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</si>
  <si>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</si>
  <si>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</si>
  <si>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</si>
  <si>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</si>
  <si>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</si>
  <si>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</si>
  <si>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</si>
  <si>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</si>
  <si>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</si>
  <si>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</si>
  <si>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</si>
  <si>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</si>
  <si>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</si>
  <si>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</si>
  <si>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</si>
  <si>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</si>
  <si>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</si>
  <si>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</si>
  <si>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</si>
  <si>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</si>
  <si>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</si>
  <si>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</si>
  <si>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</si>
  <si>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</si>
  <si>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</si>
  <si>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</si>
  <si>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</si>
  <si>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</si>
  <si>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</si>
  <si>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</si>
  <si>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</si>
  <si>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</si>
  <si>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</si>
  <si>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</si>
  <si>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</si>
  <si>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</si>
  <si>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</si>
  <si>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</si>
  <si>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</si>
  <si>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</si>
  <si>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</si>
  <si>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</si>
  <si>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</si>
  <si>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</si>
  <si>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</si>
  <si>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</si>
  <si>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</si>
  <si>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</si>
  <si>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</si>
  <si>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</si>
  <si>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</si>
  <si>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</si>
  <si>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</si>
  <si>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</si>
  <si>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</si>
  <si>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</si>
  <si>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</si>
  <si>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</si>
  <si>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</si>
  <si>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</si>
  <si>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</si>
  <si>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</si>
  <si>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</si>
  <si>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</si>
  <si>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</si>
  <si>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</si>
  <si>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</si>
  <si>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</si>
  <si>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</si>
  <si>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</si>
  <si>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</si>
  <si>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</si>
  <si>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</si>
  <si>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</si>
  <si>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</si>
  <si>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</si>
  <si>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</si>
  <si>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</si>
  <si>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</si>
  <si>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</si>
  <si>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</si>
  <si>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</si>
  <si>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</si>
  <si>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</si>
  <si>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</si>
  <si>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</si>
  <si>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</si>
  <si>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</si>
  <si>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</si>
  <si>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</si>
  <si>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</si>
  <si>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</si>
  <si>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</si>
  <si>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</si>
  <si>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</si>
  <si>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</si>
  <si>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</si>
  <si>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</si>
  <si>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</si>
  <si>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</si>
  <si>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</si>
  <si>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</si>
  <si>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</si>
  <si>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</si>
  <si>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</si>
  <si>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</si>
  <si>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</si>
  <si>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</si>
  <si>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</si>
  <si>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</si>
  <si>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</si>
  <si>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</si>
  <si>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</si>
  <si>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</si>
  <si>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</si>
  <si>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</si>
  <si>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</si>
  <si>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</si>
  <si>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</si>
  <si>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</si>
  <si>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</si>
  <si>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</si>
  <si>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</si>
  <si>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</si>
  <si>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</si>
  <si>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</si>
  <si>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</si>
  <si>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</si>
  <si>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</si>
  <si>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</si>
  <si>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</si>
  <si>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</si>
  <si>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</si>
  <si>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</si>
  <si>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</si>
  <si>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</si>
  <si>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</si>
  <si>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</si>
  <si>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</si>
  <si>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</si>
  <si>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</si>
  <si>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</si>
  <si>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</si>
  <si>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</si>
  <si>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</si>
  <si>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</si>
  <si>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</si>
  <si>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</si>
  <si>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</si>
  <si>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</si>
  <si>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</si>
  <si>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</si>
  <si>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</si>
  <si>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</si>
  <si>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</si>
  <si>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</si>
  <si>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</si>
  <si>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</si>
  <si>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</si>
  <si>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</si>
  <si>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</si>
  <si>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</si>
  <si>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</si>
  <si>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</si>
  <si>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</si>
  <si>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</si>
  <si>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</si>
  <si>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</si>
  <si>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</si>
  <si>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</si>
  <si>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</si>
  <si>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</si>
  <si>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</si>
  <si>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</si>
  <si>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</si>
  <si>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</si>
  <si>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</si>
  <si>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</si>
  <si>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</si>
  <si>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</si>
  <si>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</si>
  <si>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</si>
  <si>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</si>
  <si>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</si>
  <si>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</si>
  <si>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</si>
  <si>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</si>
  <si>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</si>
  <si>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</si>
  <si>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</si>
  <si>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</si>
  <si>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</si>
  <si>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</si>
  <si>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</si>
  <si>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</si>
  <si>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</si>
  <si>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</si>
  <si>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</si>
  <si>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</si>
  <si>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</si>
  <si>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</si>
  <si>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</si>
  <si>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</si>
  <si>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</si>
  <si>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</si>
  <si>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</si>
  <si>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</si>
  <si>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</si>
  <si>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</si>
  <si>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</si>
  <si>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</si>
  <si>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</si>
  <si>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</si>
  <si>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</si>
  <si>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</si>
  <si>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</si>
  <si>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</si>
  <si>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</si>
  <si>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</si>
  <si>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</si>
  <si>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</si>
  <si>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</si>
  <si>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</si>
  <si>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</si>
  <si>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</si>
  <si>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</si>
  <si>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</si>
  <si>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</si>
  <si>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</si>
  <si>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</si>
  <si>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</si>
  <si>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</si>
  <si>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</si>
  <si>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</si>
  <si>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</si>
  <si>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</si>
  <si>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</si>
  <si>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</si>
  <si>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</si>
  <si>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</si>
  <si>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</si>
  <si>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</si>
  <si>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</si>
  <si>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</si>
  <si>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</si>
  <si>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</si>
  <si>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</si>
  <si>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</si>
  <si>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</si>
  <si>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</si>
  <si>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</si>
  <si>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</si>
  <si>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</si>
  <si>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</si>
  <si>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</si>
  <si>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</si>
  <si>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</si>
  <si>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</si>
  <si>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</si>
  <si>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</si>
  <si>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</si>
  <si>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</si>
  <si>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</si>
  <si>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</si>
  <si>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</si>
  <si>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</si>
  <si>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</si>
  <si>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</si>
  <si>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</si>
  <si>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</si>
  <si>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</si>
  <si>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</si>
  <si>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</si>
  <si>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</si>
  <si>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</si>
  <si>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</si>
  <si>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</si>
  <si>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</si>
  <si>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</si>
  <si>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</si>
  <si>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</si>
  <si>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</si>
  <si>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</si>
  <si>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</si>
  <si>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</si>
  <si>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</si>
  <si>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</si>
  <si>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</si>
  <si>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</si>
  <si>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</si>
  <si>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</si>
  <si>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</si>
  <si>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</si>
  <si>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</si>
  <si>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</si>
  <si>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</si>
  <si>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</si>
  <si>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</si>
  <si>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</si>
  <si>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</si>
  <si>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</si>
  <si>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</si>
  <si>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</si>
  <si>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</si>
  <si>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</si>
  <si>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</si>
  <si>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</si>
  <si>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</si>
  <si>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</si>
  <si>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</si>
  <si>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</si>
  <si>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</si>
  <si>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</si>
  <si>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</si>
  <si>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</si>
  <si>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</si>
  <si>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</si>
  <si>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</si>
  <si>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</si>
  <si>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</si>
  <si>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</si>
  <si>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</si>
  <si>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</si>
  <si>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</si>
  <si>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</si>
  <si>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</si>
  <si>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</si>
  <si>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</si>
  <si>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</si>
  <si>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</si>
  <si>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</si>
  <si>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</si>
  <si>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</si>
  <si>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</si>
  <si>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</si>
  <si>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</si>
  <si>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</si>
  <si>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</si>
  <si>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</si>
  <si>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</si>
  <si>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</si>
  <si>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</si>
  <si>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</si>
  <si>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</si>
  <si>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</si>
  <si>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</si>
  <si>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</si>
  <si>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</si>
  <si>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</si>
  <si>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</si>
  <si>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</si>
  <si>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</si>
  <si>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</si>
  <si>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</si>
  <si>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</si>
  <si>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</si>
  <si>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</si>
  <si>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</si>
  <si>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</si>
  <si>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</si>
  <si>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</si>
  <si>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</si>
  <si>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</si>
  <si>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</si>
  <si>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</si>
  <si>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</si>
  <si>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</si>
  <si>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</si>
  <si>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</si>
  <si>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</si>
  <si>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</si>
  <si>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</si>
  <si>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</si>
  <si>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</si>
  <si>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</si>
  <si>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</si>
  <si>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</si>
  <si>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</si>
  <si>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</si>
  <si>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</si>
  <si>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</si>
  <si>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</si>
  <si>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</si>
  <si>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</si>
  <si>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</si>
  <si>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</si>
  <si>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</si>
  <si>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</si>
  <si>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</si>
  <si>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</si>
  <si>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</si>
  <si>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</si>
  <si>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</si>
  <si>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</si>
  <si>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</si>
  <si>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</si>
  <si>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</si>
  <si>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</si>
  <si>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</si>
  <si>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</si>
  <si>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</si>
  <si>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</si>
  <si>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</si>
  <si>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</si>
  <si>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</si>
  <si>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</si>
  <si>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</si>
  <si>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</si>
  <si>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</si>
  <si>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</si>
  <si>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</si>
  <si>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</si>
  <si>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</si>
  <si>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</si>
  <si>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</si>
  <si>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</si>
  <si>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</si>
  <si>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</si>
  <si>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</si>
  <si>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</si>
  <si>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</si>
  <si>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</si>
  <si>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</si>
  <si>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</si>
  <si>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</si>
  <si>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</si>
  <si>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</si>
  <si>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</si>
  <si>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</si>
  <si>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</si>
  <si>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</si>
  <si>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</si>
  <si>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</si>
  <si>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</si>
  <si>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</si>
  <si>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</si>
  <si>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</si>
  <si>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</si>
  <si>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</si>
  <si>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</si>
  <si>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</si>
  <si>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</si>
  <si>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</si>
  <si>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</si>
  <si>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</si>
  <si>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</si>
  <si>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</si>
  <si>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</si>
  <si>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</si>
  <si>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</si>
  <si>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</si>
  <si>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</si>
  <si>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</si>
  <si>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</si>
  <si>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</si>
  <si>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</si>
  <si>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</si>
  <si>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</si>
  <si>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</si>
  <si>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</si>
  <si>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</si>
  <si>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</si>
  <si>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</si>
  <si>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</si>
  <si>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</si>
  <si>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</si>
  <si>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</si>
  <si>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</si>
  <si>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</si>
  <si>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</si>
  <si>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</si>
  <si>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</si>
  <si>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</si>
  <si>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</si>
  <si>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</si>
  <si>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</si>
  <si>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</si>
  <si>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</si>
  <si>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</si>
  <si>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</si>
  <si>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</si>
  <si>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</si>
  <si>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</si>
  <si>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</si>
  <si>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</si>
  <si>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</si>
  <si>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</si>
  <si>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</si>
  <si>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</si>
  <si>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</si>
  <si>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</si>
  <si>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</si>
  <si>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</si>
  <si>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</si>
  <si>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</si>
  <si>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</si>
  <si>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</si>
  <si>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</si>
  <si>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</si>
  <si>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</si>
  <si>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</si>
  <si>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</si>
  <si>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</si>
  <si>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</si>
  <si>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</si>
  <si>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</si>
  <si>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</si>
  <si>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</si>
  <si>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</si>
  <si>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</si>
  <si>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</si>
  <si>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</si>
  <si>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</si>
  <si>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</si>
  <si>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</si>
  <si>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</si>
  <si>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</si>
  <si>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</si>
  <si>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</si>
  <si>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</si>
  <si>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</si>
  <si>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</si>
  <si>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</si>
  <si>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</si>
  <si>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</si>
  <si>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</si>
  <si>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</si>
  <si>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</si>
  <si>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</si>
  <si>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</si>
  <si>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</si>
  <si>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</si>
  <si>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</si>
  <si>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</si>
  <si>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</si>
  <si>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</si>
  <si>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</si>
  <si>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</si>
  <si>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</si>
  <si>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</si>
  <si>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</si>
  <si>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</si>
  <si>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</si>
  <si>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</si>
  <si>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</si>
  <si>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</si>
  <si>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</si>
  <si>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</si>
  <si>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</si>
  <si>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</si>
  <si>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</si>
  <si>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</si>
  <si>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</si>
  <si>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</si>
  <si>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</si>
  <si>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</si>
  <si>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</si>
  <si>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</si>
  <si>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</si>
  <si>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</si>
  <si>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</si>
  <si>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</si>
  <si>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</si>
  <si>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</si>
  <si>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</si>
  <si>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</si>
  <si>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</si>
  <si>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</si>
  <si>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</si>
  <si>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</si>
  <si>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</si>
  <si>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</si>
  <si>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</si>
  <si>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</si>
  <si>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</si>
  <si>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</si>
  <si>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</si>
  <si>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</si>
  <si>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</si>
  <si>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</si>
  <si>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</si>
  <si>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</si>
  <si>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</si>
  <si>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</si>
  <si>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</si>
  <si>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</si>
  <si>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</si>
  <si>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</si>
  <si>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</si>
  <si>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</si>
  <si>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</si>
  <si>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</si>
  <si>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</si>
  <si>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</si>
  <si>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</si>
  <si>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</si>
  <si>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</si>
  <si>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</si>
  <si>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</si>
  <si>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</si>
  <si>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</si>
  <si>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</si>
  <si>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</si>
  <si>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</si>
  <si>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</si>
  <si>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</si>
  <si>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</si>
  <si>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</si>
  <si>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</si>
  <si>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</si>
  <si>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</si>
  <si>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</si>
  <si>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</si>
  <si>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</si>
  <si>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</si>
  <si>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</si>
  <si>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</si>
  <si>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</si>
  <si>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</si>
  <si>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</si>
  <si>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</si>
  <si>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</si>
  <si>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</si>
  <si>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</si>
  <si>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</si>
  <si>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</si>
  <si>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</si>
  <si>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</si>
  <si>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</si>
  <si>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</si>
  <si>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</si>
  <si>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</si>
  <si>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</si>
  <si>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</si>
  <si>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</si>
  <si>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</si>
  <si>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</si>
  <si>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</si>
  <si>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</si>
  <si>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</si>
  <si>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</si>
  <si>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</si>
  <si>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</si>
  <si>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</si>
  <si>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</si>
  <si>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</si>
  <si>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</si>
  <si>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</si>
  <si>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</si>
  <si>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</si>
  <si>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</si>
  <si>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</si>
  <si>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</si>
  <si>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</si>
  <si>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</si>
  <si>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</si>
  <si>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</si>
  <si>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</si>
  <si>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</si>
  <si>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</si>
  <si>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</si>
  <si>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</si>
  <si>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</si>
  <si>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</si>
  <si>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</si>
  <si>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</si>
  <si>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</si>
  <si>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</si>
  <si>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</si>
  <si>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</si>
  <si>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</si>
  <si>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</si>
  <si>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</si>
  <si>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</si>
  <si>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</si>
  <si>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</si>
  <si>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</si>
  <si>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</si>
  <si>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</si>
  <si>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</si>
  <si>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</si>
  <si>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</si>
  <si>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</si>
  <si>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</si>
  <si>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</si>
  <si>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</si>
  <si>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</si>
  <si>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</si>
  <si>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</si>
  <si>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</si>
  <si>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</si>
  <si>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</si>
  <si>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</si>
  <si>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</si>
  <si>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</si>
  <si>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</si>
  <si>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</si>
  <si>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</si>
  <si>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</si>
  <si>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</si>
  <si>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</si>
  <si>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</si>
  <si>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</si>
  <si>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</si>
  <si>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</si>
  <si>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</si>
  <si>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</si>
  <si>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</si>
  <si>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</si>
  <si>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</si>
  <si>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</si>
  <si>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</si>
  <si>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</si>
  <si>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</si>
  <si>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</si>
  <si>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</si>
  <si>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</si>
  <si>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</si>
  <si>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</si>
  <si>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</si>
  <si>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</si>
  <si>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</si>
  <si>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</si>
  <si>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</si>
  <si>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</si>
  <si>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</si>
  <si>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</si>
  <si>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</si>
  <si>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</si>
  <si>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</si>
  <si>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</si>
  <si>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</si>
  <si>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</si>
  <si>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</si>
  <si>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</si>
  <si>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</si>
  <si>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</si>
  <si>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</si>
  <si>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</si>
  <si>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</si>
  <si>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</si>
  <si>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</si>
  <si>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</si>
  <si>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</si>
  <si>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</si>
  <si>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</si>
  <si>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</si>
  <si>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</si>
  <si>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</si>
  <si>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</si>
  <si>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</si>
  <si>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</si>
  <si>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</si>
  <si>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</si>
  <si>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</si>
  <si>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</si>
  <si>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</si>
  <si>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</si>
  <si>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</si>
  <si>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</si>
  <si>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</si>
  <si>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</si>
  <si>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</si>
  <si>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</si>
  <si>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</si>
  <si>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</si>
  <si>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</si>
  <si>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</si>
  <si>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</si>
  <si>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</si>
  <si>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</si>
  <si>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</si>
  <si>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</si>
  <si>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</si>
  <si>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</si>
  <si>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</si>
  <si>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</si>
  <si>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</si>
  <si>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</si>
  <si>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</si>
  <si>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</si>
  <si>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</si>
  <si>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</si>
  <si>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</si>
  <si>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</si>
  <si>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</si>
  <si>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</si>
  <si>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</si>
  <si>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</si>
  <si>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</si>
  <si>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</si>
  <si>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</si>
  <si>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</si>
  <si>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</si>
  <si>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</si>
  <si>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</si>
  <si>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</si>
  <si>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</si>
  <si>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</si>
  <si>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</si>
  <si>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</si>
  <si>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</si>
  <si>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</si>
  <si>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</si>
  <si>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</si>
  <si>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</si>
  <si>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</si>
  <si>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</si>
  <si>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</si>
  <si>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</si>
  <si>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</si>
  <si>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</si>
  <si>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</si>
  <si>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</si>
  <si>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</si>
  <si>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</si>
  <si>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</si>
  <si>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</si>
  <si>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</si>
  <si>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</si>
  <si>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</si>
  <si>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</si>
  <si>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</si>
  <si>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</si>
  <si>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</si>
  <si>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</si>
  <si>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</si>
  <si>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</si>
  <si>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</si>
  <si>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</si>
  <si>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</si>
  <si>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</si>
  <si>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</si>
  <si>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</si>
  <si>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</si>
  <si>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</si>
  <si>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</si>
  <si>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</si>
  <si>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</si>
  <si>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</si>
  <si>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</si>
  <si>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</si>
  <si>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</si>
  <si>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</si>
  <si>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</si>
  <si>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</si>
  <si>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</si>
  <si>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</si>
  <si>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</si>
  <si>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</si>
  <si>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</si>
  <si>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</si>
  <si>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</si>
  <si>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</si>
  <si>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</si>
  <si>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</si>
  <si>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</si>
  <si>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</si>
  <si>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</si>
  <si>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</si>
  <si>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</si>
  <si>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</si>
  <si>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</si>
  <si>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</si>
  <si>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</si>
  <si>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</si>
  <si>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</si>
  <si>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</si>
  <si>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</si>
  <si>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</si>
  <si>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</si>
  <si>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</si>
  <si>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</si>
  <si>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</si>
  <si>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</si>
  <si>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</si>
  <si>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</si>
  <si>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</si>
  <si>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</si>
  <si>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</si>
  <si>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</si>
  <si>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</si>
  <si>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</si>
  <si>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</si>
  <si>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</si>
  <si>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</si>
  <si>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</si>
  <si>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</si>
  <si>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</si>
  <si>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</si>
  <si>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</si>
  <si>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</si>
  <si>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</si>
  <si>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</si>
  <si>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</si>
  <si>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</si>
  <si>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</si>
  <si>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</si>
  <si>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</si>
  <si>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</si>
  <si>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</si>
  <si>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</si>
  <si>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</si>
  <si>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</si>
  <si>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</si>
  <si>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</si>
  <si>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</si>
  <si>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</si>
  <si>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</si>
  <si>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</si>
  <si>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</si>
  <si>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</si>
  <si>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</si>
  <si>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</si>
  <si>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</si>
  <si>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</si>
  <si>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</si>
  <si>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</si>
  <si>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</si>
  <si>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</si>
  <si>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</si>
  <si>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</si>
  <si>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</si>
  <si>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</si>
  <si>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</si>
  <si>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</si>
  <si>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</si>
  <si>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</si>
  <si>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</si>
  <si>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</si>
  <si>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</si>
  <si>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</si>
  <si>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</si>
  <si>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</si>
  <si>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</si>
  <si>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</si>
  <si>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</si>
  <si>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</si>
  <si>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</si>
  <si>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</si>
  <si>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</si>
  <si>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</si>
  <si>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</si>
  <si>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</si>
  <si>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</si>
  <si>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</si>
  <si>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</si>
  <si>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</si>
  <si>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</si>
  <si>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</si>
  <si>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</si>
  <si>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</si>
  <si>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</si>
  <si>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</si>
  <si>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</si>
  <si>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</si>
  <si>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</si>
  <si>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</si>
  <si>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</si>
  <si>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</si>
  <si>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</si>
  <si>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</si>
  <si>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</si>
  <si>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</si>
  <si>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</si>
  <si>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</si>
  <si>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</si>
  <si>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</si>
  <si>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</si>
  <si>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</si>
  <si>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</si>
  <si>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</si>
  <si>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</si>
  <si>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</si>
  <si>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</si>
  <si>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</si>
  <si>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</si>
  <si>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</si>
  <si>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</si>
  <si>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</si>
  <si>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</si>
  <si>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</si>
  <si>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</si>
  <si>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</si>
  <si>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</si>
  <si>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</si>
  <si>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</si>
  <si>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</si>
  <si>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</si>
  <si>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</si>
  <si>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</si>
  <si>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</si>
  <si>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</si>
  <si>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</si>
  <si>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</si>
  <si>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</si>
  <si>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</si>
  <si>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</si>
  <si>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</si>
  <si>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</si>
  <si>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</si>
  <si>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</si>
  <si>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</si>
  <si>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</si>
  <si>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</si>
  <si>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</si>
  <si>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</si>
  <si>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</si>
  <si>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</si>
  <si>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</si>
  <si>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</si>
  <si>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</si>
  <si>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</si>
  <si>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</si>
  <si>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</si>
  <si>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</si>
  <si>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</si>
  <si>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</si>
  <si>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</si>
  <si>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</si>
  <si>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</si>
  <si>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</si>
  <si>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</si>
  <si>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</si>
  <si>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</si>
  <si>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</si>
  <si>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</si>
  <si>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</si>
  <si>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</si>
  <si>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</si>
  <si>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</si>
  <si>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</si>
  <si>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</si>
  <si>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</si>
  <si>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</si>
  <si>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</si>
  <si>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</si>
  <si>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</si>
  <si>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</si>
  <si>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</si>
  <si>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</si>
  <si>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</si>
  <si>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</si>
  <si>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</si>
  <si>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</si>
  <si>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</si>
  <si>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</si>
  <si>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</si>
  <si>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</si>
  <si>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</si>
  <si>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</si>
  <si>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</si>
  <si>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</si>
  <si>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</si>
  <si>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</si>
  <si>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</si>
  <si>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</si>
  <si>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</si>
  <si>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</si>
  <si>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</si>
  <si>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</si>
  <si>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</si>
  <si>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</si>
  <si>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</si>
  <si>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</si>
  <si>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</si>
  <si>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</si>
  <si>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</si>
  <si>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</si>
  <si>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</si>
  <si>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</si>
  <si>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</si>
  <si>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</si>
  <si>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</si>
  <si>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</si>
  <si>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</si>
  <si>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</si>
  <si>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</si>
  <si>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</si>
  <si>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</si>
  <si>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</si>
  <si>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</si>
  <si>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</si>
  <si>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</si>
  <si>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</si>
  <si>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</si>
  <si>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</si>
  <si>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</si>
  <si>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</si>
  <si>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</si>
  <si>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</si>
  <si>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</si>
  <si>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</si>
  <si>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</si>
  <si>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</si>
  <si>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</si>
  <si>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</si>
  <si>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</si>
  <si>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</si>
  <si>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</si>
  <si>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</si>
  <si>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</si>
  <si>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</si>
  <si>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</si>
  <si>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</si>
  <si>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</si>
  <si>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</si>
  <si>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</si>
  <si>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</si>
  <si>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</si>
  <si>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</si>
  <si>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</si>
  <si>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</si>
  <si>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</si>
  <si>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</si>
  <si>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</si>
  <si>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</si>
  <si>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</si>
  <si>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</si>
  <si>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</si>
  <si>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</si>
  <si>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</si>
  <si>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</si>
  <si>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</si>
  <si>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</si>
  <si>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</si>
  <si>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</si>
  <si>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</si>
  <si>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</si>
  <si>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</si>
  <si>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</si>
  <si>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</si>
  <si>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</si>
  <si>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</si>
  <si>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</si>
  <si>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</si>
  <si>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</si>
  <si>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</si>
  <si>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</si>
  <si>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</si>
  <si>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</si>
  <si>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</si>
  <si>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</si>
  <si>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</si>
  <si>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</si>
  <si>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</si>
  <si>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</si>
  <si>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</si>
  <si>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</si>
  <si>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</si>
  <si>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</si>
  <si>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</si>
  <si>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</si>
  <si>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</si>
  <si>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</si>
  <si>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</si>
  <si>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</si>
  <si>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</si>
  <si>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</si>
  <si>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</si>
  <si>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</si>
  <si>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</si>
  <si>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</si>
  <si>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</si>
  <si>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</si>
  <si>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</si>
  <si>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</si>
  <si>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</si>
  <si>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</si>
  <si>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</si>
  <si>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</si>
  <si>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</si>
  <si>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</si>
  <si>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</si>
  <si>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</si>
  <si>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</si>
  <si>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</si>
  <si>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</si>
  <si>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</si>
  <si>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</si>
  <si>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</si>
  <si>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</si>
  <si>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</si>
  <si>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</si>
  <si>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</si>
  <si>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</si>
  <si>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</si>
  <si>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</si>
  <si>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</si>
  <si>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</si>
  <si>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</si>
  <si>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</si>
  <si>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</si>
  <si>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</si>
  <si>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</si>
  <si>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</si>
  <si>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</si>
  <si>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</si>
  <si>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</si>
  <si>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</si>
  <si>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</si>
  <si>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</si>
  <si>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</si>
  <si>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</si>
  <si>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</si>
  <si>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</si>
  <si>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</si>
  <si>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</si>
  <si>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</si>
  <si>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</si>
  <si>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</si>
  <si>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</si>
  <si>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</si>
  <si>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</si>
  <si>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</si>
  <si>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</si>
  <si>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</si>
  <si>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</si>
  <si>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</si>
  <si>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</si>
  <si>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</si>
  <si>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</si>
  <si>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</si>
  <si>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</si>
  <si>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</si>
  <si>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</si>
  <si>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</si>
  <si>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</si>
  <si>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</si>
  <si>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</si>
  <si>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</si>
  <si>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</si>
  <si>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</si>
  <si>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</si>
  <si>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</si>
  <si>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</si>
  <si>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</si>
  <si>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</si>
  <si>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</si>
  <si>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</si>
  <si>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</si>
  <si>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</si>
  <si>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</si>
  <si>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</si>
  <si>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</si>
  <si>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</si>
  <si>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</si>
  <si>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</si>
  <si>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</si>
  <si>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</si>
  <si>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</si>
  <si>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</si>
  <si>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</si>
  <si>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</si>
  <si>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</si>
  <si>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</si>
  <si>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</si>
  <si>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</si>
  <si>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</si>
  <si>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</si>
  <si>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</si>
  <si>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</si>
  <si>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</si>
  <si>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</si>
  <si>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</si>
  <si>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</si>
  <si>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</si>
  <si>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</si>
  <si>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</si>
  <si>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</si>
  <si>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</si>
  <si>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</si>
  <si>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</si>
  <si>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</si>
  <si>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</si>
  <si>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</si>
  <si>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</si>
  <si>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</si>
  <si>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</si>
  <si>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</si>
  <si>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</si>
  <si>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</si>
  <si>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</si>
  <si>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</si>
  <si>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</si>
  <si>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</si>
  <si>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</si>
  <si>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</si>
  <si>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</si>
  <si>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</si>
  <si>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</si>
  <si>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</si>
  <si>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</si>
  <si>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</si>
  <si>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</si>
  <si>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</si>
  <si>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</si>
  <si>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</si>
  <si>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</si>
  <si>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</si>
  <si>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</si>
  <si>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</si>
  <si>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</si>
  <si>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</si>
  <si>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</si>
  <si>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</si>
  <si>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</si>
  <si>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</si>
  <si>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</si>
  <si>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</si>
  <si>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</si>
  <si>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</si>
  <si>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</si>
  <si>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</si>
  <si>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</si>
  <si>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</si>
  <si>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</si>
  <si>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</si>
  <si>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</si>
  <si>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</si>
  <si>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</si>
  <si>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</si>
  <si>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</si>
  <si>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</si>
  <si>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</si>
  <si>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</si>
  <si>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</si>
  <si>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</si>
  <si>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</si>
  <si>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</si>
  <si>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</si>
  <si>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</si>
  <si>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</si>
  <si>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</si>
  <si>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</si>
  <si>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</si>
  <si>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</si>
  <si>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</si>
  <si>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</si>
  <si>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</si>
  <si>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</si>
  <si>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</si>
  <si>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</si>
  <si>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</si>
  <si>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</si>
  <si>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</si>
  <si>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</si>
  <si>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</si>
  <si>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</si>
  <si>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</si>
  <si>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</si>
  <si>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</si>
  <si>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</si>
  <si>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</si>
  <si>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</si>
  <si>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</si>
  <si>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</si>
  <si>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</si>
  <si>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</si>
  <si>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</si>
  <si>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</si>
  <si>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</si>
  <si>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</si>
  <si>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</si>
  <si>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</si>
  <si>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</si>
  <si>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</si>
  <si>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</si>
  <si>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</si>
  <si>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</si>
  <si>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</si>
  <si>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</si>
  <si>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</si>
  <si>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</si>
  <si>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</si>
  <si>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</si>
  <si>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</si>
  <si>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</si>
  <si>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</si>
  <si>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</si>
  <si>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</si>
  <si>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</si>
  <si>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</si>
  <si>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</si>
  <si>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</si>
  <si>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</si>
  <si>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</si>
  <si>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</si>
  <si>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</si>
  <si>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</si>
  <si>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</si>
  <si>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</si>
  <si>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</si>
  <si>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</si>
  <si>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</si>
  <si>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</si>
  <si>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</si>
  <si>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</si>
  <si>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</si>
  <si>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</si>
  <si>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</si>
  <si>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</si>
  <si>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</si>
  <si>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</si>
  <si>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</si>
  <si>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</si>
  <si>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</si>
  <si>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</si>
  <si>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</si>
  <si>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</si>
  <si>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</si>
  <si>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</si>
  <si>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</si>
  <si>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</si>
  <si>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</si>
  <si>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</si>
  <si>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</si>
  <si>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</si>
  <si>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</si>
  <si>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</si>
  <si>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</si>
  <si>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</si>
  <si>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</si>
  <si>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</si>
  <si>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</si>
  <si>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</si>
  <si>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</si>
  <si>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</si>
  <si>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</si>
  <si>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</si>
  <si>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</si>
  <si>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</si>
  <si>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</si>
  <si>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</si>
  <si>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</si>
  <si>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</si>
  <si>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</si>
  <si>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</si>
  <si>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</si>
  <si>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</si>
  <si>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</si>
  <si>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</si>
  <si>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</si>
  <si>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</si>
  <si>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</si>
  <si>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</si>
  <si>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</si>
  <si>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</si>
  <si>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</si>
  <si>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</si>
  <si>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</si>
  <si>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</si>
  <si>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</si>
  <si>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</si>
  <si>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</si>
  <si>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</si>
  <si>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</si>
  <si>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</si>
  <si>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</si>
  <si>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</si>
  <si>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</si>
  <si>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</si>
  <si>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</si>
  <si>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</si>
  <si>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</si>
  <si>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</si>
  <si>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</si>
  <si>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</si>
  <si>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</si>
  <si>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</si>
  <si>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</si>
  <si>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</si>
  <si>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</si>
  <si>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</si>
  <si>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</si>
  <si>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</si>
  <si>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</si>
  <si>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</si>
  <si>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</si>
  <si>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</si>
  <si>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</si>
  <si>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</si>
  <si>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</si>
  <si>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</si>
  <si>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</si>
  <si>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</si>
  <si>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</si>
  <si>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</si>
  <si>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</si>
  <si>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</si>
  <si>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</si>
  <si>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</si>
  <si>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</si>
  <si>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</si>
  <si>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</si>
  <si>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</si>
  <si>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</si>
  <si>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</si>
  <si>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</si>
  <si>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</si>
  <si>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</si>
  <si>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</si>
  <si>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</si>
  <si>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</si>
  <si>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</si>
  <si>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</si>
  <si>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</si>
  <si>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</si>
  <si>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</si>
  <si>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</si>
  <si>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</si>
  <si>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</si>
  <si>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</si>
  <si>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</si>
  <si>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</si>
  <si>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</si>
  <si>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</si>
  <si>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</si>
  <si>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</si>
  <si>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</si>
  <si>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</si>
  <si>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</si>
  <si>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</si>
  <si>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</si>
  <si>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</si>
  <si>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</si>
  <si>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</si>
  <si>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</si>
  <si>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</si>
  <si>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</si>
  <si>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</si>
  <si>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</si>
  <si>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</si>
  <si>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</si>
  <si>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</si>
  <si>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</si>
  <si>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</si>
  <si>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</si>
  <si>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</si>
  <si>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</si>
  <si>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</si>
  <si>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</si>
  <si>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</si>
  <si>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</si>
  <si>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</si>
  <si>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</si>
  <si>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</si>
  <si>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</si>
  <si>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</si>
  <si>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</si>
  <si>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</si>
  <si>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</si>
  <si>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</si>
  <si>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</si>
  <si>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</si>
  <si>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</si>
  <si>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</si>
  <si>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</si>
  <si>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</si>
  <si>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</si>
  <si>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</si>
  <si>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</si>
  <si>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</si>
  <si>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</si>
  <si>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</si>
  <si>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</si>
  <si>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</si>
  <si>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</si>
  <si>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</si>
  <si>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</si>
  <si>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</si>
  <si>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</si>
  <si>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</si>
  <si>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</si>
  <si>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</si>
  <si>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</si>
  <si>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</si>
  <si>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</si>
  <si>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</si>
  <si>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</si>
  <si>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</si>
  <si>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</si>
  <si>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</si>
  <si>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</si>
  <si>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</si>
  <si>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</si>
  <si>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</si>
  <si>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</si>
  <si>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</si>
  <si>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</si>
  <si>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</si>
  <si>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</si>
  <si>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</si>
  <si>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</si>
  <si>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</si>
  <si>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</si>
  <si>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</si>
  <si>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</si>
  <si>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</si>
  <si>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</si>
  <si>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</si>
  <si>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</si>
  <si>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</si>
  <si>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</si>
  <si>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</si>
  <si>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</si>
  <si>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</si>
  <si>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</si>
  <si>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</si>
  <si>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</si>
  <si>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</si>
  <si>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</si>
  <si>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</si>
  <si>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</si>
  <si>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</si>
  <si>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</si>
  <si>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</si>
  <si>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</si>
  <si>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</si>
  <si>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</si>
  <si>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</si>
  <si>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</si>
  <si>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</si>
  <si>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</si>
  <si>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</si>
  <si>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</si>
  <si>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</si>
  <si>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</si>
  <si>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</si>
  <si>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</si>
  <si>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</si>
  <si>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</si>
  <si>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</si>
  <si>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</si>
  <si>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</si>
  <si>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</si>
  <si>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</si>
  <si>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</si>
  <si>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</si>
  <si>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</si>
  <si>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</si>
  <si>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</si>
  <si>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</si>
  <si>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</si>
  <si>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</si>
  <si>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</si>
  <si>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</si>
  <si>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</si>
  <si>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</si>
  <si>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</si>
  <si>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</si>
  <si>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</si>
  <si>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</si>
  <si>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</si>
  <si>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</si>
  <si>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</si>
  <si>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</si>
  <si>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</si>
  <si>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</si>
  <si>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</si>
  <si>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</si>
  <si>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</si>
  <si>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</si>
  <si>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</si>
  <si>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</si>
  <si>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</si>
  <si>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</si>
  <si>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</si>
  <si>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</si>
  <si>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</si>
  <si>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</si>
  <si>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</si>
  <si>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</si>
  <si>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</si>
  <si>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</si>
  <si>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</si>
  <si>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</si>
  <si>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</si>
  <si>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</si>
  <si>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</si>
  <si>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</si>
  <si>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</si>
  <si>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</si>
  <si>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</si>
  <si>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</si>
  <si>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</si>
  <si>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</si>
  <si>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</si>
  <si>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</si>
  <si>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</si>
  <si>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</si>
  <si>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</si>
  <si>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</si>
  <si>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</si>
  <si>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</si>
  <si>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</si>
  <si>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</si>
  <si>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</si>
  <si>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</si>
  <si>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</si>
  <si>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</si>
  <si>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</si>
  <si>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</si>
  <si>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</si>
  <si>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</si>
  <si>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</si>
  <si>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</si>
  <si>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</si>
  <si>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</si>
  <si>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</si>
  <si>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</si>
  <si>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</si>
  <si>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</si>
  <si>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</si>
  <si>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</si>
  <si>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</si>
  <si>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</si>
  <si>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</si>
  <si>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</si>
  <si>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</si>
  <si>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</si>
  <si>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</si>
  <si>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</si>
  <si>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</si>
  <si>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</si>
  <si>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</si>
  <si>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</si>
  <si>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</si>
  <si>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</si>
  <si>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</si>
  <si>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</si>
  <si>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</si>
  <si>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</si>
  <si>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</si>
  <si>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</si>
  <si>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</si>
  <si>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</si>
  <si>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</si>
  <si>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</si>
  <si>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</si>
  <si>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</si>
  <si>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</si>
  <si>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</si>
  <si>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</si>
  <si>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</si>
  <si>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</si>
  <si>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</si>
  <si>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</si>
  <si>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</si>
  <si>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</si>
  <si>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</si>
  <si>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</si>
  <si>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</si>
  <si>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</si>
  <si>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</si>
  <si>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</si>
  <si>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</si>
  <si>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</si>
  <si>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</si>
  <si>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</si>
  <si>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</si>
  <si>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</si>
  <si>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</si>
  <si>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</si>
  <si>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</si>
  <si>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</si>
  <si>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</si>
  <si>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</si>
  <si>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</si>
  <si>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</si>
  <si>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</si>
  <si>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</si>
  <si>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</si>
  <si>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</si>
  <si>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</si>
  <si>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</si>
  <si>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</si>
  <si>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</si>
  <si>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</si>
  <si>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</si>
  <si>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</si>
  <si>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</si>
  <si>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</si>
  <si>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</si>
  <si>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</si>
  <si>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</si>
  <si>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</si>
  <si>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</si>
  <si>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</si>
  <si>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</si>
  <si>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</si>
  <si>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</si>
  <si>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</si>
  <si>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</si>
  <si>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</si>
  <si>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</si>
  <si>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</si>
  <si>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</si>
  <si>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</si>
  <si>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</si>
  <si>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</si>
  <si>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</si>
  <si>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</si>
  <si>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</si>
  <si>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</si>
  <si>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</si>
  <si>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</si>
  <si>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</si>
  <si>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</si>
  <si>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</si>
  <si>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</si>
  <si>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</si>
  <si>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</si>
  <si>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</si>
  <si>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</si>
  <si>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</si>
  <si>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</si>
  <si>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</si>
  <si>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</si>
  <si>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</si>
  <si>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</si>
  <si>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</si>
  <si>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</si>
  <si>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</si>
  <si>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</si>
  <si>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</si>
  <si>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</si>
  <si>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</si>
  <si>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</si>
  <si>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</si>
  <si>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</si>
  <si>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</si>
  <si>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</si>
  <si>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</si>
  <si>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</si>
  <si>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</si>
  <si>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</si>
  <si>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</si>
  <si>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</si>
  <si>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</si>
  <si>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</si>
  <si>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</si>
  <si>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</si>
  <si>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</si>
  <si>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</si>
  <si>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</si>
  <si>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</si>
  <si>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</si>
  <si>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</si>
  <si>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</si>
  <si>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</si>
  <si>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</si>
  <si>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</si>
  <si>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</si>
  <si>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</si>
  <si>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</si>
  <si>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</si>
  <si>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</si>
  <si>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</si>
  <si>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</si>
  <si>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</si>
  <si>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</si>
  <si>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</si>
  <si>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</si>
  <si>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</si>
  <si>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</si>
  <si>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</si>
  <si>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</si>
  <si>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</si>
  <si>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</si>
  <si>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</si>
  <si>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</si>
  <si>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</si>
  <si>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</si>
  <si>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</si>
  <si>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</si>
  <si>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</si>
  <si>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</si>
  <si>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</si>
  <si>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</si>
  <si>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</si>
  <si>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</si>
  <si>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</si>
  <si>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</si>
  <si>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</si>
  <si>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</si>
  <si>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</si>
  <si>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</si>
  <si>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</si>
  <si>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</si>
  <si>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</si>
  <si>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</si>
  <si>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</si>
  <si>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</si>
  <si>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</si>
  <si>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</si>
  <si>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</si>
  <si>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</si>
  <si>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</si>
  <si>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</si>
  <si>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</si>
  <si>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</si>
  <si>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</si>
  <si>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</si>
  <si>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</si>
  <si>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</si>
  <si>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</si>
  <si>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</si>
  <si>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</si>
  <si>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</si>
  <si>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</si>
  <si>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</si>
  <si>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</si>
  <si>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</si>
  <si>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</si>
  <si>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</si>
  <si>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</si>
  <si>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</si>
  <si>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</si>
  <si>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</si>
  <si>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</si>
  <si>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</si>
  <si>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</si>
  <si>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</si>
  <si>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</si>
  <si>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</si>
  <si>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</si>
  <si>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</si>
  <si>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</si>
  <si>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</si>
  <si>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</si>
  <si>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</si>
  <si>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</si>
  <si>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</si>
  <si>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</si>
  <si>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</si>
  <si>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</si>
  <si>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</si>
  <si>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</si>
  <si>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</si>
  <si>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</si>
  <si>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</si>
  <si>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</si>
  <si>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</si>
  <si>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</si>
  <si>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</si>
  <si>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</si>
  <si>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</si>
  <si>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</si>
  <si>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</si>
  <si>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</si>
  <si>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</si>
  <si>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</si>
  <si>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</si>
  <si>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</si>
  <si>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</si>
  <si>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</si>
  <si>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</si>
  <si>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</si>
  <si>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</si>
  <si>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</si>
  <si>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</si>
  <si>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</si>
  <si>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</si>
  <si>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</si>
  <si>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</si>
  <si>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</si>
  <si>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</si>
  <si>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</si>
  <si>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</si>
  <si>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</si>
  <si>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</si>
  <si>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</si>
  <si>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</si>
  <si>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</si>
  <si>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</si>
  <si>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</si>
  <si>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</si>
  <si>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</si>
  <si>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</si>
  <si>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</si>
  <si>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</si>
  <si>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</si>
  <si>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</si>
  <si>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</si>
  <si>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</si>
  <si>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</si>
  <si>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</si>
  <si>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</si>
  <si>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</si>
  <si>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</si>
  <si>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</si>
  <si>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</si>
  <si>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</si>
  <si>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</si>
  <si>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</si>
  <si>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</si>
  <si>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</si>
  <si>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</si>
  <si>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</si>
  <si>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</si>
  <si>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</si>
  <si>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</si>
  <si>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</si>
  <si>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</si>
  <si>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</si>
  <si>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</si>
  <si>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</si>
  <si>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</si>
  <si>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</si>
  <si>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</si>
  <si>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</si>
  <si>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</si>
  <si>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</si>
  <si>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</si>
  <si>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</si>
  <si>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</si>
  <si>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</si>
  <si>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</si>
  <si>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</si>
  <si>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</si>
  <si>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</si>
  <si>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</si>
  <si>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</si>
  <si>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</si>
  <si>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</si>
  <si>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</si>
  <si>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</si>
  <si>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</si>
  <si>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</si>
  <si>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</si>
  <si>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</si>
  <si>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</si>
  <si>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</si>
  <si>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</si>
  <si>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</si>
  <si>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</si>
  <si>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</si>
  <si>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</si>
  <si>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</si>
  <si>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</si>
  <si>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</si>
  <si>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</si>
  <si>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</si>
  <si>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</si>
  <si>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</si>
  <si>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</si>
  <si>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</si>
  <si>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</si>
  <si>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</si>
  <si>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</si>
  <si>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</si>
  <si>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</si>
  <si>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</si>
  <si>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</si>
  <si>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</si>
  <si>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</si>
  <si>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</si>
  <si>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</si>
  <si>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</si>
  <si>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</si>
  <si>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</si>
  <si>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</si>
  <si>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</si>
  <si>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</si>
  <si>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</si>
  <si>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</si>
  <si>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</si>
  <si>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</si>
  <si>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</si>
  <si>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</si>
  <si>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</si>
  <si>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</si>
  <si>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</si>
  <si>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</si>
  <si>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</si>
  <si>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</si>
  <si>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</si>
  <si>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</si>
  <si>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</si>
  <si>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</si>
  <si>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</si>
  <si>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</si>
  <si>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</si>
  <si>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</si>
  <si>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</si>
  <si>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</si>
  <si>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</si>
  <si>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</si>
  <si>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</si>
  <si>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</si>
  <si>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</si>
  <si>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</si>
  <si>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</si>
  <si>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</si>
  <si>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</si>
  <si>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</si>
  <si>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</si>
  <si>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</si>
  <si>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</si>
  <si>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</si>
  <si>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</si>
  <si>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</si>
  <si>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</si>
  <si>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</si>
  <si>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</si>
  <si>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</si>
  <si>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</si>
  <si>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</si>
  <si>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</si>
  <si>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</si>
  <si>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</si>
  <si>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</si>
  <si>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</si>
  <si>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</si>
  <si>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</si>
  <si>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</si>
  <si>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</si>
  <si>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</si>
  <si>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</si>
  <si>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</si>
  <si>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</si>
  <si>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</si>
  <si>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</si>
  <si>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</si>
  <si>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</si>
  <si>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</si>
  <si>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</si>
  <si>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</si>
  <si>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</si>
  <si>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</si>
  <si>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</si>
  <si>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</si>
  <si>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</si>
  <si>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</si>
  <si>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</si>
  <si>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</si>
  <si>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</si>
  <si>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</si>
  <si>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</si>
  <si>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</si>
  <si>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</si>
  <si>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</si>
  <si>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</si>
  <si>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</si>
  <si>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</si>
  <si>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</si>
  <si>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</si>
  <si>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</si>
  <si>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</si>
  <si>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</si>
  <si>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</si>
  <si>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</si>
  <si>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</si>
  <si>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</si>
  <si>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</si>
  <si>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</si>
  <si>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</si>
  <si>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</si>
  <si>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</si>
  <si>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</si>
  <si>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</si>
  <si>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</si>
  <si>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</si>
  <si>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</si>
  <si>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</si>
  <si>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</si>
  <si>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</si>
  <si>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</si>
  <si>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</si>
  <si>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</si>
  <si>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</si>
  <si>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</si>
  <si>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</si>
  <si>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</si>
  <si>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</si>
  <si>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</si>
  <si>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</si>
  <si>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</si>
  <si>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</si>
  <si>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</si>
  <si>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</si>
  <si>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</si>
  <si>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</si>
  <si>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</si>
  <si>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</si>
  <si>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</si>
  <si>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</si>
  <si>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</si>
  <si>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</si>
  <si>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</si>
  <si>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</si>
  <si>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</si>
  <si>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</si>
  <si>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</si>
  <si>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</si>
  <si>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</si>
  <si>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</si>
  <si>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</si>
  <si>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</si>
  <si>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</si>
  <si>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</si>
  <si>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</si>
  <si>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</si>
  <si>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</si>
  <si>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</si>
  <si>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</si>
  <si>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</si>
  <si>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</si>
  <si>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</si>
  <si>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</si>
  <si>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</si>
  <si>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</si>
  <si>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</si>
  <si>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</si>
  <si>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</si>
  <si>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</si>
  <si>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</si>
  <si>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</si>
  <si>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</si>
  <si>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</si>
  <si>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</si>
  <si>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</si>
  <si>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</si>
  <si>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</si>
  <si>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</si>
  <si>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</si>
  <si>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</si>
  <si>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</si>
  <si>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</si>
  <si>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</si>
  <si>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</si>
  <si>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</si>
  <si>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</si>
  <si>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</si>
  <si>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</si>
  <si>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</si>
  <si>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</si>
  <si>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</si>
  <si>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</si>
  <si>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</si>
  <si>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</si>
  <si>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</si>
  <si>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</si>
  <si>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</si>
  <si>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</si>
  <si>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</si>
  <si>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</si>
  <si>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</si>
  <si>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</si>
  <si>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</si>
  <si>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</si>
  <si>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</si>
  <si>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</si>
  <si>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</si>
  <si>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</si>
  <si>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</si>
  <si>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</si>
  <si>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</si>
  <si>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</si>
  <si>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</si>
  <si>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</si>
  <si>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</si>
  <si>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</si>
  <si>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</si>
  <si>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</si>
  <si>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</si>
  <si>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</si>
  <si>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</si>
  <si>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</si>
  <si>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</si>
  <si>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</si>
  <si>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</si>
  <si>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</si>
  <si>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</si>
  <si>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</si>
  <si>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</si>
  <si>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</si>
  <si>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</si>
  <si>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</si>
  <si>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</si>
  <si>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</si>
  <si>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</si>
  <si>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</si>
  <si>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</si>
  <si>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</si>
  <si>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</si>
  <si>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</si>
  <si>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</si>
  <si>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</si>
  <si>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</si>
  <si>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</si>
  <si>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</si>
  <si>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</si>
  <si>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</si>
  <si>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</si>
  <si>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</si>
  <si>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</si>
  <si>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</si>
  <si>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</si>
  <si>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</si>
  <si>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</si>
  <si>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</si>
  <si>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</si>
  <si>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</si>
  <si>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</si>
  <si>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</si>
  <si>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</si>
  <si>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</si>
  <si>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</si>
  <si>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</si>
  <si>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</si>
  <si>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</si>
  <si>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</si>
  <si>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</si>
  <si>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</si>
  <si>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</si>
  <si>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</si>
  <si>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</si>
  <si>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</si>
  <si>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</si>
  <si>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</si>
  <si>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</si>
  <si>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</si>
  <si>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</si>
  <si>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</si>
  <si>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</si>
  <si>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</si>
  <si>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</si>
  <si>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</si>
  <si>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</si>
  <si>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</si>
  <si>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</si>
  <si>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</si>
  <si>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</si>
  <si>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</si>
  <si>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</si>
  <si>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</si>
  <si>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</si>
  <si>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</si>
  <si>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</si>
  <si>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</si>
  <si>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</si>
  <si>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</si>
  <si>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</si>
  <si>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</si>
  <si>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</si>
  <si>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</si>
  <si>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</si>
  <si>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</si>
  <si>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</si>
  <si>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</si>
  <si>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</si>
  <si>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</si>
  <si>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</si>
  <si>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</si>
  <si>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</si>
  <si>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</si>
  <si>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</si>
  <si>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</si>
  <si>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</si>
  <si>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</si>
  <si>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</si>
  <si>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</si>
  <si>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</si>
  <si>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</si>
  <si>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</si>
  <si>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</si>
  <si>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</si>
  <si>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</si>
  <si>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</si>
  <si>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</si>
  <si>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</si>
  <si>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</si>
  <si>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</si>
  <si>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</si>
  <si>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</si>
  <si>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</si>
  <si>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</si>
  <si>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</si>
  <si>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</si>
  <si>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</si>
  <si>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</si>
  <si>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</si>
  <si>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</si>
  <si>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</si>
  <si>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</si>
  <si>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</si>
  <si>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</si>
  <si>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</si>
  <si>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</si>
  <si>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</si>
  <si>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</si>
  <si>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</si>
  <si>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</si>
  <si>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</si>
  <si>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</si>
  <si>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</si>
  <si>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</si>
  <si>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</si>
  <si>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</si>
  <si>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</si>
  <si>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</si>
  <si>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</si>
  <si>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</si>
  <si>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</si>
  <si>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</si>
  <si>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</si>
  <si>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</si>
  <si>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</si>
  <si>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</si>
  <si>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</si>
  <si>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</si>
  <si>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</si>
  <si>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</si>
  <si>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</si>
  <si>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</si>
  <si>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</si>
  <si>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</si>
  <si>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</si>
  <si>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</si>
  <si>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</si>
  <si>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</si>
  <si>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</si>
  <si>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</si>
  <si>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</si>
  <si>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</si>
  <si>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</si>
  <si>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</si>
  <si>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</si>
  <si>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</si>
  <si>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</si>
  <si>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</si>
  <si>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</si>
  <si>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</si>
  <si>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</si>
  <si>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</si>
  <si>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</si>
  <si>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</si>
  <si>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</si>
  <si>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</si>
  <si>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</si>
  <si>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</si>
  <si>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</si>
  <si>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</si>
  <si>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</si>
  <si>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</si>
  <si>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</si>
  <si>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</si>
  <si>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</si>
  <si>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</si>
  <si>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</si>
  <si>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</si>
  <si>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</si>
  <si>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</si>
  <si>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</si>
  <si>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</si>
  <si>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</si>
  <si>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</si>
  <si>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</si>
  <si>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</si>
  <si>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</si>
  <si>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</si>
  <si>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</si>
  <si>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</si>
  <si>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</si>
  <si>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</si>
  <si>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</si>
  <si>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</si>
  <si>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</si>
  <si>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</si>
  <si>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</si>
  <si>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</si>
  <si>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</si>
  <si>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</si>
  <si>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</si>
  <si>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</si>
  <si>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</si>
  <si>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</si>
  <si>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</si>
  <si>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</si>
  <si>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</si>
  <si>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</si>
  <si>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</si>
  <si>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</si>
  <si>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</si>
  <si>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</si>
  <si>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</si>
  <si>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</si>
  <si>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</si>
  <si>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</si>
  <si>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</si>
  <si>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</si>
  <si>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</si>
  <si>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</si>
  <si>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</si>
  <si>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</si>
  <si>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</si>
  <si>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</si>
  <si>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</si>
  <si>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</si>
  <si>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</si>
  <si>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</si>
  <si>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</si>
  <si>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</si>
  <si>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</si>
  <si>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</si>
  <si>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</si>
  <si>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</si>
  <si>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</si>
  <si>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</si>
  <si>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</si>
  <si>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</si>
  <si>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</si>
  <si>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</si>
  <si>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</si>
  <si>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</si>
  <si>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</si>
  <si>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</si>
  <si>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</si>
  <si>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</si>
  <si>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</si>
  <si>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</si>
  <si>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</si>
  <si>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</si>
  <si>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</si>
  <si>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</si>
  <si>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</si>
  <si>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</si>
  <si>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</si>
  <si>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</si>
  <si>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</si>
  <si>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</si>
  <si>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</si>
  <si>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</si>
  <si>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</si>
  <si>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</si>
  <si>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</si>
  <si>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</si>
  <si>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</si>
  <si>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</si>
  <si>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</si>
  <si>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</si>
  <si>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</si>
  <si>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</si>
  <si>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</si>
  <si>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</si>
  <si>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</si>
  <si>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</si>
  <si>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</si>
  <si>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</si>
  <si>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</si>
  <si>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</si>
  <si>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</si>
  <si>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</si>
  <si>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</si>
  <si>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</si>
  <si>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</si>
  <si>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</si>
  <si>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</si>
  <si>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</si>
  <si>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</si>
  <si>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</si>
  <si>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</si>
  <si>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</si>
  <si>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</si>
  <si>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</si>
  <si>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</si>
  <si>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</si>
  <si>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</si>
  <si>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</si>
  <si>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</si>
  <si>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</si>
  <si>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</si>
  <si>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</si>
  <si>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</si>
  <si>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</si>
  <si>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</si>
  <si>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</si>
  <si>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</si>
  <si>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</si>
  <si>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</si>
  <si>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</si>
  <si>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</si>
  <si>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</si>
  <si>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</si>
  <si>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</si>
  <si>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</si>
  <si>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</si>
  <si>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</si>
  <si>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</si>
  <si>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</si>
  <si>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</si>
  <si>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</si>
  <si>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</si>
  <si>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</si>
  <si>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</si>
  <si>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</si>
  <si>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</si>
  <si>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</si>
  <si>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</si>
  <si>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</si>
  <si>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</si>
  <si>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</si>
  <si>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</si>
  <si>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</si>
  <si>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</si>
  <si>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</si>
  <si>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</si>
  <si>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</si>
  <si>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</si>
  <si>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</si>
  <si>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</si>
  <si>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</si>
  <si>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</si>
  <si>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</si>
  <si>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</si>
  <si>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</si>
  <si>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</si>
  <si>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</si>
  <si>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</si>
  <si>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</si>
  <si>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</si>
  <si>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</si>
  <si>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</si>
  <si>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</si>
  <si>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</si>
  <si>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</si>
  <si>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</si>
  <si>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</si>
  <si>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</si>
  <si>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</si>
  <si>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</si>
  <si>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</si>
  <si>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</si>
  <si>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</si>
  <si>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</si>
  <si>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</si>
  <si>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</si>
  <si>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</si>
  <si>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</si>
  <si>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</si>
  <si>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</si>
  <si>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</si>
  <si>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</si>
  <si>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</si>
  <si>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</si>
  <si>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</si>
  <si>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</si>
  <si>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</si>
  <si>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</si>
  <si>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</si>
  <si>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</si>
  <si>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</si>
  <si>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</si>
  <si>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</si>
  <si>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</si>
  <si>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</si>
  <si>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</si>
  <si>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</si>
  <si>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</si>
  <si>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</si>
  <si>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</si>
  <si>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</si>
  <si>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</si>
  <si>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</si>
  <si>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</si>
  <si>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</si>
  <si>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</si>
  <si>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</si>
  <si>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</si>
  <si>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</si>
  <si>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</si>
  <si>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</si>
  <si>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</si>
  <si>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</si>
  <si>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</si>
  <si>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</si>
  <si>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</si>
  <si>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</si>
  <si>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</si>
  <si>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</si>
  <si>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</si>
  <si>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</si>
  <si>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</si>
  <si>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</si>
  <si>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</si>
  <si>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</si>
  <si>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</si>
  <si>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</si>
  <si>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</si>
  <si>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</si>
  <si>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</si>
  <si>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</si>
  <si>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</si>
  <si>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</si>
  <si>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</si>
  <si>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</si>
  <si>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</si>
  <si>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</si>
  <si>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</si>
  <si>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</si>
  <si>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</si>
  <si>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</si>
  <si>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</si>
  <si>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</si>
  <si>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</si>
  <si>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</si>
  <si>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</si>
  <si>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</si>
  <si>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</si>
  <si>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</si>
  <si>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</si>
  <si>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</si>
  <si>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</si>
  <si>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</si>
  <si>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</si>
  <si>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</si>
  <si>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</si>
  <si>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</si>
  <si>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</si>
  <si>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</si>
  <si>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</si>
  <si>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</si>
  <si>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</si>
  <si>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</si>
  <si>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</si>
  <si>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</si>
  <si>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</si>
  <si>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</si>
  <si>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</si>
  <si>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</si>
  <si>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</si>
  <si>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</si>
  <si>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</si>
  <si>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</si>
  <si>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</si>
  <si>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</si>
  <si>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</si>
  <si>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</si>
  <si>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</si>
  <si>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</si>
  <si>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</si>
  <si>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</si>
  <si>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</si>
  <si>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</si>
  <si>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</si>
  <si>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</si>
  <si>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</si>
  <si>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</si>
  <si>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</si>
  <si>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</si>
  <si>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</si>
  <si>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</si>
  <si>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</si>
  <si>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</si>
  <si>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</si>
  <si>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</si>
  <si>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</si>
  <si>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</si>
  <si>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</si>
  <si>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</si>
  <si>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</si>
  <si>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</si>
  <si>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</si>
  <si>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</si>
  <si>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</si>
  <si>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</si>
  <si>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</si>
  <si>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</si>
  <si>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</si>
  <si>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</si>
  <si>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</si>
  <si>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</si>
  <si>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</si>
  <si>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</si>
  <si>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</si>
  <si>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</si>
  <si>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</si>
  <si>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</si>
  <si>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</si>
  <si>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</si>
  <si>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</si>
  <si>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</si>
  <si>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</si>
  <si>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</si>
  <si>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</si>
  <si>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</si>
  <si>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</si>
  <si>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</si>
  <si>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</si>
  <si>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</si>
  <si>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</si>
  <si>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</si>
  <si>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</si>
  <si>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</si>
  <si>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</si>
  <si>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</si>
  <si>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</si>
  <si>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</si>
  <si>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</si>
  <si>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</si>
  <si>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</si>
  <si>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</si>
  <si>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</si>
  <si>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</si>
  <si>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</si>
  <si>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</si>
  <si>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</si>
  <si>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</si>
  <si>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</si>
  <si>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</si>
  <si>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</si>
  <si>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</si>
  <si>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</si>
  <si>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</si>
  <si>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</si>
  <si>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</si>
  <si>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</si>
  <si>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</si>
  <si>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</si>
  <si>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</si>
  <si>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</si>
  <si>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</si>
  <si>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</si>
  <si>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</si>
  <si>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</si>
  <si>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</si>
  <si>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</si>
  <si>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</si>
  <si>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</si>
  <si>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</si>
  <si>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</si>
  <si>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</si>
  <si>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</si>
  <si>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</si>
  <si>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</si>
  <si>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</si>
  <si>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</si>
  <si>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</si>
  <si>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</si>
  <si>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</si>
  <si>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</si>
  <si>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</si>
  <si>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</si>
  <si>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</si>
  <si>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</si>
  <si>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</si>
  <si>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</si>
  <si>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</si>
  <si>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</si>
  <si>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</si>
  <si>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</si>
  <si>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</si>
  <si>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</si>
  <si>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</si>
  <si>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</si>
  <si>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</si>
  <si>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</si>
  <si>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</si>
  <si>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</si>
  <si>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</si>
  <si>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</si>
  <si>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</si>
  <si>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</si>
  <si>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</si>
  <si>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</si>
  <si>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</si>
  <si>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</si>
  <si>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</si>
  <si>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</si>
  <si>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</si>
  <si>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</si>
  <si>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</si>
  <si>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</si>
  <si>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</si>
  <si>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</si>
  <si>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</si>
  <si>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</si>
  <si>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</si>
  <si>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</si>
  <si>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</si>
  <si>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</si>
  <si>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</si>
  <si>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</si>
  <si>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</si>
  <si>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</si>
  <si>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</si>
  <si>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</si>
  <si>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</si>
  <si>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</si>
  <si>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</si>
  <si>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</si>
  <si>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</si>
  <si>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</si>
  <si>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</si>
  <si>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</si>
  <si>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</si>
  <si>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</si>
  <si>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</si>
  <si>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</si>
  <si>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</si>
  <si>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</si>
  <si>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</si>
  <si>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</si>
  <si>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</si>
  <si>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</si>
  <si>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</si>
  <si>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</si>
  <si>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</si>
  <si>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</si>
  <si>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</si>
  <si>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</si>
  <si>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</si>
  <si>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</si>
  <si>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</si>
  <si>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</si>
  <si>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</si>
  <si>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</si>
  <si>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</si>
  <si>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</si>
  <si>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</si>
  <si>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</si>
  <si>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</si>
  <si>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</si>
  <si>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</si>
  <si>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</si>
  <si>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</si>
  <si>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</si>
  <si>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</si>
  <si>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</si>
  <si>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</si>
  <si>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</si>
  <si>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</si>
  <si>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</si>
  <si>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</si>
  <si>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</si>
  <si>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</si>
  <si>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</si>
  <si>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</si>
  <si>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</si>
  <si>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</si>
  <si>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</si>
  <si>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</si>
  <si>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</si>
  <si>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</si>
  <si>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</si>
  <si>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</si>
  <si>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</si>
  <si>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</si>
  <si>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</si>
  <si>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</si>
  <si>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</si>
  <si>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</si>
  <si>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</si>
  <si>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</si>
  <si>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</si>
  <si>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</si>
  <si>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</si>
  <si>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</si>
  <si>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</si>
  <si>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</si>
  <si>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</si>
  <si>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</si>
  <si>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</si>
  <si>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</si>
  <si>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</si>
  <si>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</si>
  <si>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</si>
  <si>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</si>
  <si>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</si>
  <si>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</si>
  <si>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</si>
  <si>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</si>
  <si>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</si>
  <si>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</si>
  <si>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</si>
  <si>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</si>
  <si>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</si>
  <si>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</si>
  <si>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</si>
  <si>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</si>
  <si>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</si>
  <si>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</si>
  <si>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</si>
  <si>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</si>
  <si>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</si>
  <si>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</si>
  <si>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</si>
  <si>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</si>
  <si>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</si>
  <si>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</si>
  <si>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</si>
  <si>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</si>
  <si>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</si>
  <si>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</si>
  <si>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</si>
  <si>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</si>
  <si>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</si>
  <si>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</si>
  <si>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</si>
  <si>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</si>
  <si>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</si>
  <si>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</si>
  <si>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</si>
  <si>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</si>
  <si>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</si>
  <si>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</si>
  <si>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</si>
  <si>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</si>
  <si>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</si>
  <si>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</si>
  <si>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</si>
  <si>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</si>
  <si>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</si>
  <si>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</si>
  <si>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</si>
  <si>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</si>
  <si>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</si>
  <si>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</si>
  <si>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</si>
  <si>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</si>
  <si>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</si>
  <si>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</si>
  <si>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</si>
  <si>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</si>
  <si>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</si>
  <si>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</si>
  <si>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</si>
  <si>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</si>
  <si>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</si>
  <si>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</si>
  <si>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</si>
  <si>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</si>
  <si>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</si>
  <si>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</si>
  <si>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</si>
  <si>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</si>
  <si>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</si>
  <si>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</si>
  <si>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</si>
  <si>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</si>
  <si>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</si>
  <si>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</si>
  <si>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</si>
  <si>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</si>
  <si>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</si>
  <si>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</si>
  <si>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</si>
  <si>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</si>
  <si>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</si>
  <si>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</si>
  <si>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</si>
  <si>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</si>
  <si>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</si>
  <si>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</si>
  <si>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</si>
  <si>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</si>
  <si>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</si>
  <si>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</si>
  <si>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</si>
  <si>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</si>
  <si>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</si>
  <si>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</si>
  <si>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</si>
  <si>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</si>
  <si>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</si>
  <si>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</si>
  <si>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</si>
  <si>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</si>
  <si>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</si>
  <si>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</si>
  <si>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</si>
  <si>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</si>
  <si>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</si>
  <si>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</si>
  <si>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</si>
  <si>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</si>
  <si>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</si>
  <si>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</si>
  <si>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</si>
  <si>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</si>
  <si>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</si>
  <si>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</si>
  <si>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</si>
  <si>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</si>
  <si>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</si>
  <si>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</si>
  <si>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</si>
  <si>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</si>
  <si>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</si>
  <si>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</si>
  <si>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</si>
  <si>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</si>
  <si>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</si>
  <si>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</si>
  <si>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</si>
  <si>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</si>
  <si>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</si>
  <si>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</si>
  <si>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</si>
  <si>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</si>
  <si>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</si>
  <si>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</si>
  <si>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</si>
  <si>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</si>
  <si>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</si>
  <si>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</si>
  <si>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</si>
  <si>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住宅</t>
  </si>
  <si>
    <t>住宅</t>
    <phoneticPr fontId="7" type="noConversion"/>
  </si>
  <si>
    <t>成新度</t>
  </si>
  <si>
    <t>城镇住宅用地</t>
  </si>
  <si>
    <t>自定义容积率</t>
  </si>
  <si>
    <t>有</t>
  </si>
  <si>
    <t>500米范围内</t>
  </si>
  <si>
    <t>与级别开发程度一致</t>
  </si>
  <si>
    <t>Ⅱ—01</t>
  </si>
  <si>
    <t>较好</t>
    <phoneticPr fontId="76" type="noConversion"/>
  </si>
  <si>
    <t>好</t>
    <phoneticPr fontId="76" type="noConversion"/>
  </si>
  <si>
    <t>较好</t>
    <phoneticPr fontId="76" type="noConversion"/>
  </si>
  <si>
    <t>一般</t>
    <phoneticPr fontId="76" type="noConversion"/>
  </si>
  <si>
    <t>好</t>
    <phoneticPr fontId="76" type="noConversion"/>
  </si>
  <si>
    <t>未包含在土地购买价格中</t>
  </si>
  <si>
    <t>全部缴纳</t>
  </si>
  <si>
    <t>已包含在土地取得成本中</t>
  </si>
  <si>
    <t>顺益兴</t>
    <phoneticPr fontId="134" type="noConversion"/>
  </si>
  <si>
    <t>西城区</t>
    <phoneticPr fontId="134" type="noConversion"/>
  </si>
  <si>
    <t>宗地面积</t>
    <phoneticPr fontId="134" type="noConversion"/>
  </si>
  <si>
    <t>总价</t>
    <phoneticPr fontId="134" type="noConversion"/>
  </si>
  <si>
    <t>单价</t>
    <phoneticPr fontId="134" type="noConversion"/>
  </si>
  <si>
    <t>什刹海</t>
    <phoneticPr fontId="134" type="noConversion"/>
  </si>
  <si>
    <t>4北3南1东</t>
    <phoneticPr fontId="134" type="noConversion"/>
  </si>
  <si>
    <t>一进</t>
    <phoneticPr fontId="134" type="noConversion"/>
  </si>
  <si>
    <t>新</t>
    <phoneticPr fontId="134" type="noConversion"/>
  </si>
  <si>
    <t>5北3南3西</t>
    <phoneticPr fontId="134" type="noConversion"/>
  </si>
  <si>
    <t>东城区</t>
    <phoneticPr fontId="134" type="noConversion"/>
  </si>
  <si>
    <t>新太仓</t>
    <phoneticPr fontId="134" type="noConversion"/>
  </si>
  <si>
    <r>
      <t>4北</t>
    </r>
    <r>
      <rPr>
        <sz val="11"/>
        <color theme="1"/>
        <rFont val="宋体"/>
        <family val="3"/>
        <charset val="134"/>
        <scheme val="minor"/>
      </rPr>
      <t>4南4东</t>
    </r>
    <phoneticPr fontId="134" type="noConversion"/>
  </si>
  <si>
    <t>交道口</t>
    <phoneticPr fontId="134" type="noConversion"/>
  </si>
  <si>
    <t>5北5南3东3西</t>
    <phoneticPr fontId="134" type="noConversion"/>
  </si>
  <si>
    <t>丽兹行</t>
    <phoneticPr fontId="134" type="noConversion"/>
  </si>
  <si>
    <t>西四</t>
    <phoneticPr fontId="134" type="noConversion"/>
  </si>
  <si>
    <t>西单</t>
    <phoneticPr fontId="134" type="noConversion"/>
  </si>
  <si>
    <t>二进</t>
    <phoneticPr fontId="134" type="noConversion"/>
  </si>
  <si>
    <t>翻新</t>
    <phoneticPr fontId="134" type="noConversion"/>
  </si>
  <si>
    <t>旧</t>
    <phoneticPr fontId="134" type="noConversion"/>
  </si>
  <si>
    <t>南锣鼓巷</t>
    <phoneticPr fontId="134" type="noConversion"/>
  </si>
  <si>
    <t>土地面积</t>
    <phoneticPr fontId="134" type="noConversion"/>
  </si>
  <si>
    <t>总价</t>
    <phoneticPr fontId="134" type="noConversion"/>
  </si>
  <si>
    <t>地面单价</t>
    <phoneticPr fontId="134" type="noConversion"/>
  </si>
  <si>
    <t>建筑面积</t>
    <phoneticPr fontId="134" type="noConversion"/>
  </si>
  <si>
    <r>
      <t>5北</t>
    </r>
    <r>
      <rPr>
        <sz val="11"/>
        <color theme="1"/>
        <rFont val="宋体"/>
        <family val="3"/>
        <charset val="134"/>
        <scheme val="minor"/>
      </rPr>
      <t>5南3东3西</t>
    </r>
    <phoneticPr fontId="134" type="noConversion"/>
  </si>
  <si>
    <t>新翻建</t>
    <phoneticPr fontId="134" type="noConversion"/>
  </si>
  <si>
    <t>北锣鼓巷</t>
    <phoneticPr fontId="134" type="noConversion"/>
  </si>
  <si>
    <t>4北4南2东</t>
    <phoneticPr fontId="134" type="noConversion"/>
  </si>
  <si>
    <r>
      <rPr>
        <sz val="11"/>
        <color indexed="8"/>
        <rFont val="宋体"/>
        <family val="3"/>
        <charset val="134"/>
      </rPr>
      <t>小于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</si>
  <si>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</si>
  <si>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t>项目模式</t>
  </si>
  <si>
    <t>售价</t>
  </si>
  <si>
    <t>精装</t>
    <phoneticPr fontId="24" type="noConversion"/>
  </si>
  <si>
    <t>普装</t>
    <phoneticPr fontId="24" type="noConversion"/>
  </si>
  <si>
    <t>简装</t>
    <phoneticPr fontId="24" type="noConversion"/>
  </si>
  <si>
    <t>毛坯</t>
    <phoneticPr fontId="24" type="noConversion"/>
  </si>
  <si>
    <t>好</t>
    <phoneticPr fontId="24" type="noConversion"/>
  </si>
  <si>
    <t>一般</t>
    <phoneticPr fontId="24" type="noConversion"/>
  </si>
  <si>
    <t>一般</t>
    <phoneticPr fontId="24" type="noConversion"/>
  </si>
  <si>
    <t>较好</t>
    <phoneticPr fontId="24" type="noConversion"/>
  </si>
  <si>
    <t>正常</t>
    <phoneticPr fontId="24" type="noConversion"/>
  </si>
  <si>
    <t>正常</t>
    <phoneticPr fontId="24" type="noConversion"/>
  </si>
  <si>
    <t>住宅</t>
    <phoneticPr fontId="24" type="noConversion"/>
  </si>
  <si>
    <t>比较法-住宅</t>
  </si>
  <si>
    <t>成本法</t>
  </si>
  <si>
    <t>楼面单价</t>
  </si>
  <si>
    <t>自定义</t>
  </si>
  <si>
    <t>通路</t>
  </si>
  <si>
    <t>通电</t>
  </si>
  <si>
    <t>通讯</t>
  </si>
  <si>
    <t>通上水</t>
  </si>
  <si>
    <t>通下水</t>
  </si>
  <si>
    <t>通热</t>
  </si>
  <si>
    <t>燃气</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</si>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</sst>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2" fillId="5" borderId="1" xfId="0" applyFont="1" applyFill="1" applyBorder="1" applyAlignment="1" applyProtection="1">
      <alignment horizontal="center" vertical="center" wrapText="1"/>
      <protection locked="0"/>
    </xf>
    <xf numFmtId="0" fontId="95" fillId="0" borderId="0" xfId="0" applyFont="1">
      <alignment vertical="center"/>
    </xf>
    <xf numFmtId="0" fontId="95" fillId="22" borderId="0" xfId="0" applyFont="1" applyFill="1">
      <alignment vertical="center"/>
    </xf>
    <xf numFmtId="0" fontId="0" fillId="22" borderId="0" xfId="0" applyFill="1">
      <alignment vertical="center"/>
    </xf>
    <xf numFmtId="0" fontId="95" fillId="0" borderId="0" xfId="0" applyFont="1" applyFill="1">
      <alignment vertical="center"/>
    </xf>
    <xf numFmtId="0" fontId="0" fillId="0"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66675</xdr:rowOff>
    </xdr:from>
    <xdr:to>
      <xdr:col>13</xdr:col>
      <xdr:colOff>8393</xdr:colOff>
      <xdr:row>59</xdr:row>
      <xdr:rowOff>46942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95825"/>
          <a:ext cx="9057143"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估价对象为北京市房地产，为所有。根据《国有土地使用证》[]，估价对象（分摊）出让国有建设用地使用权面积为292.21平方米，建筑面积为160.2平方米。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估价对象为北京市房地产,属开发建设的，该项目尚在开发建设中。根据《国有土地使用证》[]，估价对象（分摊）出让国有建设用地使用权面积为292.21平方米，规划建筑面积为160.2平方米。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2023年6月26日</v>
      </c>
    </row>
    <row r="13" spans="1:2" s="1203" customFormat="1">
      <c r="A13" s="1201" t="s">
        <v>529</v>
      </c>
      <c r="B13" s="1202" t="str">
        <f>'预评函-1'!A18</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3522</v>
      </c>
    </row>
    <row r="21" spans="1:2" s="1203" customFormat="1">
      <c r="A21" s="1201" t="s">
        <v>537</v>
      </c>
      <c r="B21" s="1202">
        <f ca="1">'预评函-2'!D7</f>
        <v>219881</v>
      </c>
    </row>
    <row r="22" spans="1:2" s="1203" customFormat="1">
      <c r="A22" s="1201" t="s">
        <v>538</v>
      </c>
      <c r="B22" s="1202" t="str">
        <f ca="1">'预评函-2'!D6</f>
        <v>叁仟伍佰贰拾贰万元整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3522</v>
      </c>
    </row>
    <row r="31" spans="1:2" s="1203" customFormat="1">
      <c r="A31" s="1201" t="s">
        <v>576</v>
      </c>
      <c r="B31" s="1202">
        <f ca="1">'预评函-2'!D15</f>
        <v>219881</v>
      </c>
    </row>
    <row r="32" spans="1:2" s="1203" customFormat="1">
      <c r="A32" s="1201" t="s">
        <v>543</v>
      </c>
      <c r="B32" s="1202" t="str">
        <f ca="1">'预评函-2'!D14</f>
        <v>叁仟伍佰贰拾贰万元整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160.19999999999999</v>
      </c>
    </row>
    <row r="44" spans="1:2" s="1203" customFormat="1">
      <c r="A44" s="1201" t="s">
        <v>575</v>
      </c>
      <c r="B44" s="1202" t="str">
        <f>'预评函-3'!C2</f>
        <v>(分摊)土地面积</v>
      </c>
    </row>
    <row r="45" spans="1:2" s="1203" customFormat="1">
      <c r="A45" s="1201" t="s">
        <v>547</v>
      </c>
      <c r="B45" s="1202">
        <f>'预评函-3'!C4</f>
        <v>292.20999999999998</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5" t="s">
        <v>2584</v>
      </c>
      <c r="J2" s="3505"/>
      <c r="K2" s="3505"/>
      <c r="L2" s="3505"/>
      <c r="M2" s="3505"/>
      <c r="N2" s="3505"/>
      <c r="O2" s="3505"/>
      <c r="P2" s="3505"/>
      <c r="Q2" s="3505"/>
      <c r="R2" s="3505"/>
    </row>
    <row r="3" spans="1:18">
      <c r="A3" s="3019" t="s">
        <v>2505</v>
      </c>
      <c r="B3" s="3020">
        <f>项目基本情况!D3</f>
        <v>45103</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3.48</v>
      </c>
      <c r="D5" s="3024">
        <f>IF(ISERROR(ROUND(POWER(1+E5,A5-C5)*(POWER(1+E5,C5)-1)/(POWER(1+E5,A5)-1),3)),0,ROUND(POWER(1+E5,A5-C5)*(POWER(1+E5,C5)-1)/(POWER(1+E5,A5)-1),4))</f>
        <v>0.16109999999999999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13.49</v>
      </c>
      <c r="D6" s="3024">
        <f>IF(ISERROR(ROUND(POWER(1+E6,A6-C6)*(POWER(1+E6,C6)-1)/(POWER(1+E6,A6)-1),3)),0,ROUND(POWER(1+E6,A6-C6)*(POWER(1+E6,C6)-1)/(POWER(1+E6,A6)-1),4))</f>
        <v>0.47810000000000002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33.5</v>
      </c>
      <c r="D7" s="3024">
        <f>IF(ISERROR(ROUND(POWER(1+E7,A7-C7)*(POWER(1+E7,C7)-1)/(POWER(1+E7,A7)-1),3)),0,ROUND(POWER(1+E7,A7-C7)*(POWER(1+E7,C7)-1)/(POWER(1+E7,A7)-1),4))</f>
        <v>0.78139999999999998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38" sqref="D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45103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17"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518"/>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v>69335</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66.38</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160.19999999999999</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292.20999999999998</v>
      </c>
      <c r="D18" s="1092"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8"/>
      <c r="B30" s="302" t="s">
        <v>2218</v>
      </c>
      <c r="C30" s="3509"/>
      <c r="D30" s="3510"/>
      <c r="E30" s="2663"/>
      <c r="F30" s="2663"/>
      <c r="G30" s="2663"/>
      <c r="H30" s="2663"/>
      <c r="I30" s="2663"/>
      <c r="J30" s="2438"/>
      <c r="K30" s="2615"/>
      <c r="L30" s="2612"/>
      <c r="M30" s="2612"/>
      <c r="N30" s="2438"/>
      <c r="O30" s="2449"/>
      <c r="P30" s="2438"/>
      <c r="Q30" s="2438"/>
      <c r="R30" s="2438"/>
      <c r="S30" s="2438"/>
      <c r="T30" s="2438"/>
      <c r="U30" s="2438"/>
      <c r="V30" s="2438"/>
    </row>
    <row r="31" spans="1:28">
      <c r="A31" s="3511"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2"/>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6" t="s">
        <v>2228</v>
      </c>
      <c r="T34" s="2427" t="str">
        <f>NUMBERSTRING(7-K34,1)&amp;"通"</f>
        <v>七通</v>
      </c>
      <c r="U34" s="2438"/>
      <c r="V34" s="2438"/>
    </row>
    <row r="35" spans="1:30">
      <c r="A35" s="2428"/>
      <c r="B35" s="3513" t="s">
        <v>2229</v>
      </c>
      <c r="C35" s="3513"/>
      <c r="D35" s="3513"/>
      <c r="E35" s="351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3393</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292.20999999999998</v>
      </c>
      <c r="B3" s="11">
        <f>IF(C3="否",G5-AT5,G5)</f>
        <v>160.19999999999999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160.19999999999999</v>
      </c>
      <c r="H5" s="13">
        <f t="shared" ref="H5:AT5" si="0">SUM(H13:H656)</f>
        <v>160.19999999999999</v>
      </c>
      <c r="I5" s="13">
        <f t="shared" si="0"/>
        <v>160.19999999999999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160.19999999999999</v>
      </c>
      <c r="BA5" s="15">
        <f t="shared" si="1"/>
        <v>160.19999999999999</v>
      </c>
      <c r="BB5" s="15">
        <f t="shared" si="1"/>
        <v>160.19999999999999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292.20999999999998</v>
      </c>
      <c r="F6" s="13" t="s">
        <v>0</v>
      </c>
      <c r="G6" s="13" t="s">
        <v>1</v>
      </c>
      <c r="H6" s="17">
        <f>SUMIF(I$12:AB$12,"总值",I6:AB6)</f>
        <v>292.20999999999998</v>
      </c>
      <c r="I6" s="13">
        <f t="shared" ref="I6:AB6" si="2">ROUND($A$3*I5/$B$3,2)</f>
        <v>292.20999999999998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292.20999999999998</v>
      </c>
      <c r="AZ6" s="13" t="s">
        <v>2</v>
      </c>
      <c r="BA6" s="13">
        <f>ROUND($AY$6*BA5/$AZ$5,2)</f>
        <v>292.20999999999998</v>
      </c>
      <c r="BB6" s="13">
        <f>ROUND($AY$6*BB5/$AZ$5,2)</f>
        <v>292.20999999999998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292.20999999999998</v>
      </c>
      <c r="F13" s="29"/>
      <c r="G13" s="30">
        <f>H13+AC13+AT13</f>
        <v>160.19999999999999</v>
      </c>
      <c r="H13" s="17">
        <f>SUMIF(I$12:AB$12,"总值",I13:AB13)</f>
        <v>160.19999999999999</v>
      </c>
      <c r="I13" s="1626">
        <v>160.19999999999999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292.20999999999998</v>
      </c>
      <c r="AZ13" s="13">
        <f>BA13+BL13</f>
        <v>160.19999999999999</v>
      </c>
      <c r="BA13" s="13">
        <f>SUM(BB13:BK13)</f>
        <v>160.19999999999999</v>
      </c>
      <c r="BB13" s="13">
        <f>IF($D13="是",I13-J13,0)</f>
        <v>160.19999999999999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12" sqref="H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4" t="s">
        <v>1132</v>
      </c>
      <c r="J2" s="2658"/>
      <c r="K2" s="2658"/>
      <c r="L2" s="2658"/>
      <c r="M2" s="2658"/>
      <c r="N2" s="2660"/>
      <c r="O2" s="2658"/>
      <c r="P2" s="2658"/>
    </row>
    <row r="3" spans="1:16" ht="15.75" thickBot="1">
      <c r="A3" s="3546" t="s">
        <v>1105</v>
      </c>
      <c r="B3" s="3546"/>
      <c r="C3" s="3546"/>
      <c r="D3" s="43">
        <f>'数据-基础表'!AY6</f>
        <v>292.20999999999998</v>
      </c>
      <c r="E3" s="43">
        <f>'数据-基础表'!AZ5</f>
        <v>160.19999999999999</v>
      </c>
      <c r="F3" s="2658"/>
      <c r="G3" s="1145"/>
      <c r="H3" s="1026" t="s">
        <v>1106</v>
      </c>
      <c r="I3" s="855">
        <f>ROUND('数据-基础表'!B3/'数据-基础表'!A3,2)</f>
        <v>0.55000000000000004</v>
      </c>
      <c r="J3" s="2658"/>
      <c r="K3" s="2658"/>
      <c r="L3" s="2658"/>
      <c r="M3" s="2658"/>
      <c r="N3" s="2660"/>
      <c r="O3" s="2658"/>
      <c r="P3" s="2658"/>
    </row>
    <row r="4" spans="1:16" ht="15">
      <c r="A4" s="3547"/>
      <c r="B4" s="3548"/>
      <c r="C4" s="3549"/>
      <c r="D4" s="1641" t="s">
        <v>1107</v>
      </c>
      <c r="E4" s="1642" t="s">
        <v>1108</v>
      </c>
      <c r="F4" s="2658"/>
      <c r="G4" s="2651" t="s">
        <v>1133</v>
      </c>
      <c r="H4" s="1026" t="s">
        <v>1113</v>
      </c>
      <c r="I4" s="855">
        <f>ROUND(SUMIF('数据-基础表'!I9:AS9,"地上",'数据-基础表'!I5:AS5)/'数据-基础表'!A3,2)</f>
        <v>0.55000000000000004</v>
      </c>
      <c r="J4" s="2658"/>
      <c r="K4" s="2658"/>
      <c r="L4" s="2658"/>
      <c r="M4" s="2658"/>
      <c r="N4" s="2660"/>
      <c r="O4" s="2658"/>
      <c r="P4" s="2658"/>
    </row>
    <row r="5" spans="1:16">
      <c r="A5" s="44" t="s">
        <v>1109</v>
      </c>
      <c r="B5" s="3550" t="s">
        <v>1110</v>
      </c>
      <c r="C5" s="3550"/>
      <c r="D5" s="45">
        <f>ROUND($D$3*E5/$E$3,2)</f>
        <v>292.20999999999998</v>
      </c>
      <c r="E5" s="46">
        <f>SUMIF('数据-基础表'!$11:$11,"住宅",'数据-基础表'!$5:$5)</f>
        <v>160.19999999999999</v>
      </c>
      <c r="F5" s="2658"/>
      <c r="G5" s="1145"/>
      <c r="H5" s="1026" t="s">
        <v>1106</v>
      </c>
      <c r="I5" s="855">
        <f>ROUND(E31/D31,2)</f>
        <v>0.55000000000000004</v>
      </c>
      <c r="J5" s="2658"/>
      <c r="K5" s="2658"/>
      <c r="L5" s="2658"/>
      <c r="M5" s="2658"/>
      <c r="N5" s="2658"/>
      <c r="O5" s="2658"/>
      <c r="P5" s="2658"/>
    </row>
    <row r="6" spans="1:16" ht="15" thickBot="1">
      <c r="A6" s="1644"/>
      <c r="B6" s="3550" t="s">
        <v>1111</v>
      </c>
      <c r="C6" s="3550"/>
      <c r="D6" s="45">
        <f>ROUND($D$3*E6/$E$3,2)</f>
        <v>0</v>
      </c>
      <c r="E6" s="46">
        <f>E3-E5</f>
        <v>0</v>
      </c>
      <c r="F6" s="2658"/>
      <c r="G6" s="2652" t="s">
        <v>1112</v>
      </c>
      <c r="H6" s="1146" t="s">
        <v>1113</v>
      </c>
      <c r="I6" s="2653">
        <f>ROUND(F31/D31,2)</f>
        <v>0.55000000000000004</v>
      </c>
      <c r="J6" s="2658"/>
      <c r="K6" s="2658"/>
      <c r="L6" s="2658"/>
      <c r="M6" s="2658"/>
      <c r="N6" s="2658"/>
      <c r="O6" s="2658"/>
      <c r="P6" s="2658"/>
    </row>
    <row r="7" spans="1:16" ht="15.75" thickBot="1">
      <c r="A7" s="3542"/>
      <c r="B7" s="3543"/>
      <c r="C7" s="3544"/>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292.20999999999998</v>
      </c>
      <c r="E8" s="48">
        <f>SUMIF('数据-基础表'!BB10:BK10,"地上",'数据-基础表'!BB5:BK5)</f>
        <v>160.19999999999999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292.20999999999998</v>
      </c>
      <c r="E16" s="50">
        <f>SUM(E8:E15)</f>
        <v>160.19999999999999</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3386</v>
      </c>
      <c r="D19" s="45">
        <f>ROUND($D$3*E19/$E$3,2)</f>
        <v>292.20999999999998</v>
      </c>
      <c r="E19" s="53">
        <f t="shared" ref="E19:E26" si="1">SUM(F19:G19)</f>
        <v>160.19999999999999</v>
      </c>
      <c r="F19" s="2794">
        <f>'数据-基础表'!I13</f>
        <v>160.19999999999999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292.20999999999998</v>
      </c>
      <c r="S19" s="1027">
        <f t="shared" si="5"/>
        <v>160.19999999999999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292.20999999999998</v>
      </c>
      <c r="E27" s="1141">
        <f>IF(SUM(E19:E26)='数据-基础表'!BA5,SUM(E19:E26),IF(F27="地上面积有误","面积有误","地下面积有误"))</f>
        <v>160.19999999999999</v>
      </c>
      <c r="F27" s="1140">
        <f>IF(SUM(F19:F26)=E8,SUM(F19:F26),"地上面积有误")</f>
        <v>160.19999999999999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292.20999999999998</v>
      </c>
      <c r="S27" s="1026">
        <f>IF(SUM(S19:S26)=$E$3,SUM(S19:S26),SUM(S19:S26)&amp;"误差"&amp;ROUND(SUM(S19:S26)-E3,2))</f>
        <v>160.19999999999999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292.20999999999998</v>
      </c>
      <c r="E31" s="676">
        <f>E27+E30</f>
        <v>160.19999999999999</v>
      </c>
      <c r="F31" s="677">
        <f>F27+F30</f>
        <v>160.19999999999999</v>
      </c>
      <c r="G31" s="678">
        <f>G27+G30</f>
        <v>0</v>
      </c>
      <c r="H31" s="2658"/>
      <c r="I31" s="2658"/>
      <c r="J31" s="2658"/>
      <c r="K31" s="2658"/>
      <c r="L31" s="2658"/>
      <c r="M31" s="2658"/>
      <c r="N31" s="2658"/>
      <c r="O31" s="2658"/>
      <c r="P31" s="2658"/>
    </row>
    <row r="32" spans="1:19">
      <c r="A32" s="1643"/>
      <c r="B32" s="1643" t="s">
        <v>1159</v>
      </c>
      <c r="C32" s="1643"/>
      <c r="D32" s="1643"/>
      <c r="E32" s="1053">
        <f>SUMIF(C19:C26,"*住宅*",E19:E26)</f>
        <v>160.19999999999999</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16" activePane="bottomRight" state="frozen"/>
      <selection activeCell="C50" sqref="C50"/>
      <selection pane="topRight" activeCell="C50" sqref="C50"/>
      <selection pane="bottomLeft" activeCell="C50" sqref="C50"/>
      <selection pane="bottomRight" activeCell="T56" sqref="T5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69335</v>
      </c>
      <c r="F6" s="64">
        <f>SUMIF(项目基本情况!C$12:I$12,C6,项目基本情况!C$15:I$15)</f>
        <v>66.38</v>
      </c>
      <c r="G6" s="65">
        <f>IF(ISERROR(ROUND(POWER(1+H6,D6-F6)*(POWER(1+H6,F6)-1)/(POWER(1+H6,D6)-1),3)),0,ROUND(POWER(1+H6,D6-F6)*(POWER(1+H6,F6)-1)/(POWER(1+H6,D6)-1),3))</f>
        <v>0.99299999999999999</v>
      </c>
      <c r="H6" s="732">
        <v>0.05</v>
      </c>
      <c r="I6" s="732">
        <v>5.5E-2</v>
      </c>
      <c r="J6" s="66">
        <v>7.0000000000000007E-2</v>
      </c>
      <c r="K6" s="1030">
        <f>SUMIF('数据-汇总表'!C$19:C$33,A6,'数据-汇总表'!E$19:E$33)</f>
        <v>160.19999999999999</v>
      </c>
      <c r="L6" s="733">
        <v>4000</v>
      </c>
      <c r="M6" s="67">
        <f t="shared" ref="M6:M14" si="0">ROUND(K6*L6/10000,0)</f>
        <v>64</v>
      </c>
      <c r="N6" s="731">
        <f>N19</f>
        <v>0.96</v>
      </c>
      <c r="O6" s="67" t="str">
        <f>IF($N$5="成新度","——",ROUND(M6*N6,0))</f>
        <v>——</v>
      </c>
      <c r="P6" s="68" t="str">
        <f>IF($N$5="成新度","——",M6-O6)</f>
        <v>——</v>
      </c>
      <c r="Q6" s="734">
        <v>0.2</v>
      </c>
      <c r="R6" s="69">
        <f ca="1">SUMIF('数据-汇总表'!C$19:C$33,A6,'数据-汇总表'!R$19:R$27)</f>
        <v>292.20999999999998</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640800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0.99299999999999999</v>
      </c>
      <c r="H16" s="90">
        <f>ROUND(SUMPRODUCT(H6:H13,K6:K13)/SUMPRODUCT((H6:H13&gt;0)*(K6:K13)),3)</f>
        <v>0.05</v>
      </c>
      <c r="I16" s="91"/>
      <c r="J16" s="91"/>
      <c r="K16" s="92">
        <f>SUM(K6:K15)</f>
        <v>160.19999999999999</v>
      </c>
      <c r="L16" s="93">
        <f>ROUND(M16*10000/SUM(K6:K14),0)</f>
        <v>3995</v>
      </c>
      <c r="M16" s="93">
        <f>SUM(M6:M14)</f>
        <v>64</v>
      </c>
      <c r="N16" s="94">
        <f>ROUND(SUMPRODUCT(M6:M14,N6:N14)/M16,3)</f>
        <v>0.96</v>
      </c>
      <c r="O16" s="93">
        <f>SUM(O6:O14)</f>
        <v>0</v>
      </c>
      <c r="P16" s="93">
        <f>SUM(P6:P14)</f>
        <v>0</v>
      </c>
      <c r="Q16" s="95">
        <f>ROUND(SUMPRODUCT(Q6:Q13,K6:K13)/SUMPRODUCT((Q6:Q13&gt;0)*(K6:K13)),2)</f>
        <v>0.2</v>
      </c>
      <c r="R16" s="1034">
        <f ca="1">SUM(R6:R13)</f>
        <v>292.20999999999998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2021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f>ROUND(1-(1-2%)*(2023-N18)/50,2)</f>
        <v>0.96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200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160.19999999999999</v>
      </c>
      <c r="C1" s="2685"/>
      <c r="D1" s="2685"/>
      <c r="E1" s="2685"/>
      <c r="F1" s="2685"/>
      <c r="G1" s="2686"/>
      <c r="H1" s="2687"/>
      <c r="I1" s="2687"/>
      <c r="J1" s="2687"/>
      <c r="K1" s="2687"/>
    </row>
    <row r="2" spans="1:11" ht="16.5">
      <c r="A2" s="2511" t="s">
        <v>653</v>
      </c>
      <c r="B2" s="2511">
        <f>SUM(C14:C23)</f>
        <v>292.20999999999998</v>
      </c>
      <c r="C2" s="2685"/>
      <c r="D2" s="2685"/>
      <c r="E2" s="2685"/>
      <c r="F2" s="2685"/>
      <c r="G2" s="2686"/>
      <c r="H2" s="2687"/>
      <c r="I2" s="2687"/>
      <c r="J2" s="2687"/>
      <c r="K2" s="2687"/>
    </row>
    <row r="3" spans="1:11" ht="16.5">
      <c r="A3" s="2511" t="s">
        <v>662</v>
      </c>
      <c r="B3" s="2513">
        <f>项目基本情况!D3</f>
        <v>45103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5984</v>
      </c>
      <c r="C5" s="2511">
        <f ca="1">IF(B5=D14,结果表!H102,ROUND(B5*10000/$B$1,0))</f>
        <v>219881</v>
      </c>
      <c r="D5" s="2511">
        <f ca="1">ROUND(B5*10000/$B$2,0)</f>
        <v>204784</v>
      </c>
      <c r="E5" s="2685"/>
      <c r="F5" s="2686"/>
      <c r="G5" s="2686"/>
      <c r="H5" s="2687"/>
      <c r="I5" s="2687"/>
      <c r="J5" s="2687"/>
      <c r="K5" s="2687"/>
    </row>
    <row r="6" spans="1:11" ht="16.5">
      <c r="A6" s="2511" t="s">
        <v>656</v>
      </c>
      <c r="B6" s="2511">
        <f>SUM(G14:G23)</f>
        <v>0</v>
      </c>
      <c r="C6" s="2511">
        <f ca="1">IF(B6=G14,结果表!H108,ROUND(B6*10000/$B$1,0))</f>
        <v>219881</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160.19999999999999</v>
      </c>
      <c r="C14" s="2517">
        <f>结果表!C118</f>
        <v>292.20999999999998</v>
      </c>
      <c r="D14" s="2517">
        <f ca="1">结果表!G19</f>
        <v>5984</v>
      </c>
      <c r="E14" s="2517">
        <f ca="1">ROUND(D14*10000/B14,0)</f>
        <v>373533</v>
      </c>
      <c r="F14" s="2517">
        <f ca="1">ROUND(D14*10000/C14,0)</f>
        <v>204784</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T15" sqref="T1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4" t="s">
        <v>1265</v>
      </c>
      <c r="B4" s="1755" t="s">
        <v>1266</v>
      </c>
      <c r="C4" s="1756" t="s">
        <v>3447</v>
      </c>
      <c r="D4" s="1756" t="s">
        <v>3448</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7" t="s">
        <v>1268</v>
      </c>
      <c r="B5" s="3554">
        <v>25</v>
      </c>
      <c r="C5" s="3570"/>
      <c r="D5" s="3590"/>
      <c r="E5" s="131" t="s">
        <v>1269</v>
      </c>
      <c r="F5" s="1757"/>
      <c r="G5" s="1757"/>
      <c r="H5" s="1757"/>
      <c r="I5" s="1373"/>
    </row>
    <row r="6" spans="1:12" ht="12.75">
      <c r="A6" s="3567"/>
      <c r="B6" s="3554"/>
      <c r="C6" s="3571"/>
      <c r="D6" s="3590"/>
      <c r="E6" s="131" t="s">
        <v>1270</v>
      </c>
      <c r="F6" s="1757"/>
      <c r="G6" s="1757"/>
      <c r="H6" s="1757"/>
      <c r="I6" s="1373"/>
    </row>
    <row r="7" spans="1:12" ht="12.75">
      <c r="A7" s="3567"/>
      <c r="B7" s="3554"/>
      <c r="C7" s="3572"/>
      <c r="D7" s="3590"/>
      <c r="E7" s="131" t="s">
        <v>1271</v>
      </c>
      <c r="F7" s="1757"/>
      <c r="G7" s="1757"/>
      <c r="H7" s="1757"/>
      <c r="I7" s="1373"/>
    </row>
    <row r="8" spans="1:12" ht="12.75">
      <c r="A8" s="3567" t="s">
        <v>1272</v>
      </c>
      <c r="B8" s="3554">
        <v>15</v>
      </c>
      <c r="C8" s="3570"/>
      <c r="D8" s="3590"/>
      <c r="E8" s="131" t="s">
        <v>1273</v>
      </c>
      <c r="F8" s="1757"/>
      <c r="G8" s="1757"/>
      <c r="H8" s="1757"/>
      <c r="I8" s="1373"/>
    </row>
    <row r="9" spans="1:12" ht="12.75">
      <c r="A9" s="3567"/>
      <c r="B9" s="3554"/>
      <c r="C9" s="3572"/>
      <c r="D9" s="3590"/>
      <c r="E9" s="131" t="s">
        <v>1274</v>
      </c>
      <c r="F9" s="1757"/>
      <c r="G9" s="1757"/>
      <c r="H9" s="1757"/>
      <c r="I9" s="1373"/>
    </row>
    <row r="10" spans="1:12" ht="12.75">
      <c r="A10" s="3567" t="s">
        <v>1275</v>
      </c>
      <c r="B10" s="3554">
        <v>15</v>
      </c>
      <c r="C10" s="3570"/>
      <c r="D10" s="3590"/>
      <c r="E10" s="131" t="s">
        <v>1276</v>
      </c>
      <c r="F10" s="1757"/>
      <c r="G10" s="1757"/>
      <c r="H10" s="1757"/>
      <c r="I10" s="1373"/>
    </row>
    <row r="11" spans="1:12" ht="12.75">
      <c r="A11" s="3567"/>
      <c r="B11" s="3554"/>
      <c r="C11" s="3572"/>
      <c r="D11" s="3590"/>
      <c r="E11" s="131" t="s">
        <v>1277</v>
      </c>
      <c r="F11" s="1757"/>
      <c r="G11" s="1757"/>
      <c r="H11" s="1757"/>
      <c r="I11" s="1373"/>
    </row>
    <row r="12" spans="1:12" ht="12.75">
      <c r="A12" s="3567" t="s">
        <v>1278</v>
      </c>
      <c r="B12" s="3554">
        <v>15</v>
      </c>
      <c r="C12" s="3570"/>
      <c r="D12" s="3590"/>
      <c r="E12" s="131" t="s">
        <v>1279</v>
      </c>
      <c r="F12" s="1757"/>
      <c r="G12" s="1757"/>
      <c r="H12" s="1757"/>
      <c r="I12" s="1373"/>
    </row>
    <row r="13" spans="1:12" ht="12.75">
      <c r="A13" s="3567"/>
      <c r="B13" s="3554"/>
      <c r="C13" s="3572"/>
      <c r="D13" s="3590"/>
      <c r="E13" s="131" t="s">
        <v>1280</v>
      </c>
      <c r="F13" s="1757"/>
      <c r="G13" s="1757"/>
      <c r="H13" s="1757"/>
      <c r="I13" s="1373"/>
    </row>
    <row r="14" spans="1:12" ht="12.75">
      <c r="A14" s="3567" t="s">
        <v>1281</v>
      </c>
      <c r="B14" s="3554">
        <v>30</v>
      </c>
      <c r="C14" s="3570">
        <v>8</v>
      </c>
      <c r="D14" s="3590">
        <v>2</v>
      </c>
      <c r="E14" s="131" t="s">
        <v>1282</v>
      </c>
      <c r="F14" s="1757"/>
      <c r="G14" s="1757"/>
      <c r="H14" s="1757"/>
      <c r="I14" s="1373"/>
    </row>
    <row r="15" spans="1:12" ht="12.75">
      <c r="A15" s="3567"/>
      <c r="B15" s="3554"/>
      <c r="C15" s="3571"/>
      <c r="D15" s="3590"/>
      <c r="E15" s="131" t="s">
        <v>1283</v>
      </c>
      <c r="F15" s="1757"/>
      <c r="G15" s="1757"/>
      <c r="H15" s="1757"/>
      <c r="I15" s="1373"/>
    </row>
    <row r="16" spans="1:12" ht="12.75">
      <c r="A16" s="3567"/>
      <c r="B16" s="3554"/>
      <c r="C16" s="3572"/>
      <c r="D16" s="359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7" t="s">
        <v>2131</v>
      </c>
      <c r="F18" s="3578"/>
      <c r="G18" s="3578"/>
      <c r="H18" s="3578"/>
      <c r="I18" s="3578"/>
      <c r="K18" s="302" t="s">
        <v>1289</v>
      </c>
      <c r="L18" s="302">
        <f>IF(C1="",'数据-汇总表'!E3,SUMIF(项目类型,C1,'数据-汇总表'!E17:E26)+SUMIF(项目类型,C1,'数据-汇总表'!I17:I26))</f>
        <v>160.19999999999999</v>
      </c>
      <c r="M18" s="302">
        <f>IF(C1="",'数据-汇总表'!E3,SUMIF(项目类型,C1,'数据-汇总表'!E17:E26))</f>
        <v>160.19999999999999</v>
      </c>
    </row>
    <row r="19" spans="1:36" ht="15">
      <c r="A19" s="1761" t="s">
        <v>1290</v>
      </c>
      <c r="B19" s="1762" t="s">
        <v>1291</v>
      </c>
      <c r="C19" s="134">
        <f ca="1">SUMIF(INDIRECT("'"&amp;C4&amp;"'"&amp;"!A:A"),结果表!B19,INDIRECT("'"&amp;C4&amp;"'"&amp;"!B:B"))</f>
        <v>6810</v>
      </c>
      <c r="D19" s="135">
        <f ca="1">SUMIF(INDIRECT("'"&amp;D4&amp;"'"&amp;"!A:A"),结果表!B19,INDIRECT("'"&amp;D4&amp;"'"&amp;"!B:B"))</f>
        <v>2678</v>
      </c>
      <c r="E19" s="1761" t="s">
        <v>1292</v>
      </c>
      <c r="F19" s="1762" t="s">
        <v>1291</v>
      </c>
      <c r="G19" s="136">
        <f ca="1">ROUND(C19*$C$18+D19*$D$18,0)</f>
        <v>5984</v>
      </c>
      <c r="H19" s="1763" t="s">
        <v>1293</v>
      </c>
      <c r="I19" s="129"/>
      <c r="K19" s="302" t="s">
        <v>1294</v>
      </c>
      <c r="L19" s="302">
        <f>IF(C1="",'数据-汇总表'!D3,SUMIF(项目类型,C1,'数据-汇总表'!D17:D26)+SUMIF(项目类型,C1,'数据-汇总表'!H17:H27))</f>
        <v>292.20999999999998</v>
      </c>
      <c r="M19" s="302">
        <f>IF(C1="",'数据-汇总表'!D3,SUMIF(项目类型,C1,'数据-汇总表'!D17:D26))</f>
        <v>292.20999999999998</v>
      </c>
    </row>
    <row r="20" spans="1:36" ht="15">
      <c r="A20" s="1764"/>
      <c r="B20" s="1026" t="s">
        <v>1295</v>
      </c>
      <c r="C20" s="137">
        <f ca="1">SUMIF(INDIRECT("'"&amp;C4&amp;"'"&amp;"!A:A"),结果表!B20,INDIRECT("'"&amp;C4&amp;"'"&amp;"!B:B"))</f>
        <v>233060</v>
      </c>
      <c r="D20" s="138">
        <f ca="1">SUMIF(INDIRECT("'"&amp;D4&amp;"'"&amp;"!A:A"),结果表!B20,INDIRECT("'"&amp;D4&amp;"'"&amp;"!B:B"))</f>
        <v>167166</v>
      </c>
      <c r="E20" s="1764"/>
      <c r="F20" s="1026" t="s">
        <v>1295</v>
      </c>
      <c r="G20" s="139">
        <f ca="1">ROUND(C20*$C$18+D20*$D$18,0)</f>
        <v>219881</v>
      </c>
      <c r="H20" s="808" t="s">
        <v>1296</v>
      </c>
      <c r="I20" s="129"/>
    </row>
    <row r="21" spans="1:36" ht="15" customHeight="1" thickBot="1">
      <c r="A21" s="828"/>
      <c r="B21" s="1765" t="s">
        <v>1297</v>
      </c>
      <c r="C21" s="719">
        <f ca="1">ROUND(C19*10000/L19,0)</f>
        <v>233052</v>
      </c>
      <c r="D21" s="720">
        <f ca="1">ROUND(D19*10000/L19,0)</f>
        <v>91646</v>
      </c>
      <c r="E21" s="828"/>
      <c r="F21" s="1765" t="s">
        <v>1297</v>
      </c>
      <c r="G21" s="140">
        <f ca="1">ROUND(G19*10000/L19,0)</f>
        <v>204784</v>
      </c>
      <c r="H21" s="1766" t="s">
        <v>1296</v>
      </c>
      <c r="I21" s="129"/>
    </row>
    <row r="22" spans="1:36" ht="15" thickBot="1">
      <c r="A22" s="1688" t="s">
        <v>1298</v>
      </c>
      <c r="B22" s="1767"/>
      <c r="C22" s="1768"/>
      <c r="D22" s="721">
        <f ca="1">IF(C19&lt;D19,D19/C19-1,C19/D19-1)</f>
        <v>1.542942494398805</v>
      </c>
      <c r="E22" s="129"/>
      <c r="F22" s="129"/>
      <c r="G22" s="129"/>
      <c r="H22" s="129"/>
      <c r="I22" s="129"/>
    </row>
    <row r="23" spans="1:36" ht="13.5" thickBot="1">
      <c r="A23" s="1747"/>
      <c r="B23" s="1747"/>
      <c r="C23" s="1747"/>
      <c r="D23" s="1747"/>
      <c r="E23" s="129"/>
      <c r="F23" s="129"/>
      <c r="G23" s="129"/>
      <c r="H23" s="129"/>
      <c r="I23" s="129"/>
    </row>
    <row r="24" spans="1:36" ht="14.25">
      <c r="A24" s="3561" t="s">
        <v>1299</v>
      </c>
      <c r="B24" s="1762" t="s">
        <v>1291</v>
      </c>
      <c r="C24" s="136">
        <f>IF(B30=0,0,D30)</f>
        <v>0</v>
      </c>
      <c r="D24" s="1769"/>
      <c r="E24" s="129"/>
      <c r="F24" s="129"/>
      <c r="G24" s="129"/>
      <c r="H24" s="129"/>
      <c r="I24" s="129"/>
    </row>
    <row r="25" spans="1:36" ht="14.25">
      <c r="A25" s="35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219881</v>
      </c>
      <c r="D32" s="1775" t="s">
        <v>3449</v>
      </c>
      <c r="E32" s="129"/>
      <c r="F32" s="129"/>
      <c r="G32" s="129"/>
      <c r="H32" s="129"/>
      <c r="I32" s="129"/>
    </row>
    <row r="33" spans="1:15" ht="15">
      <c r="A33" s="786" t="s">
        <v>1306</v>
      </c>
      <c r="B33" s="1776"/>
      <c r="C33" s="1777" t="s">
        <v>3450</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1" t="s">
        <v>1312</v>
      </c>
      <c r="B36" s="1787" t="s">
        <v>1313</v>
      </c>
      <c r="C36" s="145"/>
      <c r="D36" s="1788"/>
      <c r="E36" s="1789"/>
      <c r="F36" s="1790"/>
      <c r="G36" s="129"/>
      <c r="H36" s="129"/>
      <c r="I36" s="129"/>
    </row>
    <row r="37" spans="1:15" ht="15.75" thickBot="1">
      <c r="A37" s="3582"/>
      <c r="B37" s="1674" t="s">
        <v>1314</v>
      </c>
      <c r="C37" s="147"/>
      <c r="D37" s="1139"/>
      <c r="E37" s="1139"/>
      <c r="F37" s="1790"/>
      <c r="G37" s="129"/>
      <c r="H37" s="129"/>
      <c r="I37" s="129"/>
    </row>
    <row r="38" spans="1:15" ht="15.75" thickBot="1">
      <c r="A38" s="358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8" t="s">
        <v>1326</v>
      </c>
      <c r="B45" s="3559"/>
      <c r="C45" s="3560"/>
      <c r="D45" s="155">
        <f ca="1">ROUND(H101*F45,0)</f>
        <v>3522</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6"/>
      <c r="I46" s="159"/>
      <c r="J46" s="2522">
        <v>1</v>
      </c>
      <c r="K46" s="3617" t="s">
        <v>1331</v>
      </c>
      <c r="L46" s="3617"/>
      <c r="M46" s="3637"/>
      <c r="N46" s="3637"/>
      <c r="O46" s="3637"/>
    </row>
    <row r="47" spans="1:15" ht="12" customHeight="1">
      <c r="A47" s="160" t="s">
        <v>1332</v>
      </c>
      <c r="B47" s="161"/>
      <c r="C47" s="162"/>
      <c r="D47" s="1087" t="s">
        <v>1333</v>
      </c>
      <c r="E47" s="302" t="s">
        <v>1334</v>
      </c>
      <c r="F47" s="163" t="s">
        <v>1335</v>
      </c>
      <c r="G47" s="2545" t="s">
        <v>1336</v>
      </c>
      <c r="H47" s="2546"/>
      <c r="I47" s="159"/>
      <c r="J47" s="2522">
        <v>2</v>
      </c>
      <c r="K47" s="3617" t="s">
        <v>1337</v>
      </c>
      <c r="L47" s="3617"/>
      <c r="M47" s="3638">
        <f>'数据-取费表'!B2</f>
        <v>45103</v>
      </c>
      <c r="N47" s="3638"/>
      <c r="O47" s="3638"/>
    </row>
    <row r="48" spans="1:15" ht="25.5">
      <c r="A48" s="3586" t="s">
        <v>1338</v>
      </c>
      <c r="B48" s="3569"/>
      <c r="C48" s="356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17" t="s">
        <v>1340</v>
      </c>
      <c r="L48" s="3617"/>
      <c r="M48" s="3639">
        <f ca="1">H101</f>
        <v>3522</v>
      </c>
      <c r="N48" s="3639"/>
      <c r="O48" s="3639"/>
    </row>
    <row r="49" spans="1:35" ht="25.5" customHeight="1">
      <c r="A49" s="2332" t="s">
        <v>1341</v>
      </c>
      <c r="B49" s="3553" t="s">
        <v>1342</v>
      </c>
      <c r="C49" s="3553"/>
      <c r="D49" s="1590">
        <v>0</v>
      </c>
      <c r="E49" s="324" t="s">
        <v>1343</v>
      </c>
      <c r="F49" s="2423" t="s">
        <v>28</v>
      </c>
      <c r="G49" s="3623"/>
      <c r="H49" s="2309" t="s">
        <v>2134</v>
      </c>
      <c r="I49" s="2310"/>
      <c r="J49" s="2522">
        <v>4</v>
      </c>
      <c r="K49" s="3617" t="str">
        <f>IF(项目基本情况!E8="房地产抵押价值","房地产抵押价值","抵押担保权已注销时的房地产抵押价值")</f>
        <v>房地产抵押价值</v>
      </c>
      <c r="L49" s="3617"/>
      <c r="M49" s="3639">
        <f ca="1">IF(项目基本情况!E8="房地产抵押价值",H107,H109)</f>
        <v>3522</v>
      </c>
      <c r="N49" s="3639"/>
      <c r="O49" s="3639"/>
    </row>
    <row r="50" spans="1:35" ht="25.5" customHeight="1">
      <c r="A50" s="2550"/>
      <c r="B50" s="3553" t="s">
        <v>1344</v>
      </c>
      <c r="C50" s="3553"/>
      <c r="D50" s="2551"/>
      <c r="E50" s="332"/>
      <c r="F50" s="2423"/>
      <c r="G50" s="3624"/>
      <c r="H50" s="2311" t="s">
        <v>2135</v>
      </c>
      <c r="I50" s="2310"/>
      <c r="J50" s="3636" t="s">
        <v>1345</v>
      </c>
      <c r="K50" s="3636"/>
      <c r="L50" s="3636"/>
      <c r="M50" s="3636"/>
      <c r="N50" s="3636"/>
      <c r="O50" s="3636"/>
    </row>
    <row r="51" spans="1:35" ht="20.45" customHeight="1">
      <c r="A51" s="2552"/>
      <c r="B51" s="3553" t="s">
        <v>1346</v>
      </c>
      <c r="C51" s="3553"/>
      <c r="D51" s="1087"/>
      <c r="E51" s="327"/>
      <c r="F51" s="2423"/>
      <c r="G51" s="3625"/>
      <c r="H51" s="2311" t="s">
        <v>2136</v>
      </c>
      <c r="I51" s="2310"/>
      <c r="J51" s="2523" t="s">
        <v>1347</v>
      </c>
      <c r="K51" s="3617" t="s">
        <v>1348</v>
      </c>
      <c r="L51" s="3617"/>
      <c r="M51" s="2523" t="s">
        <v>1349</v>
      </c>
      <c r="N51" s="2523" t="s">
        <v>1350</v>
      </c>
      <c r="O51" s="2523" t="s">
        <v>1351</v>
      </c>
    </row>
    <row r="52" spans="1:35" ht="24" customHeight="1">
      <c r="A52" s="2334" t="s">
        <v>1352</v>
      </c>
      <c r="B52" s="3553" t="s">
        <v>1353</v>
      </c>
      <c r="C52" s="3553"/>
      <c r="D52" s="1087">
        <f ca="1">ROUND(D45*'数据-取费表'!B41/(1+'数据-取费表'!C42),0)</f>
        <v>188</v>
      </c>
      <c r="E52" s="2333" t="s">
        <v>1354</v>
      </c>
      <c r="F52" s="2553">
        <f>'数据-取费表'!B41</f>
        <v>5.6000000000000001E-2</v>
      </c>
      <c r="G52" s="2554"/>
      <c r="H52" s="2543"/>
      <c r="I52" s="1807"/>
      <c r="J52" s="2522">
        <v>1</v>
      </c>
      <c r="K52" s="3618" t="s">
        <v>1355</v>
      </c>
      <c r="L52" s="3618"/>
      <c r="M52" s="2524" t="b">
        <f>D48</f>
        <v>0</v>
      </c>
      <c r="N52" s="2522" t="str">
        <f>E48</f>
        <v>销售额×税（费）率</v>
      </c>
      <c r="O52" s="2525">
        <f>F48</f>
        <v>5.6000000000000001E-2</v>
      </c>
    </row>
    <row r="53" spans="1:35" ht="12" customHeight="1">
      <c r="A53" s="2334" t="s">
        <v>1356</v>
      </c>
      <c r="B53" s="3579" t="s">
        <v>2291</v>
      </c>
      <c r="C53" s="3580"/>
      <c r="D53" s="1087">
        <f ca="1">ROUND(D45*'数据-取费表'!B41/(1+'数据-取费表'!C42),0)</f>
        <v>188</v>
      </c>
      <c r="E53" s="2333" t="s">
        <v>1354</v>
      </c>
      <c r="F53" s="2553">
        <f>'数据-取费表'!B41</f>
        <v>5.6000000000000001E-2</v>
      </c>
      <c r="G53" s="2554"/>
      <c r="H53" s="2543"/>
      <c r="I53" s="1807"/>
      <c r="J53" s="2522">
        <v>2</v>
      </c>
      <c r="K53" s="3618" t="s">
        <v>1357</v>
      </c>
      <c r="L53" s="3618"/>
      <c r="M53" s="2524">
        <f t="shared" ref="M53:O54" ca="1" si="0">D55</f>
        <v>2</v>
      </c>
      <c r="N53" s="2522" t="str">
        <f t="shared" si="0"/>
        <v>销售额×税（费）率</v>
      </c>
      <c r="O53" s="2525" t="str">
        <f t="shared" si="0"/>
        <v>免征</v>
      </c>
    </row>
    <row r="54" spans="1:35" ht="12" customHeight="1">
      <c r="A54" s="2334" t="s">
        <v>1358</v>
      </c>
      <c r="B54" s="3579" t="s">
        <v>2292</v>
      </c>
      <c r="C54" s="3580"/>
      <c r="D54" s="1087">
        <f ca="1">C68</f>
        <v>188</v>
      </c>
      <c r="E54" s="327" t="s">
        <v>1359</v>
      </c>
      <c r="F54" s="2553">
        <f>'数据-取费表'!B41</f>
        <v>5.6000000000000001E-2</v>
      </c>
      <c r="G54" s="2554"/>
      <c r="H54" s="2555"/>
      <c r="I54" s="1807"/>
      <c r="J54" s="2522">
        <v>3</v>
      </c>
      <c r="K54" s="3618" t="s">
        <v>1360</v>
      </c>
      <c r="L54" s="3618"/>
      <c r="M54" s="2524">
        <f t="shared" ca="1" si="0"/>
        <v>1993</v>
      </c>
      <c r="N54" s="2522" t="str">
        <f t="shared" si="0"/>
        <v>增值额×税（费）率</v>
      </c>
      <c r="O54" s="2526" t="str">
        <f t="shared" si="0"/>
        <v>免征</v>
      </c>
    </row>
    <row r="55" spans="1:35" ht="24" customHeight="1">
      <c r="A55" s="3568" t="s">
        <v>1361</v>
      </c>
      <c r="B55" s="3569"/>
      <c r="C55" s="3569"/>
      <c r="D55" s="2323">
        <f ca="1">IF(H55="个人住宅",0,ROUND(D45*I55,0))</f>
        <v>2</v>
      </c>
      <c r="E55" s="2333"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f ca="1">D59</f>
        <v>34</v>
      </c>
      <c r="N55" s="2039" t="str">
        <f>E59</f>
        <v>差额计税</v>
      </c>
      <c r="O55" s="2528">
        <f>F59</f>
        <v>0.01</v>
      </c>
    </row>
    <row r="56" spans="1:35" ht="24.75">
      <c r="A56" s="3568" t="s">
        <v>1363</v>
      </c>
      <c r="B56" s="3569"/>
      <c r="C56" s="3569"/>
      <c r="D56" s="2323">
        <f ca="1">IF(H56="个人住宅",D57,D58)</f>
        <v>1993</v>
      </c>
      <c r="E56" s="2333" t="s">
        <v>1364</v>
      </c>
      <c r="F56" s="2553" t="str">
        <f>IF(H56="正常",F58,"免征")</f>
        <v>免征</v>
      </c>
      <c r="G56" s="2556" t="s">
        <v>1365</v>
      </c>
      <c r="H56" s="2557"/>
      <c r="I56" s="1808"/>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2.75">
      <c r="A57" s="2334" t="s">
        <v>1341</v>
      </c>
      <c r="B57" s="3579" t="s">
        <v>1366</v>
      </c>
      <c r="C57" s="3580"/>
      <c r="D57" s="1590">
        <v>0</v>
      </c>
      <c r="E57" s="324" t="s">
        <v>1343</v>
      </c>
      <c r="F57" s="302"/>
      <c r="G57" s="2554"/>
      <c r="H57" s="2558"/>
      <c r="I57" s="1808"/>
      <c r="J57" s="3618">
        <f>IF(AND(J55="",J56=""),4,IF(项目基本情况!K6="上海银行",结果表!J56+1,结果表!J55+1))</f>
        <v>5</v>
      </c>
      <c r="K57" s="3618" t="s">
        <v>1367</v>
      </c>
      <c r="L57" s="2529" t="s">
        <v>1368</v>
      </c>
      <c r="M57" s="2530"/>
      <c r="N57" s="2531">
        <f ca="1">SUMIF(M52:M56,"&lt;9e307")</f>
        <v>2029</v>
      </c>
      <c r="O57" s="2532"/>
      <c r="P57" s="2689">
        <f ca="1">N57/M49</f>
        <v>0.57609312890403175</v>
      </c>
    </row>
    <row r="58" spans="1:35" ht="24.75">
      <c r="A58" s="2334" t="s">
        <v>1352</v>
      </c>
      <c r="B58" s="3579" t="s">
        <v>1369</v>
      </c>
      <c r="C58" s="3553"/>
      <c r="D58" s="2323">
        <f ca="1">IF(H58="转让取得",C81,C97)</f>
        <v>1993</v>
      </c>
      <c r="E58" s="2333" t="s">
        <v>1364</v>
      </c>
      <c r="F58" s="302" t="s">
        <v>28</v>
      </c>
      <c r="G58" s="2554"/>
      <c r="H58" s="2557"/>
      <c r="I58" s="1808"/>
      <c r="J58" s="3618"/>
      <c r="K58" s="3618"/>
      <c r="L58" s="2529" t="s">
        <v>1370</v>
      </c>
      <c r="M58" s="2533"/>
      <c r="N58" s="2534" t="str">
        <f ca="1">NUMBERSTRING(INT(N57*10000),2)&amp;"元整"</f>
        <v>贰仟零贰拾玖万元整</v>
      </c>
      <c r="O58" s="2535"/>
    </row>
    <row r="59" spans="1:35" ht="24.75" thickBot="1">
      <c r="A59" s="3621" t="s">
        <v>1371</v>
      </c>
      <c r="B59" s="3622"/>
      <c r="C59" s="3622"/>
      <c r="D59" s="2559">
        <f ca="1">IF(H59="非个人房产","——",IF(H59="个人住宅（满五唯一有凭证）",0,IF(H59="个人其他（无凭证）",ROUND(D45*F59,0),ROUND(C67*F59,0))))</f>
        <v>34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9">
        <f>J57+1</f>
        <v>6</v>
      </c>
      <c r="K59" s="3618" t="s">
        <v>1372</v>
      </c>
      <c r="L59" s="2522" t="s">
        <v>1368</v>
      </c>
      <c r="M59" s="2536"/>
      <c r="N59" s="2537">
        <f ca="1">M49-N57</f>
        <v>1493</v>
      </c>
      <c r="O59" s="2538"/>
    </row>
    <row r="60" spans="1:35" ht="12" customHeight="1">
      <c r="A60" s="1809"/>
      <c r="B60" s="1747"/>
      <c r="C60" s="1747"/>
      <c r="D60" s="1747"/>
      <c r="E60" s="1578"/>
      <c r="F60" s="1808"/>
      <c r="G60" s="1808"/>
      <c r="H60" s="1810"/>
      <c r="I60" s="129"/>
      <c r="J60" s="3620"/>
      <c r="K60" s="3618"/>
      <c r="L60" s="2529" t="s">
        <v>1370</v>
      </c>
      <c r="M60" s="2533"/>
      <c r="N60" s="2534" t="str">
        <f ca="1">NUMBERSTRING(INT(N59*10000),2)&amp;"元整"</f>
        <v>壹仟肆佰玖拾叁万元整</v>
      </c>
      <c r="O60" s="2535"/>
    </row>
    <row r="61" spans="1:35" ht="13.5" thickBot="1">
      <c r="A61" s="3566" t="s">
        <v>1373</v>
      </c>
      <c r="B61" s="3566"/>
      <c r="C61" s="3566"/>
      <c r="D61" s="3566"/>
      <c r="E61" s="3566"/>
      <c r="F61" s="1808"/>
      <c r="G61" s="1808"/>
      <c r="H61" s="1810"/>
      <c r="I61" s="129"/>
      <c r="J61" s="2522">
        <f>J59+1</f>
        <v>7</v>
      </c>
      <c r="K61" s="3618" t="s">
        <v>1374</v>
      </c>
      <c r="L61" s="3618"/>
      <c r="M61" s="2539"/>
      <c r="N61" s="2540">
        <f ca="1">ROUND(N59*10000/'数据-汇总表'!E3,0)</f>
        <v>93196</v>
      </c>
      <c r="O61" s="2541"/>
    </row>
    <row r="62" spans="1:35" ht="12.75">
      <c r="A62" s="3584" t="s">
        <v>1375</v>
      </c>
      <c r="B62" s="3585"/>
      <c r="C62" s="2020"/>
      <c r="D62" s="2020" t="s">
        <v>1376</v>
      </c>
      <c r="E62" s="166" t="s">
        <v>1377</v>
      </c>
      <c r="F62" s="1808"/>
      <c r="G62" s="1808"/>
      <c r="H62" s="1810"/>
      <c r="I62" s="129"/>
    </row>
    <row r="63" spans="1:35" ht="12.75">
      <c r="A63" s="173" t="s">
        <v>330</v>
      </c>
      <c r="B63" s="167" t="s">
        <v>1378</v>
      </c>
      <c r="C63" s="2563">
        <f ca="1">ROUND((C64+C65)/(1+'数据-取费表'!C42),0)</f>
        <v>3354</v>
      </c>
      <c r="D63" s="167"/>
      <c r="E63" s="168"/>
      <c r="F63" s="1808"/>
      <c r="G63" s="1808"/>
      <c r="H63" s="1810"/>
      <c r="I63" s="129"/>
      <c r="J63" s="3643" t="s">
        <v>1379</v>
      </c>
      <c r="K63" s="1332" t="s">
        <v>1380</v>
      </c>
      <c r="L63" s="1332">
        <f ca="1">IF(M49&gt;10000,M49*0.5%,IF(AND(M49&gt;1000,M49&lt;=10000),M49*1%,IF(AND(M49&gt;100,M49&lt;=1000),M49*3%,IF(AND(M49&gt;10,M49&lt;=100),M49*5%,M49*8%))))</f>
        <v>35.22</v>
      </c>
      <c r="M63" s="302">
        <f ca="1">ROUND(L63,1)</f>
        <v>35.200000000000003</v>
      </c>
      <c r="N63" s="2542"/>
      <c r="Z63" s="1752"/>
      <c r="AI63" s="1753"/>
    </row>
    <row r="64" spans="1:35" ht="14.25" customHeight="1">
      <c r="A64" s="169" t="s">
        <v>325</v>
      </c>
      <c r="B64" s="170" t="s">
        <v>1381</v>
      </c>
      <c r="C64" s="2564">
        <f ca="1">D45</f>
        <v>3522</v>
      </c>
      <c r="D64" s="170" t="s">
        <v>26</v>
      </c>
      <c r="E64" s="172"/>
      <c r="F64" s="1808"/>
      <c r="G64" s="1808"/>
      <c r="H64" s="1810"/>
      <c r="I64" s="129"/>
      <c r="J64" s="3643"/>
      <c r="K64" s="1332" t="s">
        <v>1382</v>
      </c>
      <c r="L64" s="1332">
        <f ca="1">IF(M49&gt;2000,M49*0.5%,IF(AND(M49&gt;1000,M49&lt;=2000),M49*0.6%,IF(AND(M49&gt;500,M49&lt;=1000),M49*0.7%,IF(AND(M49&gt;200,M49&lt;=500),M49*0.8%,IF(AND(M49&gt;100,M49&lt;=200),M49*0.9%,IF(AND(M49&gt;50,M49&lt;=100),M49*1%,IF(AND(M49&gt;20,M49&lt;=50),M49*1.5%,IF(AND(M49&gt;10,M49&lt;=20),M49*2%,IF(AND(M49&gt;1,M49&lt;=10),M49*2.5%)))))))))</f>
        <v>17.61</v>
      </c>
      <c r="M64" s="302">
        <f t="shared" ref="M64:M65" ca="1" si="1">ROUND(L64,1)</f>
        <v>17.600000000000001</v>
      </c>
      <c r="N64" s="2543" t="s">
        <v>1383</v>
      </c>
      <c r="Z64" s="1752"/>
      <c r="AI64" s="1753"/>
    </row>
    <row r="65" spans="1:35" ht="14.25" customHeight="1">
      <c r="A65" s="169" t="s">
        <v>326</v>
      </c>
      <c r="B65" s="170" t="s">
        <v>1384</v>
      </c>
      <c r="C65" s="2565"/>
      <c r="D65" s="170"/>
      <c r="E65" s="172"/>
      <c r="F65" s="1808"/>
      <c r="G65" s="1808"/>
      <c r="H65" s="1810"/>
      <c r="I65" s="129"/>
      <c r="J65" s="3643"/>
      <c r="K65" s="1332" t="s">
        <v>1385</v>
      </c>
      <c r="L65" s="1332">
        <f ca="1">IF(M49&gt;1000,M49*0.1%,IF(AND(M49&gt;500,M49&lt;=1000),M49*0.5%,IF(AND(M49&gt;50,M49&lt;=500),M49*1%,IF(AND(M49&gt;1,M49&lt;=50),M49*1.5%))))</f>
        <v>3.5220000000000002</v>
      </c>
      <c r="M65" s="302">
        <f t="shared" ca="1" si="1"/>
        <v>3.5</v>
      </c>
      <c r="N65" s="2543" t="s">
        <v>1383</v>
      </c>
      <c r="Z65" s="1752"/>
      <c r="AI65" s="1753"/>
    </row>
    <row r="66" spans="1:35" ht="14.25" customHeight="1">
      <c r="A66" s="173" t="s">
        <v>327</v>
      </c>
      <c r="B66" s="174" t="s">
        <v>1386</v>
      </c>
      <c r="C66" s="2566"/>
      <c r="D66" s="174" t="s">
        <v>26</v>
      </c>
      <c r="E66" s="1338" t="s">
        <v>671</v>
      </c>
      <c r="F66" s="1808"/>
      <c r="G66" s="1808"/>
      <c r="H66" s="1810"/>
      <c r="I66" s="129"/>
      <c r="J66" s="3643"/>
      <c r="K66" s="1332" t="s">
        <v>1387</v>
      </c>
      <c r="L66" s="1332">
        <f ca="1">M49*0.5%</f>
        <v>17.61</v>
      </c>
      <c r="M66" s="302">
        <f ca="1">IF(L66&gt;0.5,0.5,ROUND(L66,0))</f>
        <v>0.5</v>
      </c>
      <c r="N66" s="2543" t="s">
        <v>1388</v>
      </c>
      <c r="Z66" s="1752"/>
      <c r="AI66" s="1753"/>
    </row>
    <row r="67" spans="1:35" ht="14.25" customHeight="1">
      <c r="A67" s="173" t="s">
        <v>328</v>
      </c>
      <c r="B67" s="174" t="s">
        <v>1389</v>
      </c>
      <c r="C67" s="2567">
        <f ca="1">C63-C66</f>
        <v>3354</v>
      </c>
      <c r="D67" s="170" t="s">
        <v>26</v>
      </c>
      <c r="E67" s="172"/>
      <c r="F67" s="1808"/>
      <c r="G67" s="1808"/>
      <c r="H67" s="1810"/>
      <c r="I67" s="129"/>
      <c r="J67" s="364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188</v>
      </c>
      <c r="D68" s="2569">
        <f>'数据-取费表'!B41</f>
        <v>5.6000000000000001E-2</v>
      </c>
      <c r="E68" s="178"/>
      <c r="F68" s="1808"/>
      <c r="G68" s="1808"/>
      <c r="H68" s="1810"/>
      <c r="I68" s="129"/>
      <c r="J68" s="3643"/>
      <c r="K68" s="1332" t="s">
        <v>1392</v>
      </c>
      <c r="L68" s="1332">
        <f ca="1">IF(M49&gt;10000,M49*0.5%,IF(AND(M49&gt;5000,M49&lt;=10000),M49*1%,IF(AND(M49&gt;1000,M49&lt;=5000),M49*2%,IF(AND(M49&gt;200,M49&lt;=1000),M49*3%,M49*5%))))</f>
        <v>70.44</v>
      </c>
      <c r="M68" s="302">
        <f ca="1">ROUND(L68,1)</f>
        <v>70.400000000000006</v>
      </c>
      <c r="N68" s="2542"/>
      <c r="Z68" s="1752"/>
      <c r="AI68" s="1753"/>
    </row>
    <row r="69" spans="1:35" s="1772" customFormat="1" ht="16.5" customHeight="1">
      <c r="A69" s="1811"/>
      <c r="B69" s="1812"/>
      <c r="C69" s="1813"/>
      <c r="D69" s="1814"/>
      <c r="E69" s="1815"/>
      <c r="F69" s="1578"/>
      <c r="G69" s="1578"/>
      <c r="H69" s="1577"/>
      <c r="I69" s="1747"/>
      <c r="J69" s="3643"/>
      <c r="K69" s="1332" t="s">
        <v>1393</v>
      </c>
      <c r="L69" s="1332"/>
      <c r="M69" s="302">
        <f ca="1">ROUND(SUM(M63:M68),0)</f>
        <v>130</v>
      </c>
      <c r="N69" s="2544">
        <f ca="1">M69/M49</f>
        <v>3.691084611016468E-2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3354</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20</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9" t="s">
        <v>1402</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20</v>
      </c>
      <c r="D78" s="2576">
        <f>'数据-取费表'!B43</f>
        <v>6.000000000000001E-3</v>
      </c>
      <c r="E78" s="3563" t="s">
        <v>1406</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3334</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166.7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1993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3354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20</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45" t="s">
        <v>2129</v>
      </c>
      <c r="H90" s="3646"/>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3" t="s">
        <v>1419</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3" t="s">
        <v>1422</v>
      </c>
      <c r="F92" s="3564"/>
      <c r="G92" s="3564"/>
      <c r="H92" s="357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20</v>
      </c>
      <c r="D93" s="2576">
        <f>'数据-取费表'!B43</f>
        <v>6.000000000000001E-3</v>
      </c>
      <c r="E93" s="3563" t="s">
        <v>1406</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4" t="s">
        <v>1426</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3334</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166.7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1993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4" t="str">
        <f>C4</f>
        <v>比较法-住宅</v>
      </c>
      <c r="D101" s="2585" t="str">
        <f>D4</f>
        <v>成本法</v>
      </c>
      <c r="E101" s="3640" t="s">
        <v>1431</v>
      </c>
      <c r="F101" s="3597"/>
      <c r="G101" s="1827" t="s">
        <v>1432</v>
      </c>
      <c r="H101" s="2594">
        <f ca="1">H118</f>
        <v>3522</v>
      </c>
      <c r="I101" s="129"/>
    </row>
    <row r="102" spans="1:35" ht="18.75" customHeight="1">
      <c r="A102" s="3599" t="s">
        <v>1433</v>
      </c>
      <c r="B102" s="2583" t="s">
        <v>1432</v>
      </c>
      <c r="C102" s="2584">
        <f ca="1">IF(D32="楼面单价",ROUND(C19,0),C19)</f>
        <v>6810</v>
      </c>
      <c r="D102" s="2585">
        <f ca="1">IF(D32="楼面单价",ROUND(D19,0),D19)</f>
        <v>2678</v>
      </c>
      <c r="E102" s="3640"/>
      <c r="F102" s="3597"/>
      <c r="G102" s="1827" t="s">
        <v>1434</v>
      </c>
      <c r="H102" s="2554">
        <f ca="1">I118</f>
        <v>219881</v>
      </c>
      <c r="I102" s="129"/>
    </row>
    <row r="103" spans="1:35" ht="42.75" customHeight="1">
      <c r="A103" s="3599"/>
      <c r="B103" s="2583" t="s">
        <v>1434</v>
      </c>
      <c r="C103" s="2586">
        <f ca="1">C20</f>
        <v>233060</v>
      </c>
      <c r="D103" s="2587">
        <f ca="1">D20</f>
        <v>167166</v>
      </c>
      <c r="E103" s="3634" t="s">
        <v>1435</v>
      </c>
      <c r="F103" s="3635"/>
      <c r="G103" s="1828" t="s">
        <v>1436</v>
      </c>
      <c r="H103" s="2594">
        <f>IF(D36="正常操作",H104+H105+H106,H105+H106)</f>
        <v>0</v>
      </c>
      <c r="I103" s="129"/>
    </row>
    <row r="104" spans="1:35" ht="18.75" customHeight="1">
      <c r="A104" s="3599" t="s">
        <v>1437</v>
      </c>
      <c r="B104" s="2588" t="s">
        <v>1432</v>
      </c>
      <c r="C104" s="2589">
        <f ca="1">H118</f>
        <v>3522</v>
      </c>
      <c r="D104" s="2590"/>
      <c r="E104" s="1674" t="s">
        <v>1438</v>
      </c>
      <c r="F104" s="1666"/>
      <c r="G104" s="1828" t="s">
        <v>1436</v>
      </c>
      <c r="H104" s="2595">
        <f>IF(D36="同一抵押权人同一抵押物续贷",C36&amp;"（续贷，未扣减，详见特别提示）",C36)</f>
        <v>0</v>
      </c>
      <c r="I104" s="129"/>
    </row>
    <row r="105" spans="1:35" ht="18.75" customHeight="1" thickBot="1">
      <c r="A105" s="3600"/>
      <c r="B105" s="2591" t="s">
        <v>1434</v>
      </c>
      <c r="C105" s="2592">
        <f ca="1">I118</f>
        <v>219881</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6" t="str">
        <f>IF(项目基本情况!E8="已注销","——","3.房地产抵押价值")</f>
        <v>3.房地产抵押价值</v>
      </c>
      <c r="F107" s="3597"/>
      <c r="G107" s="1827" t="s">
        <v>1432</v>
      </c>
      <c r="H107" s="2594">
        <f ca="1">IF(E107="——","——",H101-H103)</f>
        <v>3522</v>
      </c>
      <c r="I107" s="129"/>
    </row>
    <row r="108" spans="1:35" ht="18.75" customHeight="1">
      <c r="A108" s="129"/>
      <c r="B108" s="129"/>
      <c r="C108" s="129"/>
      <c r="D108" s="129"/>
      <c r="E108" s="3596"/>
      <c r="F108" s="3597"/>
      <c r="G108" s="1827" t="s">
        <v>1434</v>
      </c>
      <c r="H108" s="2554">
        <f ca="1">IF(H107=H101,H102,ROUND(H107*10000/'数据-汇总表'!E3,0))</f>
        <v>219881</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1432</v>
      </c>
      <c r="H109" s="2597" t="str">
        <f>IF(E109="——","——",H101-H105-H106)</f>
        <v>——</v>
      </c>
      <c r="I109" s="129"/>
    </row>
    <row r="110" spans="1:35" ht="18.75" customHeight="1">
      <c r="A110" s="129"/>
      <c r="B110" s="129"/>
      <c r="C110" s="129"/>
      <c r="D110" s="129"/>
      <c r="E110" s="3596"/>
      <c r="F110" s="3597"/>
      <c r="G110" s="1827" t="s">
        <v>1434</v>
      </c>
      <c r="H110" s="2554"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29"/>
      <c r="F112" s="3630"/>
      <c r="G112" s="1830"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160.19999999999999</v>
      </c>
      <c r="C118" s="2328">
        <f>M19</f>
        <v>292.20999999999998</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3522</v>
      </c>
      <c r="I118" s="2328">
        <f ca="1">ROUND(IF(D32="楼面单价",C32,H118*10000/B118),0)</f>
        <v>219881</v>
      </c>
    </row>
    <row r="119" spans="1:27" ht="18.75" customHeight="1">
      <c r="A119" s="3567" t="s">
        <v>1452</v>
      </c>
      <c r="B119" s="3567"/>
      <c r="C119" s="3567"/>
      <c r="D119" s="3607" t="str">
        <f>NUMBERSTRING(INT(D118*10000),2)&amp;"元整"</f>
        <v>零元整</v>
      </c>
      <c r="E119" s="3609"/>
      <c r="F119" s="3607" t="str">
        <f>NUMBERSTRING(INT(F118*10000),2)&amp;"元整"</f>
        <v>零元整</v>
      </c>
      <c r="G119" s="3609"/>
      <c r="H119" s="3607" t="str">
        <f ca="1">NUMBERSTRING(INT(H118*10000),2)&amp;"元整"</f>
        <v>叁仟伍佰贰拾贰万元整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f ca="1">H107</f>
        <v>3522</v>
      </c>
      <c r="E122" s="3632"/>
      <c r="F122" s="3632"/>
      <c r="G122" s="3632"/>
      <c r="H122" s="3632"/>
      <c r="I122" s="3633"/>
      <c r="AA122" s="725"/>
    </row>
    <row r="123" spans="1:27" ht="18.75" customHeight="1">
      <c r="A123" s="3567" t="s">
        <v>1452</v>
      </c>
      <c r="B123" s="3567"/>
      <c r="C123" s="3567"/>
      <c r="D123" s="3607" t="str">
        <f ca="1">NUMBERSTRING(INT(D122*10000),2)&amp;"元整"</f>
        <v>叁仟伍佰贰拾贰万元整</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107.7146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6724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32040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32040</v>
      </c>
      <c r="D8" s="222"/>
      <c r="E8" s="220"/>
      <c r="F8" s="221"/>
      <c r="G8" s="1856"/>
    </row>
    <row r="9" spans="1:8" s="214" customFormat="1" ht="13.5" customHeight="1">
      <c r="A9" s="779" t="s">
        <v>355</v>
      </c>
      <c r="B9" s="224" t="s">
        <v>1478</v>
      </c>
      <c r="C9" s="225">
        <f ca="1">ROUND(D9*E9,0)</f>
        <v>32040</v>
      </c>
      <c r="D9" s="845">
        <f ca="1">IF(B1="",'数据-汇总表'!E5,IF(INDIRECT("'数据-取费表'!c"&amp;$G$1)="住宅",INDIRECT("'数据-取费表'!k"&amp;$G$1),0))</f>
        <v>160.19999999999999</v>
      </c>
      <c r="E9" s="225">
        <f>'数据-取费表'!B27</f>
        <v>200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32040</v>
      </c>
      <c r="D19" s="849">
        <f ca="1">D9+D10</f>
        <v>160.19999999999999</v>
      </c>
      <c r="E19" s="211">
        <f>'数据-取费表'!B31</f>
        <v>200</v>
      </c>
      <c r="F19" s="231"/>
      <c r="G19" s="1856"/>
    </row>
    <row r="20" spans="1:7" s="214" customFormat="1" ht="13.5" customHeight="1">
      <c r="A20" s="255" t="s">
        <v>1574</v>
      </c>
      <c r="B20" s="210" t="s">
        <v>1575</v>
      </c>
      <c r="C20" s="232">
        <f ca="1">ROUND((C5+C19)*F20,0)</f>
        <v>1922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2308</v>
      </c>
      <c r="D22" s="235">
        <f ca="1">C26</f>
        <v>5.0000000000000001E-4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1137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1137</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13200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13200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89552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746532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640800</v>
      </c>
      <c r="D34" s="217"/>
      <c r="E34" s="220"/>
      <c r="F34" s="257"/>
      <c r="G34" s="219"/>
    </row>
    <row r="35" spans="1:7" ht="13.5" customHeight="1">
      <c r="A35" s="780" t="s">
        <v>351</v>
      </c>
      <c r="B35" s="215" t="s">
        <v>1527</v>
      </c>
      <c r="C35" s="220">
        <f ca="1">ROUND(C34*F35,0)</f>
        <v>32040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32040</v>
      </c>
      <c r="D36" s="220"/>
      <c r="E36" s="220"/>
      <c r="F36" s="259">
        <f>'数据-取费表'!B34</f>
        <v>0.05</v>
      </c>
      <c r="G36" s="260" t="s">
        <v>1530</v>
      </c>
    </row>
    <row r="37" spans="1:7" s="258" customFormat="1" ht="13.5" customHeight="1">
      <c r="A37" s="780" t="s">
        <v>353</v>
      </c>
      <c r="B37" s="215" t="s">
        <v>1531</v>
      </c>
      <c r="C37" s="249">
        <f ca="1">ROUND(E37*D37,0)</f>
        <v>32040</v>
      </c>
      <c r="D37" s="217">
        <f ca="1">D19</f>
        <v>160.19999999999999</v>
      </c>
      <c r="E37" s="249">
        <f>'数据-取费表'!B35</f>
        <v>200</v>
      </c>
      <c r="F37" s="259"/>
      <c r="G37" s="261"/>
    </row>
    <row r="38" spans="1:7" ht="13.5" customHeight="1">
      <c r="A38" s="780" t="s">
        <v>354</v>
      </c>
      <c r="B38" s="215" t="s">
        <v>1533</v>
      </c>
      <c r="C38" s="220">
        <f ca="1">ROUND(C34*F38,0)</f>
        <v>9612</v>
      </c>
      <c r="D38" s="220"/>
      <c r="E38" s="220"/>
      <c r="F38" s="259">
        <f>'数据-取费表'!B36</f>
        <v>1.4999999999999999E-2</v>
      </c>
      <c r="G38" s="219" t="s">
        <v>1528</v>
      </c>
    </row>
    <row r="39" spans="1:7" s="214" customFormat="1" ht="13.5" customHeight="1">
      <c r="A39" s="255" t="s">
        <v>1534</v>
      </c>
      <c r="B39" s="210" t="s">
        <v>1535</v>
      </c>
      <c r="C39" s="232">
        <f ca="1">ROUND(C33*F20,0)</f>
        <v>22396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13649</v>
      </c>
      <c r="D41" s="235">
        <f ca="1">C44</f>
        <v>5.0000000000000001E-4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13251</v>
      </c>
      <c r="D42" s="238"/>
      <c r="E42" s="238"/>
      <c r="F42" s="239"/>
      <c r="G42" s="3647" t="s">
        <v>1591</v>
      </c>
    </row>
    <row r="43" spans="1:7" ht="13.5" customHeight="1">
      <c r="A43" s="780" t="s">
        <v>347</v>
      </c>
      <c r="B43" s="215" t="s">
        <v>1545</v>
      </c>
      <c r="C43" s="238">
        <f ca="1">ROUND(IF('数据-取费表'!B22&lt;=1,C39*F22*'数据-取费表'!B20/2,C39*(POWER((1+F22),'数据-取费表'!B20/2)-1)),0)</f>
        <v>398</v>
      </c>
      <c r="D43" s="238"/>
      <c r="E43" s="238"/>
      <c r="F43" s="239"/>
      <c r="G43" s="3648"/>
    </row>
    <row r="44" spans="1:7" ht="13.5" customHeight="1">
      <c r="A44" s="780" t="s">
        <v>348</v>
      </c>
      <c r="B44" s="215" t="s">
        <v>1546</v>
      </c>
      <c r="C44" s="238">
        <f ca="1">ROUND(IF('数据-取费表'!B22&lt;=1,C40*F22*'数据-取费表'!B20/2,C40*(POWER((1+F22),'数据-取费表'!B20/2)-1)),4)</f>
        <v>5.0000000000000001E-4</v>
      </c>
      <c r="D44" s="238"/>
      <c r="E44" s="238"/>
      <c r="F44" s="239"/>
      <c r="G44" s="3649"/>
    </row>
    <row r="45" spans="1:7" s="214" customFormat="1" ht="13.5" customHeight="1">
      <c r="A45" s="255" t="s">
        <v>1547</v>
      </c>
      <c r="B45" s="244" t="s">
        <v>1513</v>
      </c>
      <c r="C45" s="245">
        <f ca="1">C46</f>
        <v>153786</v>
      </c>
      <c r="D45" s="235">
        <f ca="1">C47</f>
        <v>6.0000000000000001E-3</v>
      </c>
      <c r="E45" s="236" t="s">
        <v>1539</v>
      </c>
      <c r="F45" s="246">
        <f ca="1">F27</f>
        <v>0.2</v>
      </c>
      <c r="G45" s="247" t="s">
        <v>1548</v>
      </c>
    </row>
    <row r="46" spans="1:7" s="214" customFormat="1" ht="13.5" customHeight="1">
      <c r="A46" s="780" t="s">
        <v>346</v>
      </c>
      <c r="B46" s="248" t="s">
        <v>1549</v>
      </c>
      <c r="C46" s="249">
        <f ca="1">ROUND((C33+C39)*F27,0)</f>
        <v>153786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1028744</v>
      </c>
      <c r="D49" s="232"/>
      <c r="E49" s="232"/>
      <c r="F49" s="264"/>
      <c r="G49" s="234" t="s">
        <v>1554</v>
      </c>
    </row>
    <row r="50" spans="1:7" s="258" customFormat="1">
      <c r="A50" s="255" t="s">
        <v>1555</v>
      </c>
      <c r="B50" s="210" t="s">
        <v>1556</v>
      </c>
      <c r="C50" s="232"/>
      <c r="D50" s="232"/>
      <c r="E50" s="232"/>
      <c r="F50" s="264">
        <f>IF('数据-取费表'!B24=0,'数据-取费表'!N16,1)</f>
        <v>0.96</v>
      </c>
      <c r="G50" s="247"/>
    </row>
    <row r="51" spans="1:7" ht="16.5" customHeight="1">
      <c r="A51" s="255" t="s">
        <v>1558</v>
      </c>
      <c r="B51" s="210" t="s">
        <v>1593</v>
      </c>
      <c r="C51" s="232">
        <f ca="1">ROUND(C49*F50,0)</f>
        <v>987594</v>
      </c>
      <c r="D51" s="232"/>
      <c r="E51" s="232"/>
      <c r="F51" s="264"/>
      <c r="G51" s="234" t="s">
        <v>1560</v>
      </c>
    </row>
    <row r="52" spans="1:7" s="208" customFormat="1" ht="16.5" thickBot="1">
      <c r="A52" s="265" t="s">
        <v>1561</v>
      </c>
      <c r="B52" s="266"/>
      <c r="C52" s="267">
        <f ca="1">C31+C51</f>
        <v>1077146</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160.19999999999999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160.19999999999999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160.19999999999999</v>
      </c>
      <c r="E19" s="21">
        <f>'数据-取费表'!B27</f>
        <v>200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0</v>
      </c>
      <c r="D6" s="155" t="s">
        <v>2106</v>
      </c>
      <c r="E6" s="302" t="s">
        <v>696</v>
      </c>
      <c r="F6" s="303">
        <f ca="1">INDIRECT("'数据-取费表'!u"&amp;$G$1)</f>
        <v>0</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61" t="s">
        <v>2321</v>
      </c>
      <c r="K2" s="3662"/>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3" t="s">
        <v>2331</v>
      </c>
      <c r="K3" s="3664"/>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3" t="s">
        <v>2333</v>
      </c>
      <c r="K4" s="3664"/>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9" t="s">
        <v>2337</v>
      </c>
      <c r="B6" s="3670"/>
      <c r="C6" s="3671"/>
      <c r="D6" s="2869"/>
      <c r="E6" s="2870"/>
      <c r="F6" s="2871"/>
      <c r="G6" s="2872"/>
      <c r="H6" s="2847"/>
      <c r="I6" s="2848"/>
      <c r="J6" s="3655">
        <v>1</v>
      </c>
      <c r="K6" s="3656"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5"/>
      <c r="K7" s="3657"/>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2" t="s">
        <v>2351</v>
      </c>
      <c r="C8" s="3673"/>
      <c r="D8" s="2888" t="s">
        <v>2352</v>
      </c>
      <c r="E8" s="2889" t="s">
        <v>2353</v>
      </c>
      <c r="F8" s="2890" t="s">
        <v>2354</v>
      </c>
      <c r="G8" s="2891"/>
      <c r="H8" s="2847"/>
      <c r="I8" s="2848"/>
      <c r="J8" s="3655"/>
      <c r="K8" s="3657"/>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2" t="s">
        <v>2357</v>
      </c>
      <c r="C9" s="3673"/>
      <c r="D9" s="2888">
        <f>ROUND(D6*E9,0)</f>
        <v>0</v>
      </c>
      <c r="E9" s="2892"/>
      <c r="F9" s="2893" t="s">
        <v>2358</v>
      </c>
      <c r="G9" s="2872"/>
      <c r="H9" s="2847"/>
      <c r="I9" s="2848"/>
      <c r="J9" s="3655"/>
      <c r="K9" s="3657"/>
      <c r="L9" s="2882" t="s">
        <v>2359</v>
      </c>
      <c r="M9" s="2883"/>
      <c r="N9" s="2859"/>
      <c r="O9" s="2884"/>
      <c r="P9" s="2884"/>
      <c r="Q9" s="2885">
        <v>365</v>
      </c>
      <c r="R9" s="2886">
        <f t="shared" si="0"/>
        <v>0</v>
      </c>
      <c r="S9" s="2840"/>
      <c r="T9" s="2840"/>
      <c r="U9" s="2840"/>
      <c r="V9" s="2848"/>
    </row>
    <row r="10" spans="1:22" s="2852" customFormat="1" ht="13.15" customHeight="1">
      <c r="A10" s="2887">
        <v>2</v>
      </c>
      <c r="B10" s="3672" t="s">
        <v>2360</v>
      </c>
      <c r="C10" s="3673"/>
      <c r="D10" s="2888">
        <f>ROUND(D6*E10,0)</f>
        <v>0</v>
      </c>
      <c r="E10" s="2892"/>
      <c r="F10" s="2893" t="s">
        <v>2361</v>
      </c>
      <c r="G10" s="2872"/>
      <c r="H10" s="2847"/>
      <c r="I10" s="2848"/>
      <c r="J10" s="3655"/>
      <c r="K10" s="3657"/>
      <c r="L10" s="2882" t="s">
        <v>2362</v>
      </c>
      <c r="M10" s="2883"/>
      <c r="N10" s="2859"/>
      <c r="O10" s="2884"/>
      <c r="P10" s="2884"/>
      <c r="Q10" s="2885">
        <v>365</v>
      </c>
      <c r="R10" s="2886">
        <f t="shared" si="0"/>
        <v>0</v>
      </c>
      <c r="S10" s="2840"/>
      <c r="T10" s="2840"/>
      <c r="U10" s="2840"/>
      <c r="V10" s="2848"/>
    </row>
    <row r="11" spans="1:22" s="2852" customFormat="1" ht="13.15" customHeight="1">
      <c r="A11" s="2887">
        <v>3</v>
      </c>
      <c r="B11" s="3672" t="s">
        <v>2363</v>
      </c>
      <c r="C11" s="3673"/>
      <c r="D11" s="2888">
        <f>D12+D14+D15+D16</f>
        <v>0</v>
      </c>
      <c r="E11" s="2894" t="e">
        <f>D11/D6</f>
        <v>#DIV/0!</v>
      </c>
      <c r="F11" s="2890"/>
      <c r="G11" s="2891"/>
      <c r="H11" s="2847"/>
      <c r="I11" s="2848"/>
      <c r="J11" s="3655"/>
      <c r="K11" s="3657"/>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5" t="s">
        <v>2366</v>
      </c>
      <c r="C12" s="3666"/>
      <c r="D12" s="2896">
        <f>ROUND(D13*1.2%*(1-30%),0)</f>
        <v>0</v>
      </c>
      <c r="E12" s="2897">
        <v>1.2E-2</v>
      </c>
      <c r="F12" s="2890" t="s">
        <v>2367</v>
      </c>
      <c r="G12" s="2891"/>
      <c r="H12" s="2847"/>
      <c r="I12" s="2848"/>
      <c r="J12" s="3655"/>
      <c r="K12" s="3657"/>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5"/>
      <c r="K13" s="3657"/>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5" t="s">
        <v>2372</v>
      </c>
      <c r="C14" s="3666"/>
      <c r="D14" s="2896">
        <f>ROUND(E14*B5/10000,0)</f>
        <v>0</v>
      </c>
      <c r="E14" s="2885"/>
      <c r="F14" s="2890" t="s">
        <v>2373</v>
      </c>
      <c r="G14" s="2891"/>
      <c r="H14" s="2847"/>
      <c r="I14" s="2848"/>
      <c r="J14" s="3655"/>
      <c r="K14" s="3658"/>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5" t="s">
        <v>2376</v>
      </c>
      <c r="C15" s="3666"/>
      <c r="D15" s="2896">
        <f>ROUND(D6*E15,0)</f>
        <v>0</v>
      </c>
      <c r="E15" s="2897">
        <v>5.5E-2</v>
      </c>
      <c r="F15" s="2890" t="s">
        <v>2377</v>
      </c>
      <c r="G15" s="2872"/>
      <c r="H15" s="2847"/>
      <c r="I15" s="2848"/>
      <c r="J15" s="3655">
        <v>2</v>
      </c>
      <c r="K15" s="3656"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5" t="s">
        <v>2385</v>
      </c>
      <c r="C16" s="3666"/>
      <c r="D16" s="2907">
        <f>D6*E16</f>
        <v>0</v>
      </c>
      <c r="E16" s="2908"/>
      <c r="F16" s="2893" t="s">
        <v>2386</v>
      </c>
      <c r="G16" s="2872"/>
      <c r="H16" s="2847"/>
      <c r="I16" s="2848"/>
      <c r="J16" s="3655"/>
      <c r="K16" s="3657"/>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7" t="s">
        <v>2388</v>
      </c>
      <c r="C17" s="3668"/>
      <c r="D17" s="2910">
        <f>ROUND(D6*E17,0)</f>
        <v>0</v>
      </c>
      <c r="E17" s="2911"/>
      <c r="F17" s="2912" t="s">
        <v>2389</v>
      </c>
      <c r="G17" s="2872"/>
      <c r="H17" s="2847"/>
      <c r="I17" s="2848"/>
      <c r="J17" s="3655"/>
      <c r="K17" s="3657"/>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5"/>
      <c r="K18" s="3657"/>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5"/>
      <c r="K19" s="3658"/>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5">
        <v>3</v>
      </c>
      <c r="K20" s="3656"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5"/>
      <c r="K21" s="3657"/>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5"/>
      <c r="K22" s="3657"/>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5"/>
      <c r="K23" s="3657"/>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5"/>
      <c r="K24" s="3658"/>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9">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1" t="s">
        <v>2321</v>
      </c>
      <c r="K32" s="3662"/>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3" t="s">
        <v>2331</v>
      </c>
      <c r="K33" s="3664"/>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3" t="s">
        <v>2333</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5">
        <v>1</v>
      </c>
      <c r="K36" s="3656"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5"/>
      <c r="K37" s="3657"/>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5"/>
      <c r="K38" s="3657"/>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5"/>
      <c r="K39" s="3657"/>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5"/>
      <c r="K40" s="3658"/>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9">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5" t="s">
        <v>3434</v>
      </c>
      <c r="F1" s="1879" t="s">
        <v>3435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6810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233060</v>
      </c>
      <c r="C3" s="354" t="s">
        <v>1665</v>
      </c>
      <c r="D3" s="353">
        <f>'数据-汇总表'!D3</f>
        <v>292.20999999999998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704" t="s">
        <v>1668</v>
      </c>
      <c r="S4" s="3705"/>
      <c r="T4" s="3704" t="s">
        <v>1669</v>
      </c>
      <c r="U4" s="3705"/>
      <c r="V4" s="3710" t="s">
        <v>1670</v>
      </c>
      <c r="W4" s="3710"/>
      <c r="X4" s="1355"/>
      <c r="Y4" s="3704" t="s">
        <v>1672</v>
      </c>
      <c r="Z4" s="3705"/>
      <c r="AA4" s="3691" t="s">
        <v>1668</v>
      </c>
      <c r="AB4" s="3691" t="s">
        <v>1669</v>
      </c>
      <c r="AC4" s="3691" t="s">
        <v>1670</v>
      </c>
    </row>
    <row r="5" spans="1:29" ht="15">
      <c r="A5" s="358"/>
      <c r="B5" s="359"/>
      <c r="C5" s="3713" t="s">
        <v>1673</v>
      </c>
      <c r="D5" s="3714"/>
      <c r="E5" s="3720" t="str">
        <f>市场案例!A23</f>
        <v>南锣鼓巷</v>
      </c>
      <c r="F5" s="3721"/>
      <c r="G5" s="3713" t="str">
        <f>市场案例!A24</f>
        <v>北锣鼓巷</v>
      </c>
      <c r="H5" s="3714"/>
      <c r="I5" s="3713" t="str">
        <f>市场案例!A25</f>
        <v>新太仓</v>
      </c>
      <c r="J5" s="3714"/>
      <c r="K5" s="1890"/>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1890"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45103</v>
      </c>
      <c r="D7" s="365">
        <v>100</v>
      </c>
      <c r="E7" s="366">
        <v>44927</v>
      </c>
      <c r="F7" s="367">
        <f>SUMIF(58:58,YEAR(E7)&amp;"-"&amp;MONTH(E7),59:59)</f>
        <v>100</v>
      </c>
      <c r="G7" s="366">
        <v>44927</v>
      </c>
      <c r="H7" s="365">
        <f>SUMIF(58:58,YEAR(G7)&amp;"-"&amp;MONTH(G7),59:59)</f>
        <v>100</v>
      </c>
      <c r="I7" s="366">
        <v>44927</v>
      </c>
      <c r="J7" s="365">
        <f>SUMIF(58:58,YEAR(I7)&amp;"-"&amp;MONTH(I7),59:59)</f>
        <v>100</v>
      </c>
      <c r="K7" s="1891"/>
      <c r="L7" s="2716"/>
      <c r="M7" s="2717"/>
      <c r="N7" s="2717"/>
      <c r="O7" s="2717"/>
      <c r="P7" s="3715" t="s">
        <v>1680</v>
      </c>
      <c r="Q7" s="3717"/>
      <c r="R7" s="701" t="s">
        <v>20</v>
      </c>
      <c r="S7" s="702">
        <f t="shared" ref="S7:S15" si="0">F7</f>
        <v>100</v>
      </c>
      <c r="T7" s="701" t="s">
        <v>20</v>
      </c>
      <c r="U7" s="702">
        <f t="shared" ref="U7:U15" si="1">H7</f>
        <v>100</v>
      </c>
      <c r="V7" s="701" t="s">
        <v>20</v>
      </c>
      <c r="W7" s="702">
        <f t="shared" ref="W7:W15" si="2">J7</f>
        <v>100</v>
      </c>
      <c r="X7" s="703"/>
      <c r="Y7" s="3715" t="s">
        <v>1680</v>
      </c>
      <c r="Z7" s="3716"/>
      <c r="AA7" s="704">
        <f>D7/F7</f>
        <v>1</v>
      </c>
      <c r="AB7" s="704">
        <f>D7/H7</f>
        <v>1</v>
      </c>
      <c r="AC7" s="704">
        <f>D7/J7</f>
        <v>1</v>
      </c>
    </row>
    <row r="8" spans="1:29" s="108" customFormat="1" ht="15.75" thickBot="1">
      <c r="A8" s="362" t="s">
        <v>1681</v>
      </c>
      <c r="B8" s="363"/>
      <c r="C8" s="3459" t="s">
        <v>3444</v>
      </c>
      <c r="D8" s="365">
        <v>100</v>
      </c>
      <c r="E8" s="3460" t="s">
        <v>3445</v>
      </c>
      <c r="F8" s="367">
        <f>SUMIF(61:61,E8,62:62)-SUMIF(61:61,C8,62:62)+100</f>
        <v>100</v>
      </c>
      <c r="G8" s="3459" t="s">
        <v>3445</v>
      </c>
      <c r="H8" s="365">
        <f>SUMIF(61:61,G8,62:62)-SUMIF(61:61,C8,62:62)+100</f>
        <v>100</v>
      </c>
      <c r="I8" s="3460" t="s">
        <v>3444</v>
      </c>
      <c r="J8" s="365">
        <f>SUMIF(61:61,I8,62:62)-SUMIF(61:61,C8,62:62)+100</f>
        <v>100</v>
      </c>
      <c r="K8" s="1891"/>
      <c r="L8" s="2716"/>
      <c r="M8" s="2717"/>
      <c r="N8" s="2717"/>
      <c r="O8" s="2717"/>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461" t="s">
        <v>3446</v>
      </c>
      <c r="D9" s="126">
        <v>100</v>
      </c>
      <c r="E9" s="3462" t="s">
        <v>3446</v>
      </c>
      <c r="F9" s="372">
        <f>SUMIF(63:63,E9,64:64)-SUMIF(63:63,C9,64:64)+100</f>
        <v>100</v>
      </c>
      <c r="G9" s="3463" t="s">
        <v>3446</v>
      </c>
      <c r="H9" s="126">
        <f>SUMIF(63:63,G9,64:64)-SUMIF(63:63,C9,64:64)+100</f>
        <v>100</v>
      </c>
      <c r="I9" s="3463" t="s">
        <v>3446</v>
      </c>
      <c r="J9" s="126">
        <f>SUMIF(63:63,I9,64:64)-SUMIF(63:63,C9,64:64)+100</f>
        <v>100</v>
      </c>
      <c r="K9" s="1891"/>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20"/>
      <c r="M11" s="2715"/>
      <c r="N11" s="2715"/>
      <c r="O11" s="2715"/>
      <c r="P11" s="3690"/>
      <c r="Q11" s="1343" t="str">
        <f t="shared" si="6"/>
        <v>容积率</v>
      </c>
      <c r="R11" s="701" t="s">
        <v>18</v>
      </c>
      <c r="S11" s="702">
        <f t="shared" si="0"/>
        <v>100</v>
      </c>
      <c r="T11" s="701" t="s">
        <v>18</v>
      </c>
      <c r="U11" s="702">
        <f t="shared" si="1"/>
        <v>100</v>
      </c>
      <c r="V11" s="701" t="s">
        <v>18</v>
      </c>
      <c r="W11" s="702">
        <f t="shared" si="2"/>
        <v>100</v>
      </c>
      <c r="X11" s="703"/>
      <c r="Y11" s="3554"/>
      <c r="Z11" s="52" t="str">
        <f t="shared" si="7"/>
        <v>容积率</v>
      </c>
      <c r="AA11" s="704">
        <f t="shared" si="3"/>
        <v>1</v>
      </c>
      <c r="AB11" s="704">
        <f t="shared" si="4"/>
        <v>1</v>
      </c>
      <c r="AC11" s="704">
        <f t="shared" si="5"/>
        <v>1</v>
      </c>
    </row>
    <row r="12" spans="1:29" s="108" customFormat="1" ht="15">
      <c r="A12" s="382"/>
      <c r="B12" s="1892">
        <v>111</v>
      </c>
      <c r="C12" s="383" t="s">
        <v>3432</v>
      </c>
      <c r="D12" s="384">
        <v>100</v>
      </c>
      <c r="E12" s="383" t="s">
        <v>3432</v>
      </c>
      <c r="F12" s="376">
        <f>SUMIF(70:70,E12,71:71)-SUMIF(70:70,C12,71:71)+100</f>
        <v>100</v>
      </c>
      <c r="G12" s="383" t="s">
        <v>3432</v>
      </c>
      <c r="H12" s="127">
        <f>SUMIF(70:70,G12,71:71)-SUMIF(70:70,C12,71:71)+100</f>
        <v>100</v>
      </c>
      <c r="I12" s="383" t="s">
        <v>3433</v>
      </c>
      <c r="J12" s="127">
        <f>SUMIF(70:70,I12,71:71)-SUMIF(70:70,C12,71:71)+100</f>
        <v>102</v>
      </c>
      <c r="K12" s="1893"/>
      <c r="L12" s="2716"/>
      <c r="M12" s="2717"/>
      <c r="N12" s="2717"/>
      <c r="O12" s="2717"/>
      <c r="P12" s="3690"/>
      <c r="Q12" s="1343">
        <f t="shared" si="6"/>
        <v>111</v>
      </c>
      <c r="R12" s="701" t="s">
        <v>18</v>
      </c>
      <c r="S12" s="702">
        <f t="shared" si="0"/>
        <v>100</v>
      </c>
      <c r="T12" s="701" t="s">
        <v>18</v>
      </c>
      <c r="U12" s="702">
        <f t="shared" si="1"/>
        <v>100</v>
      </c>
      <c r="V12" s="701" t="s">
        <v>18</v>
      </c>
      <c r="W12" s="702">
        <f t="shared" si="2"/>
        <v>102</v>
      </c>
      <c r="X12" s="703"/>
      <c r="Y12" s="3554"/>
      <c r="Z12" s="52">
        <f t="shared" si="7"/>
        <v>111</v>
      </c>
      <c r="AA12" s="704">
        <f>D12/F12</f>
        <v>1</v>
      </c>
      <c r="AB12" s="704">
        <f>D12/H12</f>
        <v>1</v>
      </c>
      <c r="AC12" s="704">
        <f>D12/J12</f>
        <v>0.98039215686274506</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0"/>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0"/>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8"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689"/>
      <c r="Q16" s="1352"/>
      <c r="R16" s="705"/>
      <c r="S16" s="706"/>
      <c r="T16" s="705"/>
      <c r="U16" s="706"/>
      <c r="V16" s="705"/>
      <c r="W16" s="706"/>
      <c r="X16" s="1355"/>
      <c r="Y16" s="3682"/>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689"/>
      <c r="Q20" s="1352"/>
      <c r="R20" s="705"/>
      <c r="S20" s="706"/>
      <c r="T20" s="705"/>
      <c r="U20" s="706"/>
      <c r="V20" s="705"/>
      <c r="W20" s="706"/>
      <c r="X20" s="1355"/>
      <c r="Y20" s="368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689"/>
      <c r="Q22" s="1352"/>
      <c r="R22" s="705"/>
      <c r="S22" s="706"/>
      <c r="T22" s="705"/>
      <c r="U22" s="706"/>
      <c r="V22" s="705"/>
      <c r="W22" s="706"/>
      <c r="X22" s="1355"/>
      <c r="Y22" s="3682"/>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689"/>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9"/>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9"/>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f>D3</f>
        <v>292.20999999999998</v>
      </c>
      <c r="D33" s="127">
        <v>100</v>
      </c>
      <c r="E33" s="381">
        <f>市场案例!C23</f>
        <v>1498.19</v>
      </c>
      <c r="F33" s="376">
        <f>LOOKUP(E33,103:103,104:104)-LOOKUP(C33,103:103,104:104)+100</f>
        <v>106</v>
      </c>
      <c r="G33" s="380">
        <f>市场案例!C24</f>
        <v>332.22</v>
      </c>
      <c r="H33" s="127">
        <f>LOOKUP(G33,103:103,104:104)-LOOKUP(C33,103:103,104:104)+100</f>
        <v>100</v>
      </c>
      <c r="I33" s="381">
        <f>市场案例!C25</f>
        <v>325.19</v>
      </c>
      <c r="J33" s="127">
        <f>LOOKUP(I33,103:103,104:104)-LOOKUP(C33,103:103,104:104)+100</f>
        <v>100</v>
      </c>
      <c r="K33" s="1893"/>
      <c r="L33" s="2720"/>
      <c r="M33" s="2722"/>
      <c r="N33" s="2722"/>
      <c r="O33" s="2722"/>
      <c r="P33" s="3684"/>
      <c r="Q33" s="707" t="str">
        <f t="shared" si="11"/>
        <v>项目建筑规模</v>
      </c>
      <c r="R33" s="708" t="s">
        <v>18</v>
      </c>
      <c r="S33" s="709">
        <f t="shared" si="12"/>
        <v>106</v>
      </c>
      <c r="T33" s="708" t="s">
        <v>18</v>
      </c>
      <c r="U33" s="709">
        <f t="shared" si="13"/>
        <v>100</v>
      </c>
      <c r="V33" s="708" t="s">
        <v>18</v>
      </c>
      <c r="W33" s="709">
        <f t="shared" si="14"/>
        <v>100</v>
      </c>
      <c r="X33" s="710"/>
      <c r="Y33" s="3686"/>
      <c r="Z33" s="711" t="str">
        <f t="shared" si="18"/>
        <v>项目建筑规模</v>
      </c>
      <c r="AA33" s="1353">
        <f t="shared" si="15"/>
        <v>0.94339622641509435</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425">
        <v>0.96</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6"/>
      <c r="M37" s="2717"/>
      <c r="N37" s="2717"/>
      <c r="O37" s="2717"/>
      <c r="P37" s="3684"/>
      <c r="Q37" s="1343" t="str">
        <f t="shared" si="11"/>
        <v>成新度</v>
      </c>
      <c r="R37" s="701" t="s">
        <v>18</v>
      </c>
      <c r="S37" s="702">
        <f t="shared" si="12"/>
        <v>100</v>
      </c>
      <c r="T37" s="701" t="s">
        <v>18</v>
      </c>
      <c r="U37" s="702">
        <f t="shared" si="13"/>
        <v>100</v>
      </c>
      <c r="V37" s="701" t="s">
        <v>18</v>
      </c>
      <c r="W37" s="702">
        <f t="shared" si="14"/>
        <v>100</v>
      </c>
      <c r="X37" s="703"/>
      <c r="Y37" s="3686"/>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3457" t="s">
        <v>3436</v>
      </c>
      <c r="D42" s="386">
        <v>100</v>
      </c>
      <c r="E42" s="3458" t="s">
        <v>3437</v>
      </c>
      <c r="F42" s="412">
        <f>SUMIF(122:122,E42,123:123)-SUMIF(122:122,C42,123:123)+100</f>
        <v>98</v>
      </c>
      <c r="G42" s="3457" t="s">
        <v>3438</v>
      </c>
      <c r="H42" s="386">
        <f>SUMIF(122:122,G42,123:123)-SUMIF(122:122,C42,123:123)+100</f>
        <v>96</v>
      </c>
      <c r="I42" s="3458" t="s">
        <v>3437</v>
      </c>
      <c r="J42" s="386">
        <f>SUMIF(122:122,I42,123:123)-SUMIF(122:122,C42,123:123)+100</f>
        <v>98</v>
      </c>
      <c r="K42" s="377">
        <v>2</v>
      </c>
      <c r="L42" s="2721"/>
      <c r="M42" s="2715"/>
      <c r="N42" s="2715"/>
      <c r="O42" s="2715"/>
      <c r="P42" s="3684"/>
      <c r="Q42" s="1352" t="str">
        <f t="shared" si="11"/>
        <v>内部装修</v>
      </c>
      <c r="R42" s="705" t="s">
        <v>18</v>
      </c>
      <c r="S42" s="706">
        <f t="shared" si="12"/>
        <v>98</v>
      </c>
      <c r="T42" s="705" t="s">
        <v>18</v>
      </c>
      <c r="U42" s="706">
        <f t="shared" si="13"/>
        <v>96</v>
      </c>
      <c r="V42" s="705" t="s">
        <v>18</v>
      </c>
      <c r="W42" s="706">
        <f t="shared" si="14"/>
        <v>98</v>
      </c>
      <c r="X42" s="1355"/>
      <c r="Y42" s="3686"/>
      <c r="Z42" s="1356" t="str">
        <f t="shared" si="18"/>
        <v>内部装修</v>
      </c>
      <c r="AA42" s="1353">
        <f t="shared" si="15"/>
        <v>1.0204081632653061</v>
      </c>
      <c r="AB42" s="1353">
        <f t="shared" si="16"/>
        <v>1.0416666666666667</v>
      </c>
      <c r="AC42" s="1353">
        <f t="shared" si="17"/>
        <v>1.0204081632653061</v>
      </c>
    </row>
    <row r="43" spans="1:29" ht="15">
      <c r="A43" s="423"/>
      <c r="B43" s="375" t="s">
        <v>1707</v>
      </c>
      <c r="C43" s="3457" t="s">
        <v>3440</v>
      </c>
      <c r="D43" s="386">
        <v>100</v>
      </c>
      <c r="E43" s="3458" t="s">
        <v>3441</v>
      </c>
      <c r="F43" s="412">
        <f>SUMIF(124:124,E43,125:125)-SUMIF(124:124,C43,125:125)+100</f>
        <v>90</v>
      </c>
      <c r="G43" s="3457" t="s">
        <v>3442</v>
      </c>
      <c r="H43" s="386">
        <f>SUMIF(124:124,G43,125:125)-SUMIF(124:124,C43,125:125)+100</f>
        <v>90</v>
      </c>
      <c r="I43" s="3458" t="s">
        <v>3443</v>
      </c>
      <c r="J43" s="386">
        <f>SUMIF(124:124,I43,125:125)-SUMIF(124:124,C43,125:125)+100</f>
        <v>95</v>
      </c>
      <c r="K43" s="377">
        <v>5</v>
      </c>
      <c r="L43" s="2721"/>
      <c r="M43" s="2715"/>
      <c r="N43" s="2715"/>
      <c r="O43" s="2715"/>
      <c r="P43" s="3684"/>
      <c r="Q43" s="1352" t="str">
        <f t="shared" si="11"/>
        <v>内部装修维护情况</v>
      </c>
      <c r="R43" s="705" t="s">
        <v>18</v>
      </c>
      <c r="S43" s="706">
        <f t="shared" si="12"/>
        <v>90</v>
      </c>
      <c r="T43" s="705" t="s">
        <v>18</v>
      </c>
      <c r="U43" s="706">
        <f t="shared" si="13"/>
        <v>90</v>
      </c>
      <c r="V43" s="705" t="s">
        <v>18</v>
      </c>
      <c r="W43" s="706">
        <f t="shared" si="14"/>
        <v>95</v>
      </c>
      <c r="X43" s="1355"/>
      <c r="Y43" s="3686"/>
      <c r="Z43" s="1356" t="str">
        <f t="shared" si="18"/>
        <v>内部装修维护情况</v>
      </c>
      <c r="AA43" s="1353">
        <f t="shared" si="15"/>
        <v>1.1111111111111112</v>
      </c>
      <c r="AB43" s="1353">
        <f t="shared" si="16"/>
        <v>1.1111111111111112</v>
      </c>
      <c r="AC43" s="1353">
        <f t="shared" si="17"/>
        <v>1.0526315789473684</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1708</v>
      </c>
      <c r="B47" s="431"/>
      <c r="C47" s="1154" t="s">
        <v>16</v>
      </c>
      <c r="D47" s="1155"/>
      <c r="E47" s="1156">
        <f>市场案例!E23</f>
        <v>240290</v>
      </c>
      <c r="F47" s="1157"/>
      <c r="G47" s="1158">
        <f>市场案例!E24</f>
        <v>200169</v>
      </c>
      <c r="H47" s="1159"/>
      <c r="I47" s="1156">
        <f>市场案例!E25</f>
        <v>199883</v>
      </c>
      <c r="J47" s="1159"/>
      <c r="K47" s="1913"/>
      <c r="L47" s="2723"/>
      <c r="M47" s="2724"/>
      <c r="N47" s="2715"/>
      <c r="O47" s="2724"/>
      <c r="P47" s="3679" t="str">
        <f>A47</f>
        <v>成交单价（元/平方米）</v>
      </c>
      <c r="Q47" s="3679"/>
      <c r="R47" s="3680">
        <f>E47</f>
        <v>240290</v>
      </c>
      <c r="S47" s="3680"/>
      <c r="T47" s="3680">
        <f>G47</f>
        <v>200169</v>
      </c>
      <c r="U47" s="3680"/>
      <c r="V47" s="3680">
        <f>I47</f>
        <v>199883</v>
      </c>
      <c r="W47" s="3680"/>
      <c r="X47" s="690"/>
      <c r="Y47" s="712"/>
      <c r="Z47" s="690"/>
      <c r="AA47" s="690"/>
      <c r="AB47" s="690"/>
      <c r="AC47" s="690"/>
    </row>
    <row r="48" spans="1:29" ht="15.75" thickBot="1">
      <c r="A48" s="437" t="s">
        <v>1709</v>
      </c>
      <c r="B48" s="438"/>
      <c r="C48" s="1160">
        <f>R49</f>
        <v>233060</v>
      </c>
      <c r="D48" s="2316" t="s">
        <v>2138</v>
      </c>
      <c r="E48" s="1161">
        <f>R48</f>
        <v>257017</v>
      </c>
      <c r="F48" s="2317"/>
      <c r="G48" s="1160">
        <f>T48</f>
        <v>231677</v>
      </c>
      <c r="H48" s="2317"/>
      <c r="I48" s="1161">
        <f>V48</f>
        <v>210487</v>
      </c>
      <c r="J48" s="2317"/>
      <c r="K48" s="2318">
        <f>F48+H48+J48</f>
        <v>0</v>
      </c>
      <c r="L48" s="2723"/>
      <c r="M48" s="2724"/>
      <c r="N48" s="2724"/>
      <c r="O48" s="2724"/>
      <c r="P48" s="3679" t="str">
        <f>A48</f>
        <v>比较价值（元/平方米）</v>
      </c>
      <c r="Q48" s="3679"/>
      <c r="R48" s="3680">
        <f>IF(F1="售价",ROUND(PRODUCT(R47,AA7:AA46),0),ROUND(PRODUCT(R47,AA7:AA46),1))</f>
        <v>257017</v>
      </c>
      <c r="S48" s="3680"/>
      <c r="T48" s="3680">
        <f>IF(F1="售价",ROUND(PRODUCT(T47,AB7:AB46),0),ROUND(PRODUCT(T47,AB7:AB46),1))</f>
        <v>231677</v>
      </c>
      <c r="U48" s="3680"/>
      <c r="V48" s="3680">
        <f>IF(F1="售价",ROUND(PRODUCT(V47,AC7:AC46),0),ROUND(PRODUCT(V47,AC7:AC46),1))</f>
        <v>210487</v>
      </c>
      <c r="W48" s="3680"/>
      <c r="X48" s="690"/>
      <c r="Y48" s="690"/>
      <c r="Z48" s="690"/>
      <c r="AA48" s="690"/>
      <c r="AB48" s="690"/>
      <c r="AC48" s="690"/>
    </row>
    <row r="49" spans="1:29" ht="15.75" thickBot="1">
      <c r="A49" s="441" t="s">
        <v>1710</v>
      </c>
      <c r="B49" s="442"/>
      <c r="C49" s="1162">
        <f>R49</f>
        <v>233060</v>
      </c>
      <c r="D49" s="1163"/>
      <c r="E49" s="1163"/>
      <c r="F49" s="1163"/>
      <c r="G49" s="1163"/>
      <c r="H49" s="1163"/>
      <c r="I49" s="1163"/>
      <c r="J49" s="1163"/>
      <c r="K49" s="1914"/>
      <c r="L49" s="2723"/>
      <c r="M49" s="2724"/>
      <c r="N49" s="2724"/>
      <c r="O49" s="2724"/>
      <c r="P49" s="3676" t="str">
        <f>A49</f>
        <v>估价对象XX用房的比较价值（楼面单价，元/平方米）</v>
      </c>
      <c r="Q49" s="3677"/>
      <c r="R49" s="3678">
        <f>IF(F1="售价",ROUND(IF(D48="简单平均",AVERAGE(R48:V48),R48*F48+T48*H48+V48*J48),0),ROUND(IF(D48="简单平均",AVERAGE(R48:V48),R48*F48+T48*H48+V48*J48),1))</f>
        <v>233060</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6.9611719172666398E-2</v>
      </c>
      <c r="F52" s="449" t="str">
        <f>IF(OR(E52&gt;=0.3,E52&lt;=-0.3),"超过30%","")</f>
        <v/>
      </c>
      <c r="G52" s="448">
        <f>IF(G47&lt;G48,G48/G47-1,G47/G48-1)</f>
        <v>0.15740699109252687</v>
      </c>
      <c r="H52" s="449" t="str">
        <f>IF(OR(G52&gt;=0.3,G52&lt;=-0.3),"超过30%","")</f>
        <v/>
      </c>
      <c r="I52" s="448">
        <f>IF(I47&lt;I48,I48/I47-1,I47/I48-1)</f>
        <v>5.3051034855390311E-2</v>
      </c>
      <c r="J52" s="449" t="str">
        <f>IF(OR(I52&gt;=0.3,I52&lt;=-0.3),"超过30%","")</f>
        <v/>
      </c>
      <c r="K52" s="2729"/>
      <c r="L52" s="2725"/>
      <c r="M52" s="2724"/>
      <c r="N52" s="2724"/>
      <c r="O52" s="2724"/>
    </row>
    <row r="53" spans="1:29" ht="13.5" customHeight="1">
      <c r="A53" s="2724"/>
      <c r="B53" s="2724"/>
      <c r="C53" s="446" t="s">
        <v>1712</v>
      </c>
      <c r="D53" s="450"/>
      <c r="E53" s="448">
        <f>IF(E48&lt;G48,G48/E48-1,E48/G48-1)</f>
        <v>0.10937641630373318</v>
      </c>
      <c r="F53" s="449" t="str">
        <f>IF(OR(E53&gt;=0.2,E53&lt;=-0.2),"超过20%","")</f>
        <v/>
      </c>
      <c r="G53" s="448">
        <f>IF(G48&lt;I48,I48/G48-1,G48/I48-1)</f>
        <v>0.10067130036534322</v>
      </c>
      <c r="H53" s="449" t="str">
        <f>IF(OR(G53&gt;=0.2,G53&lt;=-0.2),"超过20%","")</f>
        <v/>
      </c>
      <c r="I53" s="448">
        <f>IF(I48&lt;E48,E48/I48-1,I48/E48-1)</f>
        <v>0.22105878272767443</v>
      </c>
      <c r="J53" s="449" t="str">
        <f>IF(OR(I53&gt;=0.2,I53&lt;=-0.2),"超过20%","")</f>
        <v>超过20%</v>
      </c>
      <c r="K53" s="2729"/>
      <c r="L53" s="2725"/>
      <c r="M53" s="2724"/>
      <c r="N53" s="2724"/>
      <c r="O53" s="2724"/>
    </row>
    <row r="54" spans="1:29" s="451" customFormat="1" ht="13.5" customHeight="1">
      <c r="A54" s="2727"/>
      <c r="B54" s="2727"/>
      <c r="C54" s="446" t="s">
        <v>1713</v>
      </c>
      <c r="D54" s="450"/>
      <c r="E54" s="448">
        <f>IF(E47&lt;G47,G47/E47-1,E47/G47-1)</f>
        <v>0.20043563189105207</v>
      </c>
      <c r="F54" s="449" t="str">
        <f>IF(OR(E54&gt;=0.3,E54&lt;=-0.3),"超过30%","")</f>
        <v/>
      </c>
      <c r="G54" s="448">
        <f>IF(G47&lt;I47,I47/G47-1,G47/I47-1)</f>
        <v>1.4308370396682868E-3</v>
      </c>
      <c r="H54" s="449" t="str">
        <f>IF(OR(G54&gt;=0.3,G54&lt;=-0.3),"超过30%","")</f>
        <v/>
      </c>
      <c r="I54" s="448">
        <f>IF(I47&lt;E47,E47/I47-1,I47/E47-1)</f>
        <v>0.20215325965689934</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8"/>
      <c r="C59" s="1183">
        <v>100</v>
      </c>
      <c r="D59" s="460">
        <v>100</v>
      </c>
      <c r="E59" s="461">
        <v>100</v>
      </c>
      <c r="F59" s="461">
        <v>100</v>
      </c>
      <c r="G59" s="461">
        <v>100</v>
      </c>
      <c r="H59" s="461">
        <v>100</v>
      </c>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1"/>
      <c r="Q69" s="453"/>
    </row>
    <row r="70" spans="1:17" s="422" customFormat="1" ht="15.75" thickTop="1">
      <c r="A70" s="502"/>
      <c r="B70" s="487">
        <f>B12</f>
        <v>111</v>
      </c>
      <c r="C70" s="503" t="s">
        <v>3432</v>
      </c>
      <c r="D70" s="503" t="s">
        <v>3433</v>
      </c>
      <c r="E70" s="503"/>
      <c r="F70" s="503"/>
      <c r="G70" s="503"/>
      <c r="H70" s="504"/>
      <c r="I70" s="504"/>
      <c r="J70" s="504"/>
      <c r="K70" s="504"/>
      <c r="L70" s="505"/>
      <c r="M70" s="506"/>
      <c r="N70" s="935"/>
      <c r="O70" s="935"/>
      <c r="P70" s="1922"/>
      <c r="Q70" s="508"/>
    </row>
    <row r="71" spans="1:17" s="422" customFormat="1" ht="15.75" thickBot="1">
      <c r="A71" s="502"/>
      <c r="B71" s="492"/>
      <c r="C71" s="509">
        <v>100</v>
      </c>
      <c r="D71" s="485">
        <v>102</v>
      </c>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29.25" thickTop="1">
      <c r="A102" s="483"/>
      <c r="B102" s="487" t="s">
        <v>1737</v>
      </c>
      <c r="C102" s="527" t="str">
        <f>C103&amp;"(含)"&amp;"-"&amp;D103</f>
        <v>0(含)-200</v>
      </c>
      <c r="D102" s="527" t="str">
        <f t="shared" ref="D102:L102" si="26">D103&amp;"(含)"&amp;"-"&amp;E103</f>
        <v>200(含)-400</v>
      </c>
      <c r="E102" s="527" t="str">
        <f t="shared" si="26"/>
        <v>400(含)-600</v>
      </c>
      <c r="F102" s="527" t="str">
        <f t="shared" si="26"/>
        <v>600(含)-800</v>
      </c>
      <c r="G102" s="527" t="str">
        <f t="shared" si="26"/>
        <v>800(含)-1000</v>
      </c>
      <c r="H102" s="527" t="str">
        <f t="shared" si="26"/>
        <v>1000(含)-1200</v>
      </c>
      <c r="I102" s="527" t="str">
        <f t="shared" si="26"/>
        <v>1200(含)-1400</v>
      </c>
      <c r="J102" s="527" t="str">
        <f t="shared" si="26"/>
        <v>1400(含)-1600</v>
      </c>
      <c r="K102" s="527" t="str">
        <f>K103&amp;"(含)"&amp;"-"&amp;L103</f>
        <v>1600(含)-</v>
      </c>
      <c r="L102" s="527" t="str">
        <f t="shared" si="26"/>
        <v>(含)-</v>
      </c>
      <c r="M102" s="527" t="str">
        <f>M103&amp;"(含)"&amp;"-"&amp;P103</f>
        <v>(含)-</v>
      </c>
      <c r="N102" s="932"/>
      <c r="O102" s="932"/>
      <c r="P102" s="1921"/>
      <c r="Q102" s="453"/>
    </row>
    <row r="103" spans="1:17" s="422" customFormat="1">
      <c r="A103" s="542"/>
      <c r="B103" s="543"/>
      <c r="C103" s="544">
        <v>0</v>
      </c>
      <c r="D103" s="544">
        <v>200</v>
      </c>
      <c r="E103" s="544">
        <v>400</v>
      </c>
      <c r="F103" s="544">
        <v>600</v>
      </c>
      <c r="G103" s="544">
        <v>800</v>
      </c>
      <c r="H103" s="544">
        <v>1000</v>
      </c>
      <c r="I103" s="544">
        <v>1200</v>
      </c>
      <c r="J103" s="545">
        <v>1400</v>
      </c>
      <c r="K103" s="545">
        <v>1600</v>
      </c>
      <c r="L103" s="546"/>
      <c r="M103" s="547"/>
      <c r="N103" s="935"/>
      <c r="O103" s="935"/>
      <c r="P103" s="1922"/>
      <c r="Q103" s="508"/>
    </row>
    <row r="104" spans="1:17" s="422" customFormat="1" ht="15.75" thickBot="1">
      <c r="A104" s="502"/>
      <c r="B104" s="492"/>
      <c r="C104" s="509">
        <v>100</v>
      </c>
      <c r="D104" s="485">
        <v>101</v>
      </c>
      <c r="E104" s="485">
        <v>102</v>
      </c>
      <c r="F104" s="485">
        <v>103</v>
      </c>
      <c r="G104" s="485">
        <v>104</v>
      </c>
      <c r="H104" s="485">
        <v>105</v>
      </c>
      <c r="I104" s="485">
        <v>106</v>
      </c>
      <c r="J104" s="485">
        <v>107</v>
      </c>
      <c r="K104" s="485">
        <v>108</v>
      </c>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5" t="s">
        <v>3436</v>
      </c>
      <c r="D122" s="3455" t="s">
        <v>3437</v>
      </c>
      <c r="E122" s="3455" t="s">
        <v>3438</v>
      </c>
      <c r="F122" s="3456" t="s">
        <v>3439</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95</v>
      </c>
      <c r="E125" s="493">
        <f>D125-$K43</f>
        <v>90</v>
      </c>
      <c r="F125" s="493">
        <f>E125-$K43</f>
        <v>85</v>
      </c>
      <c r="G125" s="493">
        <f>F125-$K43</f>
        <v>80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710"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710"/>
      <c r="AC5" s="3692"/>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710"/>
      <c r="AC6" s="3693"/>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0"/>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8"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689"/>
      <c r="Q20" s="1352"/>
      <c r="R20" s="705"/>
      <c r="S20" s="706"/>
      <c r="T20" s="705"/>
      <c r="U20" s="706"/>
      <c r="V20" s="705"/>
      <c r="W20" s="706"/>
      <c r="X20" s="1355"/>
      <c r="Y20" s="3682"/>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689"/>
      <c r="Q22" s="1352"/>
      <c r="R22" s="705"/>
      <c r="S22" s="706"/>
      <c r="T22" s="705"/>
      <c r="U22" s="706"/>
      <c r="V22" s="705"/>
      <c r="W22" s="706"/>
      <c r="X22" s="1355"/>
      <c r="Y22" s="3682"/>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689"/>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728" t="s">
        <v>1775</v>
      </c>
      <c r="Q4" s="3729"/>
      <c r="R4" s="3732" t="s">
        <v>1771</v>
      </c>
      <c r="S4" s="3733"/>
      <c r="T4" s="3732" t="s">
        <v>1772</v>
      </c>
      <c r="U4" s="3733"/>
      <c r="V4" s="3734" t="s">
        <v>1773</v>
      </c>
      <c r="W4" s="3734"/>
      <c r="X4" s="1957"/>
      <c r="Y4" s="3732" t="s">
        <v>1775</v>
      </c>
      <c r="Z4" s="3733"/>
      <c r="AA4" s="3736" t="s">
        <v>1771</v>
      </c>
      <c r="AB4" s="3736" t="s">
        <v>1772</v>
      </c>
      <c r="AC4" s="3725" t="s">
        <v>1773</v>
      </c>
    </row>
    <row r="5" spans="1:29" ht="15">
      <c r="A5" s="358"/>
      <c r="B5" s="359"/>
      <c r="C5" s="3713" t="s">
        <v>1673</v>
      </c>
      <c r="D5" s="3714"/>
      <c r="E5" s="3720" t="s">
        <v>1674</v>
      </c>
      <c r="F5" s="3721"/>
      <c r="G5" s="3713" t="s">
        <v>1675</v>
      </c>
      <c r="H5" s="3714"/>
      <c r="I5" s="3713" t="s">
        <v>1676</v>
      </c>
      <c r="J5" s="3714"/>
      <c r="K5" s="559"/>
      <c r="L5" s="2714"/>
      <c r="M5" s="2715"/>
      <c r="N5" s="2715"/>
      <c r="O5" s="2715"/>
      <c r="P5" s="3730"/>
      <c r="Q5" s="3701"/>
      <c r="R5" s="3706"/>
      <c r="S5" s="3707"/>
      <c r="T5" s="3706"/>
      <c r="U5" s="3707"/>
      <c r="V5" s="3710"/>
      <c r="W5" s="3710"/>
      <c r="X5" s="1355"/>
      <c r="Y5" s="3706"/>
      <c r="Z5" s="3707"/>
      <c r="AA5" s="3692"/>
      <c r="AB5" s="3692"/>
      <c r="AC5" s="3726"/>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31"/>
      <c r="Q6" s="3703"/>
      <c r="R6" s="3706"/>
      <c r="S6" s="3707"/>
      <c r="T6" s="3708"/>
      <c r="U6" s="3709"/>
      <c r="V6" s="3710"/>
      <c r="W6" s="3710"/>
      <c r="X6" s="1355"/>
      <c r="Y6" s="3708"/>
      <c r="Z6" s="3709"/>
      <c r="AA6" s="3693"/>
      <c r="AB6" s="3693"/>
      <c r="AC6" s="3727"/>
    </row>
    <row r="7" spans="1:29" s="108" customFormat="1" ht="15.75" thickBot="1">
      <c r="A7" s="362" t="s">
        <v>1679</v>
      </c>
      <c r="B7" s="363"/>
      <c r="C7" s="364">
        <f>'数据-取费表'!B2</f>
        <v>45103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8"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9"/>
      <c r="Q18" s="1352"/>
      <c r="R18" s="705"/>
      <c r="S18" s="706"/>
      <c r="T18" s="705"/>
      <c r="U18" s="706"/>
      <c r="V18" s="705"/>
      <c r="W18" s="706"/>
      <c r="X18" s="1355"/>
      <c r="Y18" s="3682"/>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9"/>
      <c r="Q20" s="1352"/>
      <c r="R20" s="705"/>
      <c r="S20" s="706"/>
      <c r="T20" s="705"/>
      <c r="U20" s="706"/>
      <c r="V20" s="705"/>
      <c r="W20" s="706"/>
      <c r="X20" s="1355"/>
      <c r="Y20" s="3682"/>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89"/>
      <c r="Q22" s="1352"/>
      <c r="R22" s="705"/>
      <c r="S22" s="706"/>
      <c r="T22" s="705"/>
      <c r="U22" s="706"/>
      <c r="V22" s="705"/>
      <c r="W22" s="706"/>
      <c r="X22" s="1355"/>
      <c r="Y22" s="3682"/>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9"/>
      <c r="Q24" s="1352"/>
      <c r="R24" s="705"/>
      <c r="S24" s="706"/>
      <c r="T24" s="705"/>
      <c r="U24" s="706"/>
      <c r="V24" s="705"/>
      <c r="W24" s="706"/>
      <c r="X24" s="1355"/>
      <c r="Y24" s="3682"/>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89"/>
      <c r="Q26" s="1352"/>
      <c r="R26" s="705"/>
      <c r="S26" s="706"/>
      <c r="T26" s="705"/>
      <c r="U26" s="706"/>
      <c r="V26" s="705"/>
      <c r="W26" s="706"/>
      <c r="X26" s="1355"/>
      <c r="Y26" s="3682"/>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9"/>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4"/>
      <c r="Q37" s="1352" t="str">
        <f t="shared" si="11"/>
        <v>成新度</v>
      </c>
      <c r="R37" s="705" t="s">
        <v>14</v>
      </c>
      <c r="S37" s="706" t="e">
        <f t="shared" si="12"/>
        <v>#N/A</v>
      </c>
      <c r="T37" s="705" t="s">
        <v>14</v>
      </c>
      <c r="U37" s="706" t="e">
        <f t="shared" si="13"/>
        <v>#N/A</v>
      </c>
      <c r="V37" s="705" t="s">
        <v>14</v>
      </c>
      <c r="W37" s="706" t="e">
        <f t="shared" si="14"/>
        <v>#N/A</v>
      </c>
      <c r="X37" s="1355"/>
      <c r="Y37" s="3686"/>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160.19999999999999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913"/>
      <c r="M5" s="914"/>
      <c r="N5" s="914"/>
      <c r="O5" s="914"/>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913"/>
      <c r="M6" s="914"/>
      <c r="N6" s="914"/>
      <c r="O6" s="914"/>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45103</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45103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9"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2"/>
      <c r="Q15" s="1352"/>
      <c r="R15" s="705"/>
      <c r="S15" s="706"/>
      <c r="T15" s="705"/>
      <c r="U15" s="706"/>
      <c r="V15" s="705"/>
      <c r="W15" s="706"/>
      <c r="X15" s="1355"/>
      <c r="Y15" s="3682"/>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682"/>
      <c r="Q17" s="1352"/>
      <c r="R17" s="705"/>
      <c r="S17" s="706"/>
      <c r="T17" s="705"/>
      <c r="U17" s="706"/>
      <c r="V17" s="705"/>
      <c r="W17" s="706"/>
      <c r="X17" s="1355"/>
      <c r="Y17" s="3682"/>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682"/>
      <c r="Q19" s="1352"/>
      <c r="R19" s="705"/>
      <c r="S19" s="706"/>
      <c r="T19" s="705"/>
      <c r="U19" s="706"/>
      <c r="V19" s="705"/>
      <c r="W19" s="706"/>
      <c r="X19" s="1355"/>
      <c r="Y19" s="3682"/>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6" t="str">
        <f>A39</f>
        <v>估价对象XX用房的比较价值（楼面单价，元/平方米）</v>
      </c>
      <c r="Q39" s="3677"/>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估价对象为北京市房地产，为所有。根据《国有土地使用证》[]，估价对象（分摊）出让国有建设用地使用权面积为292.21平方米，建筑面积为160.2平方米。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估价对象为北京市房地产,属开发建设的，该项目尚在开发建设中。根据《国有土地使用证》[]，估价对象（分摊）出让国有建设用地使用权面积为292.21平方米，规划建筑面积为160.2平方米。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45103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9"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2"/>
      <c r="Q15" s="1352"/>
      <c r="R15" s="705"/>
      <c r="S15" s="706"/>
      <c r="T15" s="705"/>
      <c r="U15" s="706"/>
      <c r="V15" s="705"/>
      <c r="W15" s="706"/>
      <c r="X15" s="1355"/>
      <c r="Y15" s="3682"/>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682"/>
      <c r="Q17" s="1352"/>
      <c r="R17" s="705"/>
      <c r="S17" s="706"/>
      <c r="T17" s="705"/>
      <c r="U17" s="706"/>
      <c r="V17" s="705"/>
      <c r="W17" s="706"/>
      <c r="X17" s="1355"/>
      <c r="Y17" s="3682"/>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682"/>
      <c r="Q19" s="1352"/>
      <c r="R19" s="705"/>
      <c r="S19" s="706"/>
      <c r="T19" s="705"/>
      <c r="U19" s="706"/>
      <c r="V19" s="705"/>
      <c r="W19" s="706"/>
      <c r="X19" s="1355"/>
      <c r="Y19" s="3682"/>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6" t="str">
        <f>A37</f>
        <v>估价对象XX用房的比较价值（楼面单价，元/平方米）</v>
      </c>
      <c r="Q37" s="3677"/>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30"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30"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30" s="108" customFormat="1" ht="15.75" thickBot="1">
      <c r="A7" s="362" t="s">
        <v>1679</v>
      </c>
      <c r="B7" s="363"/>
      <c r="C7" s="364">
        <f>'数据-取费表'!B2</f>
        <v>45103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79"/>
      <c r="Q10" s="1343" t="str">
        <f t="shared" si="6"/>
        <v>土地使用年限（年）</v>
      </c>
      <c r="R10" s="701" t="s">
        <v>14</v>
      </c>
      <c r="S10" s="702">
        <f t="shared" si="0"/>
        <v>101</v>
      </c>
      <c r="T10" s="701" t="s">
        <v>14</v>
      </c>
      <c r="U10" s="702">
        <f t="shared" si="1"/>
        <v>101</v>
      </c>
      <c r="V10" s="701" t="s">
        <v>14</v>
      </c>
      <c r="W10" s="702">
        <f t="shared" si="2"/>
        <v>101</v>
      </c>
      <c r="X10" s="703"/>
      <c r="Y10" s="3554"/>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9"/>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682"/>
      <c r="Q20" s="1352"/>
      <c r="R20" s="705"/>
      <c r="S20" s="706"/>
      <c r="T20" s="705"/>
      <c r="U20" s="706"/>
      <c r="V20" s="705"/>
      <c r="W20" s="706"/>
      <c r="X20" s="1355"/>
      <c r="Y20" s="3682"/>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682"/>
      <c r="Q24" s="1352"/>
      <c r="R24" s="705"/>
      <c r="S24" s="706"/>
      <c r="T24" s="705"/>
      <c r="U24" s="706"/>
      <c r="V24" s="705"/>
      <c r="W24" s="706"/>
      <c r="X24" s="1355"/>
      <c r="Y24" s="3682"/>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79" t="str">
        <f>A46</f>
        <v>成交单价</v>
      </c>
      <c r="Q46" s="3679"/>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9" t="str">
        <f>A47</f>
        <v>比较价值（元/平方米）</v>
      </c>
      <c r="Q47" s="3679"/>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6" t="str">
        <f>A48</f>
        <v>估价对象XX用房的比较价值（楼面单价，元/平方米）</v>
      </c>
      <c r="Q48" s="3677"/>
      <c r="R48" s="3740" t="e">
        <f>ROUND(IF(D47="简单平均",AVERAGE(R47:W47),R47*F47+T47*H47+V47*J47),0)</f>
        <v>#DIV/0!</v>
      </c>
      <c r="S48" s="3740"/>
      <c r="T48" s="3740"/>
      <c r="U48" s="3740"/>
      <c r="V48" s="3740"/>
      <c r="W48" s="374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4" t="s">
        <v>1887</v>
      </c>
      <c r="H55" s="374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160.19999999999999</v>
      </c>
      <c r="F56" s="886" t="e">
        <f t="shared" ref="F56:F64" si="15">ROUND(B56*E56/10000,0)</f>
        <v>#DIV/0!</v>
      </c>
      <c r="G56" s="3690"/>
      <c r="H56" s="367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160.19999999999999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45103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79"/>
      <c r="Q10" s="1343" t="str">
        <f t="shared" si="6"/>
        <v>土地使用年限（年）</v>
      </c>
      <c r="R10" s="701" t="s">
        <v>14</v>
      </c>
      <c r="S10" s="702">
        <f t="shared" si="0"/>
        <v>101</v>
      </c>
      <c r="T10" s="701" t="s">
        <v>14</v>
      </c>
      <c r="U10" s="702">
        <f t="shared" si="1"/>
        <v>101</v>
      </c>
      <c r="V10" s="701" t="s">
        <v>14</v>
      </c>
      <c r="W10" s="702">
        <f t="shared" si="2"/>
        <v>101</v>
      </c>
      <c r="X10" s="703"/>
      <c r="Y10" s="3554"/>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682"/>
      <c r="Q20" s="1352"/>
      <c r="R20" s="705"/>
      <c r="S20" s="706"/>
      <c r="T20" s="705"/>
      <c r="U20" s="706"/>
      <c r="V20" s="705"/>
      <c r="W20" s="706"/>
      <c r="X20" s="1355"/>
      <c r="Y20" s="3682"/>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9" t="str">
        <f>A42</f>
        <v>比较价值（元/平方米）</v>
      </c>
      <c r="Q42" s="3679"/>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6" t="str">
        <f>A43</f>
        <v>估价对象XX用房的比较价值（楼面单价，元/平方米）</v>
      </c>
      <c r="Q43" s="3677"/>
      <c r="R43" s="3740" t="e">
        <f>ROUND(IF(D42="简单平均",AVERAGE(R42:W42),R42*F42+T42*H42+V42*J42),0)</f>
        <v>#DIV/0!</v>
      </c>
      <c r="S43" s="3740"/>
      <c r="T43" s="3740"/>
      <c r="U43" s="3740"/>
      <c r="V43" s="3740"/>
      <c r="W43" s="374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4" t="s">
        <v>1887</v>
      </c>
      <c r="H50" s="3741"/>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160.19999999999999</v>
      </c>
      <c r="F51" s="639" t="e">
        <f t="shared" ref="F51:F60" si="15">ROUND(B51*E51/10000,0)</f>
        <v>#DIV/0!</v>
      </c>
      <c r="G51" s="3690"/>
      <c r="H51" s="367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292.20999999999998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1789</v>
      </c>
      <c r="C2" s="2144" t="s">
        <v>2074</v>
      </c>
      <c r="D2" s="2144" t="s">
        <v>2075</v>
      </c>
      <c r="E2" s="2611">
        <f ca="1">SUMIF(E6:E13,"&lt;&gt;#ref!",E6:E13)</f>
        <v>292.20999999999998</v>
      </c>
      <c r="F2" s="2792"/>
      <c r="G2" s="2792"/>
      <c r="H2" s="2792"/>
      <c r="I2" s="2792"/>
      <c r="J2" s="2792"/>
      <c r="K2" s="2792"/>
      <c r="L2" s="2792"/>
      <c r="M2" s="2792"/>
      <c r="N2" s="2792"/>
      <c r="O2" s="2792"/>
      <c r="P2" s="2792"/>
    </row>
    <row r="3" spans="1:16" ht="15.75">
      <c r="A3" s="2144" t="s">
        <v>2076</v>
      </c>
      <c r="B3" s="2601">
        <f ca="1">ROUND(B2*10000/E2,0)</f>
        <v>61223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1789</v>
      </c>
      <c r="C6" s="2144" t="s">
        <v>2074</v>
      </c>
      <c r="D6" s="2792"/>
      <c r="E6" s="2611">
        <f ca="1">SUMIF(INDIRECT("'"&amp;A6&amp;"'"&amp;"!C:C"),"建筑面积",INDIRECT("'"&amp;A6&amp;"'"&amp;"!D:D"))</f>
        <v>292.20999999999998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62" sqref="H62:H6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167166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1847</v>
      </c>
      <c r="D5" s="211" t="s">
        <v>1469</v>
      </c>
      <c r="E5" s="212" t="s">
        <v>1470</v>
      </c>
      <c r="F5" s="212" t="s">
        <v>1471</v>
      </c>
      <c r="G5" s="213"/>
    </row>
    <row r="6" spans="1:9" s="214" customFormat="1" ht="13.5" customHeight="1">
      <c r="A6" s="778" t="s">
        <v>1472</v>
      </c>
      <c r="B6" s="215" t="s">
        <v>1473</v>
      </c>
      <c r="C6" s="216">
        <f>基准地价修正!B2</f>
        <v>1789</v>
      </c>
      <c r="D6" s="217"/>
      <c r="E6" s="218"/>
      <c r="F6" s="218"/>
      <c r="G6" s="219"/>
    </row>
    <row r="7" spans="1:9" s="214" customFormat="1" ht="13.5" customHeight="1">
      <c r="A7" s="778" t="s">
        <v>1474</v>
      </c>
      <c r="B7" s="215" t="s">
        <v>1475</v>
      </c>
      <c r="C7" s="220">
        <f>ROUND(C6*F7,0)</f>
        <v>55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v>
      </c>
      <c r="D8" s="222"/>
      <c r="E8" s="220"/>
      <c r="F8" s="221"/>
      <c r="G8" s="1856" t="s">
        <v>3399</v>
      </c>
    </row>
    <row r="9" spans="1:9" s="214" customFormat="1" ht="13.5" customHeight="1">
      <c r="A9" s="779" t="s">
        <v>355</v>
      </c>
      <c r="B9" s="224" t="s">
        <v>1478</v>
      </c>
      <c r="C9" s="225">
        <f ca="1">ROUND(D9*E9/10000,0)</f>
        <v>3</v>
      </c>
      <c r="D9" s="845">
        <f ca="1">IF(B1="",'数据-汇总表'!E5,IF(INDIRECT("'数据-取费表'!c"&amp;$G$1)="住宅",INDIRECT("'数据-取费表'!k"&amp;$G$1),0))</f>
        <v>160.19999999999999</v>
      </c>
      <c r="E9" s="225">
        <f>'数据-取费表'!B27</f>
        <v>200</v>
      </c>
      <c r="F9" s="221"/>
      <c r="G9" s="1857" t="s">
        <v>3400</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160.19999999999999</v>
      </c>
      <c r="E19" s="211">
        <f>'数据-取费表'!B31</f>
        <v>200</v>
      </c>
      <c r="F19" s="231"/>
      <c r="G19" s="1856" t="s">
        <v>3401</v>
      </c>
    </row>
    <row r="20" spans="1:7" s="214" customFormat="1" ht="13.5" customHeight="1">
      <c r="A20" s="255" t="s">
        <v>1493</v>
      </c>
      <c r="B20" s="210" t="s">
        <v>1494</v>
      </c>
      <c r="C20" s="232">
        <f ca="1">ROUND((C5+C19)*F20,0)</f>
        <v>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67</v>
      </c>
      <c r="D22" s="235">
        <f ca="1">C26</f>
        <v>5.0000000000000001E-4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380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380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160.19999999999999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5.0000000000000001E-4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5.0000000000000001E-4</v>
      </c>
      <c r="D44" s="238"/>
      <c r="E44" s="238"/>
      <c r="F44" s="239"/>
      <c r="G44" s="3649"/>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101</v>
      </c>
      <c r="D49" s="232"/>
      <c r="E49" s="232"/>
      <c r="F49" s="264"/>
      <c r="G49" s="234" t="s">
        <v>1554</v>
      </c>
    </row>
    <row r="50" spans="1:7" s="258" customFormat="1" ht="24">
      <c r="A50" s="255" t="s">
        <v>1555</v>
      </c>
      <c r="B50" s="210" t="s">
        <v>1556</v>
      </c>
      <c r="C50" s="232"/>
      <c r="D50" s="232"/>
      <c r="E50" s="232"/>
      <c r="F50" s="264">
        <f>IF('数据-取费表'!B24=0,'数据-取费表'!N16,1)</f>
        <v>0.96</v>
      </c>
      <c r="G50" s="247" t="s">
        <v>1557</v>
      </c>
    </row>
    <row r="51" spans="1:7" ht="16.5" customHeight="1">
      <c r="A51" s="255" t="s">
        <v>1558</v>
      </c>
      <c r="B51" s="210" t="s">
        <v>1559</v>
      </c>
      <c r="C51" s="232">
        <f ca="1">ROUND(C49*F50,0)</f>
        <v>97</v>
      </c>
      <c r="D51" s="232"/>
      <c r="E51" s="232"/>
      <c r="F51" s="264"/>
      <c r="G51" s="234" t="s">
        <v>1560</v>
      </c>
    </row>
    <row r="52" spans="1:7" s="208" customFormat="1" ht="16.5" thickBot="1">
      <c r="A52" s="265" t="s">
        <v>1561</v>
      </c>
      <c r="B52" s="266"/>
      <c r="C52" s="267">
        <f ca="1">C31+C51</f>
        <v>2678</v>
      </c>
      <c r="D52" s="266"/>
      <c r="E52" s="266"/>
      <c r="F52" s="266"/>
      <c r="G52" s="268"/>
    </row>
    <row r="55" spans="1:7" ht="15">
      <c r="B55" s="270" t="s">
        <v>1562</v>
      </c>
      <c r="C55" s="271"/>
    </row>
    <row r="56" spans="1:7">
      <c r="B56" s="273" t="s">
        <v>802</v>
      </c>
      <c r="C56" s="275">
        <f ca="1">1-C57</f>
        <v>0.96399999999999997</v>
      </c>
    </row>
    <row r="57" spans="1:7">
      <c r="B57" s="273" t="s">
        <v>803</v>
      </c>
      <c r="C57" s="274">
        <f ca="1">ROUND(C51/C52,3)</f>
        <v>3.5999999999999997E-2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33" sqref="C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292.20999999999998</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1789</v>
      </c>
      <c r="C2" s="1998" t="s">
        <v>1935</v>
      </c>
      <c r="D2" s="1999" t="s">
        <v>1936</v>
      </c>
      <c r="E2" s="3421" t="s">
        <v>3385</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Ⅱ—01</v>
      </c>
      <c r="J2" s="2001"/>
      <c r="K2" s="1119"/>
      <c r="L2" s="2002" t="s">
        <v>1939</v>
      </c>
      <c r="M2" s="864">
        <f>SUMPRODUCT((区片价!B10:B29=I2)*(区片价!C3:G3=E2)*(区片价!C10:G29))</f>
        <v>31320</v>
      </c>
      <c r="N2" s="866">
        <f>SUMPRODUCT((因素修正幅度!B10:B29=I2)*(因素修正幅度!C3:G3=E2)*(因素修正幅度!C10:G29))</f>
        <v>7.9000000000000001E-2</v>
      </c>
      <c r="O2" s="1119"/>
      <c r="P2" s="1119"/>
      <c r="Q2" s="1119"/>
      <c r="R2" s="1212">
        <v>1</v>
      </c>
      <c r="S2" s="3360">
        <f>ROUND(SUMPRODUCT((B106:B110=R2)*(C105:N105=G2)*(C106:N110)),4)</f>
        <v>1.5206</v>
      </c>
      <c r="T2" s="3360">
        <f t="shared" ref="T2:T16" si="0">ROUND($C$5*$C$22*$C$23*$C$24*S2*$C$28,0)</f>
        <v>78210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61223</v>
      </c>
      <c r="C3" s="1998" t="s">
        <v>1941</v>
      </c>
      <c r="D3" s="1999" t="s">
        <v>1942</v>
      </c>
      <c r="E3" s="3419" t="s">
        <v>3388</v>
      </c>
      <c r="F3" s="2003" t="s">
        <v>3389</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62091</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53651</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45564</v>
      </c>
      <c r="D5" s="1339">
        <f>ROUND(C6*C17+C20,0)</f>
        <v>31320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48548</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31320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46270</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3243</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8"/>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1982</v>
      </c>
      <c r="C13" s="755">
        <f>ROUND(C16*D16*E16*F16*G16*H16*I16*J16,4)</f>
        <v>1.4548000000000001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t="s">
        <v>3390</v>
      </c>
      <c r="D15" s="2043" t="s">
        <v>3390</v>
      </c>
      <c r="E15" s="2044" t="s">
        <v>3391</v>
      </c>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1.1000000000000001</v>
      </c>
      <c r="E16" s="3317">
        <v>1.1499999999999999</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3" t="s">
        <v>3260</v>
      </c>
      <c r="B20" s="167" t="s">
        <v>1994</v>
      </c>
      <c r="C20" s="3324">
        <f>ROUND(IF(F21="与级别开发程度一致",0,(G21-E21)/C21),0)</f>
        <v>0</v>
      </c>
      <c r="D20" s="3340" t="s">
        <v>1998</v>
      </c>
      <c r="E20" s="3341"/>
      <c r="F20" s="3769" t="s">
        <v>1995</v>
      </c>
      <c r="G20" s="3770"/>
      <c r="H20" s="3325" t="s">
        <v>3451</v>
      </c>
      <c r="I20" s="3325" t="s">
        <v>3452</v>
      </c>
      <c r="J20" s="3326" t="s">
        <v>3453</v>
      </c>
      <c r="K20" s="2046" t="s">
        <v>3454</v>
      </c>
      <c r="L20" s="2046" t="s">
        <v>3455</v>
      </c>
      <c r="M20" s="2046" t="s">
        <v>3456</v>
      </c>
      <c r="N20" s="2046" t="s">
        <v>3457</v>
      </c>
      <c r="O20" s="2047" t="s">
        <v>3458</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4"/>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3392</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3" t="s">
        <v>2002</v>
      </c>
      <c r="E23" s="761">
        <v>44197</v>
      </c>
      <c r="F23" s="2053" t="s">
        <v>2003</v>
      </c>
      <c r="G23" s="762">
        <f>'数据-取费表'!B2</f>
        <v>45103</v>
      </c>
      <c r="H23" s="3342" t="s">
        <v>3262</v>
      </c>
      <c r="I23" s="3343" t="str">
        <f>IF(H23="季度增幅（自定义）",SUMIF(N25:N28,E2,O25:O28),"")</f>
        <v/>
      </c>
      <c r="J23" s="3445" t="s">
        <v>3261</v>
      </c>
      <c r="K23" s="1125"/>
      <c r="L23" s="2054" t="s">
        <v>2004</v>
      </c>
      <c r="M23" s="1328">
        <f>ROUND(SUMIF(地价!B2:G2,E2,地价!B16:G16),0)</f>
        <v>687</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0.99339999999999995</v>
      </c>
      <c r="D24" s="2059" t="s">
        <v>2007</v>
      </c>
      <c r="E24" s="1335">
        <f>存贷款利率!E23/100</f>
        <v>4.3499999999999997E-2</v>
      </c>
      <c r="F24" s="2059" t="s">
        <v>1999</v>
      </c>
      <c r="G24" s="768">
        <f>SUMIF(M30:Q30,E2,M33:Q33)</f>
        <v>0.05</v>
      </c>
      <c r="H24" s="2059" t="s">
        <v>2008</v>
      </c>
      <c r="I24" s="769">
        <f>SUMIF('数据-取费表'!C6:C15,E2,'数据-取费表'!F6:F15)/COUNTIF('数据-取费表'!C6:C15,E2)</f>
        <v>66.38</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3263</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1.0605</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1789</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61217</v>
      </c>
      <c r="D33" s="2097">
        <f>'数据-基础表'!A3</f>
        <v>292.20999999999998</v>
      </c>
      <c r="E33" s="773">
        <f>ROUND(C33*D33/10000,0)</f>
        <v>1789</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15304</v>
      </c>
      <c r="D34" s="2102"/>
      <c r="E34" s="773">
        <f>ROUND(IF(B25="楼层修正",SUM(V2:V16)*M40,C34*D34/10000),0)</f>
        <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7"/>
      <c r="B37" s="2112" t="s">
        <v>2036</v>
      </c>
      <c r="C37" s="175">
        <f>ROUND(D5*C22*C23*C24*C28*F37,0)</f>
        <v>24748</v>
      </c>
      <c r="D37" s="2097"/>
      <c r="E37" s="171">
        <f>ROUND(C37*D37/10000,0)</f>
        <v>0</v>
      </c>
      <c r="F37" s="171">
        <f>SUMIF(修正!A57:A68,G2,修正!B57:B68)</f>
        <v>0.7</v>
      </c>
      <c r="G37" s="171">
        <f>ROUND(IF(E2="工业",C37*$M$42,C37*$M$41),0)</f>
        <v>6187</v>
      </c>
      <c r="H37" s="171">
        <f>D37</f>
        <v>0</v>
      </c>
      <c r="I37" s="171">
        <f>ROUND(G37*H37/10000,0)</f>
        <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8"/>
      <c r="B38" s="2040" t="s">
        <v>2037</v>
      </c>
      <c r="C38" s="175">
        <f>ROUND(D5*C22*C23*C24*C28*F38,0)</f>
        <v>14142</v>
      </c>
      <c r="D38" s="2097"/>
      <c r="E38" s="171">
        <f t="shared" ref="E38:E42" si="4">ROUND(C38*D38/10000,0)</f>
        <v>0</v>
      </c>
      <c r="F38" s="171">
        <f>SUMIF(修正!A57:A68,G2,修正!C57:C68)</f>
        <v>0.4</v>
      </c>
      <c r="G38" s="171">
        <f>ROUND(IF(E2="工业",C38*$M$42,C38*$M$41),0)</f>
        <v>3536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0" t="s">
        <v>3265</v>
      </c>
      <c r="C39" s="175">
        <f>ROUND(D5*C22*C23*C24*C28*F39,0)</f>
        <v>10606</v>
      </c>
      <c r="D39" s="2097"/>
      <c r="E39" s="171">
        <f t="shared" si="4"/>
        <v>0</v>
      </c>
      <c r="F39" s="171">
        <f>SUMIF(修正!A57:A68,G2,修正!D57:D68)</f>
        <v>0.3</v>
      </c>
      <c r="G39" s="171">
        <f>ROUND(IF(E2="工业",C39*$M$42,C39*$M$41),0)</f>
        <v>2652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10606</v>
      </c>
      <c r="D40" s="2097"/>
      <c r="E40" s="171">
        <f t="shared" si="4"/>
        <v>0</v>
      </c>
      <c r="F40" s="175">
        <f>SUMIF(修正!A57:A68,G2,修正!E57:E68)</f>
        <v>0.3</v>
      </c>
      <c r="G40" s="171">
        <f>ROUND(IF(E2="工业",C40*$M$42,C40*$M$41),0)</f>
        <v>2652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1.0605</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3449" t="s">
        <v>3394</v>
      </c>
      <c r="D72" s="1065">
        <f t="shared" ref="D72:D80" si="17">SUMIF($J$71:$N$71,C72,J72:N72)</f>
        <v>7.9000000000000008E-3</v>
      </c>
      <c r="E72" s="744">
        <f>ROUND(SUM(D72:D80),4)</f>
        <v>6.0499999999999998E-2</v>
      </c>
      <c r="F72" s="1814">
        <f>IF(E2="住宅",SUMIF(L1:L12,G2,N1:N12),"——")</f>
        <v>7.9000000000000001E-2</v>
      </c>
      <c r="G72" s="1063">
        <f>H72</f>
        <v>7.9000000000000008E-3</v>
      </c>
      <c r="H72" s="1066">
        <f t="shared" ref="H72:H80" si="18">IFERROR(ROUNDDOWN($F$72*I72/2,4),"——")</f>
        <v>7.9000000000000008E-3</v>
      </c>
      <c r="I72" s="3366">
        <v>0.2</v>
      </c>
      <c r="J72" s="1064">
        <f t="shared" ref="J72:J80" si="19">K72+$G72</f>
        <v>1.5800000000000002E-2</v>
      </c>
      <c r="K72" s="1064">
        <f t="shared" ref="K72:K80" si="20">$L72+$G72</f>
        <v>7.9000000000000008E-3</v>
      </c>
      <c r="L72" s="1064">
        <v>0</v>
      </c>
      <c r="M72" s="1064">
        <f t="shared" ref="M72:N80" si="21">L72-$G72</f>
        <v>-7.9000000000000008E-3</v>
      </c>
      <c r="N72" s="1064">
        <f t="shared" si="21"/>
        <v>-1.5800000000000002E-2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3449" t="s">
        <v>3395</v>
      </c>
      <c r="D73" s="1065">
        <f t="shared" si="17"/>
        <v>2.0400000000000001E-2</v>
      </c>
      <c r="E73" s="747"/>
      <c r="F73" s="1814"/>
      <c r="G73" s="1063">
        <f t="shared" ref="G73:G80" si="22">H73</f>
        <v>1.0200000000000001E-2</v>
      </c>
      <c r="H73" s="1066">
        <f t="shared" si="18"/>
        <v>1.0200000000000001E-2</v>
      </c>
      <c r="I73" s="3366">
        <v>0.26</v>
      </c>
      <c r="J73" s="1064">
        <f t="shared" si="19"/>
        <v>2.0400000000000001E-2</v>
      </c>
      <c r="K73" s="1064">
        <f t="shared" si="20"/>
        <v>1.0200000000000001E-2</v>
      </c>
      <c r="L73" s="1064">
        <v>0</v>
      </c>
      <c r="M73" s="1064">
        <f t="shared" si="21"/>
        <v>-1.0200000000000001E-2</v>
      </c>
      <c r="N73" s="1064">
        <f t="shared" si="21"/>
        <v>-2.0400000000000001E-2</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3449" t="s">
        <v>3396</v>
      </c>
      <c r="D74" s="1065">
        <f t="shared" si="17"/>
        <v>3.8999999999999998E-3</v>
      </c>
      <c r="E74" s="747"/>
      <c r="F74" s="1814"/>
      <c r="G74" s="1063">
        <f t="shared" si="22"/>
        <v>3.8999999999999998E-3</v>
      </c>
      <c r="H74" s="1066">
        <f t="shared" si="18"/>
        <v>3.8999999999999998E-3</v>
      </c>
      <c r="I74" s="3366">
        <v>0.1</v>
      </c>
      <c r="J74" s="1064">
        <f t="shared" si="19"/>
        <v>7.7999999999999996E-3</v>
      </c>
      <c r="K74" s="1064">
        <f t="shared" si="20"/>
        <v>3.8999999999999998E-3</v>
      </c>
      <c r="L74" s="1064">
        <v>0</v>
      </c>
      <c r="M74" s="1064">
        <f t="shared" si="21"/>
        <v>-3.8999999999999998E-3</v>
      </c>
      <c r="N74" s="1064">
        <f t="shared" si="21"/>
        <v>-7.7999999999999996E-3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3449" t="s">
        <v>3397</v>
      </c>
      <c r="D75" s="1065">
        <f t="shared" si="17"/>
        <v>0</v>
      </c>
      <c r="E75" s="747"/>
      <c r="F75" s="1814"/>
      <c r="G75" s="1063">
        <f t="shared" si="22"/>
        <v>1.9E-3</v>
      </c>
      <c r="H75" s="1066">
        <f t="shared" si="18"/>
        <v>1.9E-3</v>
      </c>
      <c r="I75" s="3366">
        <v>0.05</v>
      </c>
      <c r="J75" s="1064">
        <f t="shared" si="19"/>
        <v>3.8E-3</v>
      </c>
      <c r="K75" s="1064">
        <f t="shared" si="20"/>
        <v>1.9E-3</v>
      </c>
      <c r="L75" s="1064">
        <v>0</v>
      </c>
      <c r="M75" s="1064">
        <f t="shared" si="21"/>
        <v>-1.9E-3</v>
      </c>
      <c r="N75" s="1064">
        <f t="shared" si="21"/>
        <v>-3.8E-3</v>
      </c>
      <c r="O75" s="1119"/>
      <c r="P75" s="1119"/>
      <c r="Q75" s="1996"/>
      <c r="Z75" s="1997"/>
      <c r="AA75" s="2052"/>
      <c r="AG75" s="1121"/>
      <c r="AK75" s="2052"/>
    </row>
    <row r="76" spans="1:37" ht="25.5">
      <c r="A76" s="2129" t="s">
        <v>2059</v>
      </c>
      <c r="B76" s="1326" t="str">
        <f>估价对象房地状况!C21</f>
        <v>估价对象所在区域公共配套设施齐备情况</v>
      </c>
      <c r="C76" s="3449" t="s">
        <v>3398</v>
      </c>
      <c r="D76" s="1065">
        <f t="shared" si="17"/>
        <v>6.1999999999999998E-3</v>
      </c>
      <c r="E76" s="747"/>
      <c r="F76" s="1814"/>
      <c r="G76" s="1063">
        <f t="shared" si="22"/>
        <v>3.0999999999999999E-3</v>
      </c>
      <c r="H76" s="1066">
        <f t="shared" si="18"/>
        <v>3.0999999999999999E-3</v>
      </c>
      <c r="I76" s="3366">
        <v>0.08</v>
      </c>
      <c r="J76" s="1064">
        <f t="shared" si="19"/>
        <v>6.1999999999999998E-3</v>
      </c>
      <c r="K76" s="1064">
        <f t="shared" si="20"/>
        <v>3.0999999999999999E-3</v>
      </c>
      <c r="L76" s="1064">
        <v>0</v>
      </c>
      <c r="M76" s="1064">
        <f t="shared" si="21"/>
        <v>-3.0999999999999999E-3</v>
      </c>
      <c r="N76" s="1064">
        <f t="shared" si="21"/>
        <v>-6.1999999999999998E-3</v>
      </c>
      <c r="O76" s="1119"/>
      <c r="P76" s="1119"/>
      <c r="Z76" s="1997"/>
      <c r="AA76" s="2052"/>
      <c r="AG76" s="1121"/>
      <c r="AK76" s="2052"/>
    </row>
    <row r="77" spans="1:37" ht="25.5">
      <c r="A77" s="2129" t="s">
        <v>2060</v>
      </c>
      <c r="B77" s="1326" t="str">
        <f>估价对象房地状况!C22</f>
        <v>估价对象所在区域基础设施水平</v>
      </c>
      <c r="C77" s="3449" t="s">
        <v>3398</v>
      </c>
      <c r="D77" s="1065">
        <f t="shared" si="17"/>
        <v>7.0000000000000001E-3</v>
      </c>
      <c r="E77" s="747"/>
      <c r="F77" s="1814"/>
      <c r="G77" s="1063">
        <f t="shared" si="22"/>
        <v>3.5000000000000001E-3</v>
      </c>
      <c r="H77" s="1066">
        <f t="shared" si="18"/>
        <v>3.5000000000000001E-3</v>
      </c>
      <c r="I77" s="3366">
        <v>0.09</v>
      </c>
      <c r="J77" s="1064">
        <f t="shared" si="19"/>
        <v>7.0000000000000001E-3</v>
      </c>
      <c r="K77" s="1064">
        <f t="shared" si="20"/>
        <v>3.5000000000000001E-3</v>
      </c>
      <c r="L77" s="1064">
        <v>0</v>
      </c>
      <c r="M77" s="1064">
        <f t="shared" si="21"/>
        <v>-3.5000000000000001E-3</v>
      </c>
      <c r="N77" s="1064">
        <f t="shared" si="21"/>
        <v>-7.0000000000000001E-3</v>
      </c>
      <c r="O77" s="1119"/>
      <c r="P77" s="1119"/>
      <c r="Z77" s="1997"/>
      <c r="AA77" s="2052"/>
      <c r="AG77" s="1121"/>
      <c r="AK77" s="2052"/>
    </row>
    <row r="78" spans="1:37" ht="24">
      <c r="A78" s="2129" t="s">
        <v>2057</v>
      </c>
      <c r="B78" s="2135" t="s">
        <v>2058</v>
      </c>
      <c r="C78" s="3449" t="s">
        <v>3396</v>
      </c>
      <c r="D78" s="1065">
        <f t="shared" si="17"/>
        <v>1.9E-3</v>
      </c>
      <c r="E78" s="747"/>
      <c r="F78" s="1814"/>
      <c r="G78" s="1063">
        <f t="shared" si="22"/>
        <v>1.9E-3</v>
      </c>
      <c r="H78" s="1066">
        <f t="shared" si="18"/>
        <v>1.9E-3</v>
      </c>
      <c r="I78" s="3366">
        <v>0.05</v>
      </c>
      <c r="J78" s="1064">
        <f t="shared" si="19"/>
        <v>3.8E-3</v>
      </c>
      <c r="K78" s="1064">
        <f t="shared" si="20"/>
        <v>1.9E-3</v>
      </c>
      <c r="L78" s="1064">
        <v>0</v>
      </c>
      <c r="M78" s="1064">
        <f t="shared" si="21"/>
        <v>-1.9E-3</v>
      </c>
      <c r="N78" s="1064">
        <f t="shared" si="21"/>
        <v>-3.8E-3</v>
      </c>
      <c r="O78" s="1996"/>
      <c r="P78" s="1996"/>
      <c r="Z78" s="1997"/>
      <c r="AA78" s="2052"/>
      <c r="AG78" s="1121"/>
      <c r="AK78" s="2052"/>
    </row>
    <row r="79" spans="1:37" ht="25.5">
      <c r="A79" s="2129" t="s">
        <v>2061</v>
      </c>
      <c r="B79" s="2132" t="str">
        <f>估价对象房地状况!C20</f>
        <v>区域自然环境：；人文环境；综合评价环境状况一般</v>
      </c>
      <c r="C79" s="3449" t="s">
        <v>3398</v>
      </c>
      <c r="D79" s="1065">
        <f t="shared" si="17"/>
        <v>9.4000000000000004E-3</v>
      </c>
      <c r="E79" s="747"/>
      <c r="F79" s="1814"/>
      <c r="G79" s="1063">
        <f t="shared" si="22"/>
        <v>4.7000000000000002E-3</v>
      </c>
      <c r="H79" s="1066">
        <f t="shared" si="18"/>
        <v>4.7000000000000002E-3</v>
      </c>
      <c r="I79" s="3366">
        <v>0.12</v>
      </c>
      <c r="J79" s="1064">
        <f t="shared" si="19"/>
        <v>9.4000000000000004E-3</v>
      </c>
      <c r="K79" s="1064">
        <f t="shared" si="20"/>
        <v>4.7000000000000002E-3</v>
      </c>
      <c r="L79" s="1064">
        <v>0</v>
      </c>
      <c r="M79" s="1064">
        <f t="shared" si="21"/>
        <v>-4.7000000000000002E-3</v>
      </c>
      <c r="N79" s="1064">
        <f t="shared" si="21"/>
        <v>-9.4000000000000004E-3</v>
      </c>
      <c r="Z79" s="1997"/>
      <c r="AA79" s="2052"/>
      <c r="AG79" s="1121"/>
      <c r="AK79" s="2052"/>
    </row>
    <row r="80" spans="1:37" ht="24.75" thickBot="1">
      <c r="A80" s="2137" t="s">
        <v>2068</v>
      </c>
      <c r="B80" s="2141"/>
      <c r="C80" s="3449" t="s">
        <v>3398</v>
      </c>
      <c r="D80" s="1065">
        <f t="shared" si="17"/>
        <v>3.8E-3</v>
      </c>
      <c r="E80" s="748"/>
      <c r="F80" s="1814"/>
      <c r="G80" s="1063">
        <f t="shared" si="22"/>
        <v>1.9E-3</v>
      </c>
      <c r="H80" s="1066">
        <f t="shared" si="18"/>
        <v>1.9E-3</v>
      </c>
      <c r="I80" s="3367">
        <v>0.05</v>
      </c>
      <c r="J80" s="1064">
        <f t="shared" si="19"/>
        <v>3.8E-3</v>
      </c>
      <c r="K80" s="1064">
        <f t="shared" si="20"/>
        <v>1.9E-3</v>
      </c>
      <c r="L80" s="1064">
        <v>0</v>
      </c>
      <c r="M80" s="1064">
        <f t="shared" si="21"/>
        <v>-1.9E-3</v>
      </c>
      <c r="N80" s="1064">
        <f t="shared" si="21"/>
        <v>-3.8E-3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3276</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5" t="s">
        <v>3300</v>
      </c>
      <c r="B103" s="3765"/>
      <c r="C103" s="3765"/>
      <c r="D103" s="3765"/>
      <c r="E103" s="3765"/>
      <c r="F103" s="3765"/>
      <c r="G103" s="3765"/>
      <c r="H103" s="3765"/>
      <c r="I103" s="3765"/>
      <c r="J103" s="3765"/>
      <c r="K103" s="3389"/>
      <c r="L103" s="3389"/>
      <c r="M103" s="3389"/>
      <c r="N103" s="3389"/>
    </row>
    <row r="104" spans="1:14">
      <c r="A104" s="3766" t="s">
        <v>3301</v>
      </c>
      <c r="B104" s="3766" t="s">
        <v>3302</v>
      </c>
      <c r="C104" s="3390" t="s">
        <v>3303</v>
      </c>
      <c r="D104" s="3391"/>
      <c r="E104" s="3391"/>
      <c r="F104" s="3391"/>
      <c r="G104" s="3391"/>
      <c r="H104" s="3391"/>
      <c r="I104" s="3391"/>
      <c r="J104" s="3392"/>
      <c r="K104" s="3393"/>
      <c r="L104" s="3393"/>
      <c r="M104" s="3393"/>
      <c r="N104" s="3393"/>
    </row>
    <row r="105" spans="1:14">
      <c r="A105" s="3766"/>
      <c r="B105" s="3766"/>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2"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5" t="s">
        <v>3317</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0.93330000000000002</v>
      </c>
      <c r="E116" s="1999" t="s">
        <v>3320</v>
      </c>
      <c r="F116" s="3401" t="str">
        <f>E2</f>
        <v>住宅</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0" t="s">
        <v>2611</v>
      </c>
      <c r="B20" s="3775" t="s">
        <v>2632</v>
      </c>
      <c r="C20" s="3102" t="s">
        <v>2443</v>
      </c>
      <c r="D20" s="3103"/>
      <c r="E20" s="3104">
        <v>1</v>
      </c>
      <c r="F20" s="3105" t="s">
        <v>2444</v>
      </c>
      <c r="G20" s="3105"/>
    </row>
    <row r="21" spans="1:13" ht="19.5" customHeight="1">
      <c r="A21" s="3781"/>
      <c r="B21" s="3774"/>
      <c r="C21" s="3106" t="s">
        <v>2445</v>
      </c>
      <c r="D21" s="3107"/>
      <c r="E21" s="3108">
        <v>1</v>
      </c>
      <c r="F21" s="3105" t="s">
        <v>2446</v>
      </c>
      <c r="G21" s="3105"/>
    </row>
    <row r="22" spans="1:13" ht="19.5" customHeight="1">
      <c r="A22" s="3781"/>
      <c r="B22" s="3774"/>
      <c r="C22" s="3106" t="s">
        <v>2447</v>
      </c>
      <c r="D22" s="3107"/>
      <c r="E22" s="3108">
        <v>0.9</v>
      </c>
      <c r="F22" s="3105" t="s">
        <v>2448</v>
      </c>
      <c r="G22" s="3105"/>
    </row>
    <row r="23" spans="1:13" ht="19.5" customHeight="1">
      <c r="A23" s="3781"/>
      <c r="B23" s="3774"/>
      <c r="C23" s="3106" t="s">
        <v>2449</v>
      </c>
      <c r="D23" s="3107"/>
      <c r="E23" s="3108">
        <v>0.9</v>
      </c>
      <c r="F23" s="3105" t="s">
        <v>2450</v>
      </c>
      <c r="G23" s="3105"/>
    </row>
    <row r="24" spans="1:13" ht="19.5" customHeight="1">
      <c r="A24" s="3781"/>
      <c r="B24" s="3774"/>
      <c r="C24" s="3106" t="s">
        <v>2451</v>
      </c>
      <c r="D24" s="3107"/>
      <c r="E24" s="3108">
        <v>0.8</v>
      </c>
      <c r="F24" s="3105" t="s">
        <v>2452</v>
      </c>
      <c r="G24" s="3105"/>
    </row>
    <row r="25" spans="1:13" ht="19.5" customHeight="1" thickBot="1">
      <c r="A25" s="3782"/>
      <c r="B25" s="377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7" t="s">
        <v>2635</v>
      </c>
      <c r="B27" s="3775" t="s">
        <v>2616</v>
      </c>
      <c r="C27" s="3102" t="s">
        <v>2456</v>
      </c>
      <c r="D27" s="3103"/>
      <c r="E27" s="3104">
        <v>1</v>
      </c>
      <c r="F27" s="3105" t="s">
        <v>2457</v>
      </c>
      <c r="G27" s="3105"/>
    </row>
    <row r="28" spans="1:13" ht="19.5" customHeight="1">
      <c r="A28" s="3778"/>
      <c r="B28" s="3774"/>
      <c r="C28" s="3106" t="s">
        <v>2458</v>
      </c>
      <c r="D28" s="3107"/>
      <c r="E28" s="3108">
        <v>1</v>
      </c>
      <c r="F28" s="3105" t="s">
        <v>2459</v>
      </c>
      <c r="G28" s="3105"/>
    </row>
    <row r="29" spans="1:13" ht="19.5" customHeight="1">
      <c r="A29" s="3778"/>
      <c r="B29" s="3774"/>
      <c r="C29" s="3106" t="s">
        <v>2460</v>
      </c>
      <c r="D29" s="3107"/>
      <c r="E29" s="3108">
        <v>0.8</v>
      </c>
      <c r="F29" s="3105" t="s">
        <v>2461</v>
      </c>
      <c r="G29" s="3105"/>
    </row>
    <row r="30" spans="1:13" ht="19.5" customHeight="1">
      <c r="A30" s="3778"/>
      <c r="B30" s="3774"/>
      <c r="C30" s="3106" t="s">
        <v>2462</v>
      </c>
      <c r="D30" s="3107"/>
      <c r="E30" s="3108">
        <v>0.8</v>
      </c>
      <c r="F30" s="3105" t="s">
        <v>2463</v>
      </c>
      <c r="G30" s="3105"/>
    </row>
    <row r="31" spans="1:13" ht="19.5" customHeight="1">
      <c r="A31" s="3778"/>
      <c r="B31" s="3774"/>
      <c r="C31" s="3106" t="s">
        <v>2464</v>
      </c>
      <c r="D31" s="3107"/>
      <c r="E31" s="3108">
        <v>0.8</v>
      </c>
      <c r="F31" s="3105" t="s">
        <v>2465</v>
      </c>
      <c r="G31" s="3105"/>
    </row>
    <row r="32" spans="1:13" ht="19.5" customHeight="1">
      <c r="A32" s="3778"/>
      <c r="B32" s="3774"/>
      <c r="C32" s="3106" t="s">
        <v>2466</v>
      </c>
      <c r="D32" s="3107"/>
      <c r="E32" s="3108">
        <v>0.7</v>
      </c>
      <c r="F32" s="3105" t="s">
        <v>2467</v>
      </c>
      <c r="G32" s="3105"/>
    </row>
    <row r="33" spans="1:7" ht="19.5" customHeight="1">
      <c r="A33" s="3778"/>
      <c r="B33" s="3774"/>
      <c r="C33" s="3106" t="s">
        <v>2468</v>
      </c>
      <c r="D33" s="3107"/>
      <c r="E33" s="3108">
        <v>0.8</v>
      </c>
      <c r="F33" s="3105" t="s">
        <v>2469</v>
      </c>
      <c r="G33" s="3105"/>
    </row>
    <row r="34" spans="1:7" ht="19.5" customHeight="1">
      <c r="A34" s="3778"/>
      <c r="B34" s="3774"/>
      <c r="C34" s="3106" t="s">
        <v>2470</v>
      </c>
      <c r="D34" s="3107"/>
      <c r="E34" s="3108">
        <v>0.6</v>
      </c>
      <c r="F34" s="3105" t="s">
        <v>2471</v>
      </c>
      <c r="G34" s="3105"/>
    </row>
    <row r="35" spans="1:7" ht="19.5" customHeight="1">
      <c r="A35" s="3778"/>
      <c r="B35" s="3774"/>
      <c r="C35" s="3106" t="s">
        <v>2472</v>
      </c>
      <c r="D35" s="3107"/>
      <c r="E35" s="3108">
        <v>0.2</v>
      </c>
      <c r="F35" s="3105" t="s">
        <v>2473</v>
      </c>
      <c r="G35" s="3105"/>
    </row>
    <row r="36" spans="1:7" ht="19.5" customHeight="1">
      <c r="A36" s="3778"/>
      <c r="B36" s="3774"/>
      <c r="C36" s="3106" t="s">
        <v>2474</v>
      </c>
      <c r="D36" s="3107"/>
      <c r="E36" s="3108">
        <v>0.2</v>
      </c>
      <c r="F36" s="3105" t="s">
        <v>2475</v>
      </c>
      <c r="G36" s="3105"/>
    </row>
    <row r="37" spans="1:7" ht="19.5" customHeight="1">
      <c r="A37" s="3778"/>
      <c r="B37" s="3772" t="s">
        <v>2636</v>
      </c>
      <c r="C37" s="3106" t="s">
        <v>2476</v>
      </c>
      <c r="D37" s="3107"/>
      <c r="E37" s="3108">
        <v>0.6</v>
      </c>
      <c r="F37" s="3105" t="s">
        <v>2477</v>
      </c>
      <c r="G37" s="3105"/>
    </row>
    <row r="38" spans="1:7" ht="19.5" customHeight="1">
      <c r="A38" s="3778"/>
      <c r="B38" s="3774"/>
      <c r="C38" s="3106" t="s">
        <v>2478</v>
      </c>
      <c r="D38" s="3107"/>
      <c r="E38" s="3108">
        <v>0.6</v>
      </c>
      <c r="F38" s="3105" t="s">
        <v>2479</v>
      </c>
      <c r="G38" s="3105"/>
    </row>
    <row r="39" spans="1:7" ht="19.5" customHeight="1" thickBot="1">
      <c r="A39" s="3779"/>
      <c r="B39" s="377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0" t="s">
        <v>2614</v>
      </c>
      <c r="B41" s="3775" t="s">
        <v>2638</v>
      </c>
      <c r="C41" s="3102" t="s">
        <v>2483</v>
      </c>
      <c r="D41" s="3103"/>
      <c r="E41" s="3104">
        <v>1</v>
      </c>
      <c r="F41" s="3105" t="s">
        <v>2484</v>
      </c>
      <c r="G41" s="3105"/>
    </row>
    <row r="42" spans="1:7" ht="19.5" customHeight="1">
      <c r="A42" s="3781"/>
      <c r="B42" s="3774"/>
      <c r="C42" s="3106" t="s">
        <v>2485</v>
      </c>
      <c r="D42" s="3107"/>
      <c r="E42" s="3108">
        <v>1</v>
      </c>
      <c r="F42" s="3105" t="s">
        <v>2486</v>
      </c>
      <c r="G42" s="3105"/>
    </row>
    <row r="43" spans="1:7" ht="19.5" customHeight="1">
      <c r="A43" s="3781"/>
      <c r="B43" s="3773"/>
      <c r="C43" s="3106" t="s">
        <v>2487</v>
      </c>
      <c r="D43" s="3107"/>
      <c r="E43" s="3108">
        <v>1.5</v>
      </c>
      <c r="F43" s="3105" t="s">
        <v>2488</v>
      </c>
      <c r="G43" s="3105"/>
    </row>
    <row r="44" spans="1:7" ht="19.5" customHeight="1">
      <c r="A44" s="3781"/>
      <c r="B44" s="3117" t="s">
        <v>2639</v>
      </c>
      <c r="C44" s="3106" t="s">
        <v>2640</v>
      </c>
      <c r="D44" s="3107"/>
      <c r="E44" s="3108">
        <v>2</v>
      </c>
      <c r="F44" s="3105" t="s">
        <v>2489</v>
      </c>
      <c r="G44" s="3105"/>
    </row>
    <row r="45" spans="1:7" ht="19.5" customHeight="1">
      <c r="A45" s="3781"/>
      <c r="B45" s="3772" t="s">
        <v>2641</v>
      </c>
      <c r="C45" s="3106" t="s">
        <v>2490</v>
      </c>
      <c r="D45" s="3107"/>
      <c r="E45" s="3108">
        <v>1</v>
      </c>
      <c r="F45" s="3105" t="s">
        <v>2491</v>
      </c>
      <c r="G45" s="3105"/>
    </row>
    <row r="46" spans="1:7" ht="19.5" customHeight="1">
      <c r="A46" s="3781"/>
      <c r="B46" s="3774"/>
      <c r="C46" s="3106" t="s">
        <v>2492</v>
      </c>
      <c r="D46" s="3107"/>
      <c r="E46" s="3108">
        <v>1</v>
      </c>
      <c r="F46" s="3105" t="s">
        <v>2493</v>
      </c>
      <c r="G46" s="3105"/>
    </row>
    <row r="47" spans="1:7" ht="19.5" customHeight="1">
      <c r="A47" s="3781"/>
      <c r="B47" s="3774"/>
      <c r="C47" s="3106" t="s">
        <v>2494</v>
      </c>
      <c r="D47" s="3107"/>
      <c r="E47" s="3108">
        <v>1</v>
      </c>
      <c r="F47" s="3105" t="s">
        <v>2495</v>
      </c>
      <c r="G47" s="3105"/>
    </row>
    <row r="48" spans="1:7" ht="19.5" customHeight="1">
      <c r="A48" s="3781"/>
      <c r="B48" s="3774"/>
      <c r="C48" s="3106" t="s">
        <v>2496</v>
      </c>
      <c r="D48" s="3107"/>
      <c r="E48" s="3108">
        <v>1</v>
      </c>
      <c r="F48" s="3105" t="s">
        <v>2497</v>
      </c>
      <c r="G48" s="3105"/>
    </row>
    <row r="49" spans="1:7" ht="19.5" customHeight="1">
      <c r="A49" s="3781"/>
      <c r="B49" s="3774"/>
      <c r="C49" s="3106" t="s">
        <v>2498</v>
      </c>
      <c r="D49" s="3107"/>
      <c r="E49" s="3108">
        <v>1</v>
      </c>
      <c r="F49" s="3105" t="s">
        <v>2499</v>
      </c>
      <c r="G49" s="3105"/>
    </row>
    <row r="50" spans="1:7" ht="19.5" customHeight="1">
      <c r="A50" s="3781"/>
      <c r="B50" s="3774"/>
      <c r="C50" s="3106" t="s">
        <v>2500</v>
      </c>
      <c r="D50" s="3107"/>
      <c r="E50" s="3108">
        <v>1</v>
      </c>
      <c r="F50" s="3105" t="s">
        <v>2501</v>
      </c>
      <c r="G50" s="3105"/>
    </row>
    <row r="51" spans="1:7" ht="19.5" customHeight="1" thickBot="1">
      <c r="A51" s="3782"/>
      <c r="B51" s="377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2" t="s">
        <v>2655</v>
      </c>
      <c r="C73" s="3091" t="s">
        <v>2656</v>
      </c>
      <c r="D73" s="3091" t="s">
        <v>2657</v>
      </c>
      <c r="E73" s="3117">
        <v>0.2</v>
      </c>
      <c r="F73" s="3117">
        <v>25</v>
      </c>
    </row>
    <row r="74" spans="1:7" ht="24">
      <c r="A74" s="3117">
        <v>2</v>
      </c>
      <c r="B74" s="3774"/>
      <c r="C74" s="3091" t="s">
        <v>2658</v>
      </c>
      <c r="D74" s="3091" t="s">
        <v>2659</v>
      </c>
      <c r="E74" s="3117">
        <v>0.2</v>
      </c>
      <c r="F74" s="3117">
        <v>25</v>
      </c>
    </row>
    <row r="75" spans="1:7" ht="24">
      <c r="A75" s="3117">
        <v>3</v>
      </c>
      <c r="B75" s="3774"/>
      <c r="C75" s="3091" t="s">
        <v>2660</v>
      </c>
      <c r="D75" s="3091" t="s">
        <v>2661</v>
      </c>
      <c r="E75" s="3117">
        <v>0.2</v>
      </c>
      <c r="F75" s="3117">
        <v>25</v>
      </c>
    </row>
    <row r="76" spans="1:7" ht="13.5">
      <c r="A76" s="3117">
        <v>4</v>
      </c>
      <c r="B76" s="3774"/>
      <c r="C76" s="3091" t="s">
        <v>2662</v>
      </c>
      <c r="D76" s="3091" t="s">
        <v>2663</v>
      </c>
      <c r="E76" s="3117">
        <v>0.15</v>
      </c>
      <c r="F76" s="3117">
        <v>20</v>
      </c>
    </row>
    <row r="77" spans="1:7" ht="24">
      <c r="A77" s="3117">
        <v>5</v>
      </c>
      <c r="B77" s="3774"/>
      <c r="C77" s="3091" t="s">
        <v>2664</v>
      </c>
      <c r="D77" s="3091" t="s">
        <v>2665</v>
      </c>
      <c r="E77" s="3117">
        <v>0.15</v>
      </c>
      <c r="F77" s="3117">
        <v>20</v>
      </c>
    </row>
    <row r="78" spans="1:7" ht="24">
      <c r="A78" s="3117">
        <v>6</v>
      </c>
      <c r="B78" s="3774"/>
      <c r="C78" s="3091" t="s">
        <v>2666</v>
      </c>
      <c r="D78" s="3091" t="s">
        <v>2667</v>
      </c>
      <c r="E78" s="3117">
        <v>0.15</v>
      </c>
      <c r="F78" s="3117">
        <v>20</v>
      </c>
    </row>
    <row r="79" spans="1:7" ht="24">
      <c r="A79" s="3117">
        <v>7</v>
      </c>
      <c r="B79" s="3774"/>
      <c r="C79" s="3091" t="s">
        <v>2668</v>
      </c>
      <c r="D79" s="3091" t="s">
        <v>2669</v>
      </c>
      <c r="E79" s="3117">
        <v>0.15</v>
      </c>
      <c r="F79" s="3117">
        <v>20</v>
      </c>
    </row>
    <row r="80" spans="1:7" ht="24">
      <c r="A80" s="3117">
        <v>8</v>
      </c>
      <c r="B80" s="3774"/>
      <c r="C80" s="3091" t="s">
        <v>2670</v>
      </c>
      <c r="D80" s="3091" t="s">
        <v>2671</v>
      </c>
      <c r="E80" s="3117">
        <v>0.1</v>
      </c>
      <c r="F80" s="3117">
        <v>15</v>
      </c>
    </row>
    <row r="81" spans="1:6" ht="24">
      <c r="A81" s="3117">
        <v>9</v>
      </c>
      <c r="B81" s="3774"/>
      <c r="C81" s="3091" t="s">
        <v>2672</v>
      </c>
      <c r="D81" s="3091" t="s">
        <v>2673</v>
      </c>
      <c r="E81" s="3117">
        <v>0.1</v>
      </c>
      <c r="F81" s="3117">
        <v>15</v>
      </c>
    </row>
    <row r="82" spans="1:6" ht="24">
      <c r="A82" s="3117">
        <v>10</v>
      </c>
      <c r="B82" s="3774"/>
      <c r="C82" s="3091" t="s">
        <v>2674</v>
      </c>
      <c r="D82" s="3091" t="s">
        <v>2675</v>
      </c>
      <c r="E82" s="3117">
        <v>0.1</v>
      </c>
      <c r="F82" s="3117">
        <v>15</v>
      </c>
    </row>
    <row r="83" spans="1:6" ht="24">
      <c r="A83" s="3117">
        <v>11</v>
      </c>
      <c r="B83" s="3774"/>
      <c r="C83" s="3091" t="s">
        <v>2676</v>
      </c>
      <c r="D83" s="3091" t="s">
        <v>2677</v>
      </c>
      <c r="E83" s="3117">
        <v>0.1</v>
      </c>
      <c r="F83" s="3117">
        <v>15</v>
      </c>
    </row>
    <row r="84" spans="1:6" ht="24">
      <c r="A84" s="3117">
        <v>12</v>
      </c>
      <c r="B84" s="3774"/>
      <c r="C84" s="3091" t="s">
        <v>2678</v>
      </c>
      <c r="D84" s="3091" t="s">
        <v>2679</v>
      </c>
      <c r="E84" s="3117">
        <v>0.1</v>
      </c>
      <c r="F84" s="3117">
        <v>15</v>
      </c>
    </row>
    <row r="85" spans="1:6" ht="13.5">
      <c r="A85" s="3117">
        <v>13</v>
      </c>
      <c r="B85" s="3774"/>
      <c r="C85" s="3091" t="s">
        <v>2680</v>
      </c>
      <c r="D85" s="3091" t="s">
        <v>2681</v>
      </c>
      <c r="E85" s="3117">
        <v>0.1</v>
      </c>
      <c r="F85" s="3117">
        <v>15</v>
      </c>
    </row>
    <row r="86" spans="1:6" ht="13.5">
      <c r="A86" s="3117">
        <v>14</v>
      </c>
      <c r="B86" s="3774"/>
      <c r="C86" s="3091" t="s">
        <v>2682</v>
      </c>
      <c r="D86" s="3091" t="s">
        <v>2683</v>
      </c>
      <c r="E86" s="3117">
        <v>0.1</v>
      </c>
      <c r="F86" s="3117">
        <v>15</v>
      </c>
    </row>
    <row r="87" spans="1:6" ht="13.5">
      <c r="A87" s="3117">
        <v>15</v>
      </c>
      <c r="B87" s="3774"/>
      <c r="C87" s="3091" t="s">
        <v>2684</v>
      </c>
      <c r="D87" s="3091" t="s">
        <v>2685</v>
      </c>
      <c r="E87" s="3117">
        <v>0.1</v>
      </c>
      <c r="F87" s="3117">
        <v>15</v>
      </c>
    </row>
    <row r="88" spans="1:6" ht="24">
      <c r="A88" s="3117">
        <v>16</v>
      </c>
      <c r="B88" s="3774"/>
      <c r="C88" s="3091" t="s">
        <v>2686</v>
      </c>
      <c r="D88" s="3091" t="s">
        <v>2687</v>
      </c>
      <c r="E88" s="3117">
        <v>0.1</v>
      </c>
      <c r="F88" s="3117">
        <v>15</v>
      </c>
    </row>
    <row r="89" spans="1:6" ht="24">
      <c r="A89" s="3117">
        <v>17</v>
      </c>
      <c r="B89" s="3773"/>
      <c r="C89" s="3091" t="s">
        <v>2688</v>
      </c>
      <c r="D89" s="3091" t="s">
        <v>2689</v>
      </c>
      <c r="E89" s="3117">
        <v>0.1</v>
      </c>
      <c r="F89" s="3117">
        <v>15</v>
      </c>
    </row>
    <row r="90" spans="1:6" ht="13.5">
      <c r="A90" s="3117">
        <v>18</v>
      </c>
      <c r="B90" s="3772" t="s">
        <v>2690</v>
      </c>
      <c r="C90" s="3091" t="s">
        <v>2691</v>
      </c>
      <c r="D90" s="3091" t="s">
        <v>2692</v>
      </c>
      <c r="E90" s="3117">
        <v>0.2</v>
      </c>
      <c r="F90" s="3117">
        <v>25</v>
      </c>
    </row>
    <row r="91" spans="1:6" ht="24">
      <c r="A91" s="3117">
        <v>19</v>
      </c>
      <c r="B91" s="3774"/>
      <c r="C91" s="3091" t="s">
        <v>2693</v>
      </c>
      <c r="D91" s="3091" t="s">
        <v>2694</v>
      </c>
      <c r="E91" s="3117">
        <v>0.2</v>
      </c>
      <c r="F91" s="3117">
        <v>25</v>
      </c>
    </row>
    <row r="92" spans="1:6" ht="13.5">
      <c r="A92" s="3117">
        <v>20</v>
      </c>
      <c r="B92" s="3774"/>
      <c r="C92" s="3091" t="s">
        <v>2695</v>
      </c>
      <c r="D92" s="3091" t="s">
        <v>2696</v>
      </c>
      <c r="E92" s="3117">
        <v>0.15</v>
      </c>
      <c r="F92" s="3117">
        <v>20</v>
      </c>
    </row>
    <row r="93" spans="1:6" ht="13.5">
      <c r="A93" s="3117">
        <v>21</v>
      </c>
      <c r="B93" s="3774"/>
      <c r="C93" s="3091" t="s">
        <v>2697</v>
      </c>
      <c r="D93" s="3091" t="s">
        <v>2698</v>
      </c>
      <c r="E93" s="3117">
        <v>0.15</v>
      </c>
      <c r="F93" s="3117">
        <v>20</v>
      </c>
    </row>
    <row r="94" spans="1:6" ht="13.5">
      <c r="A94" s="3117">
        <v>22</v>
      </c>
      <c r="B94" s="3774"/>
      <c r="C94" s="3091" t="s">
        <v>2699</v>
      </c>
      <c r="D94" s="3091" t="s">
        <v>2700</v>
      </c>
      <c r="E94" s="3117">
        <v>0.15</v>
      </c>
      <c r="F94" s="3117">
        <v>20</v>
      </c>
    </row>
    <row r="95" spans="1:6" ht="36">
      <c r="A95" s="3117">
        <v>23</v>
      </c>
      <c r="B95" s="3774"/>
      <c r="C95" s="3091" t="s">
        <v>2701</v>
      </c>
      <c r="D95" s="3091" t="s">
        <v>2702</v>
      </c>
      <c r="E95" s="3117">
        <v>0.15</v>
      </c>
      <c r="F95" s="3117">
        <v>20</v>
      </c>
    </row>
    <row r="96" spans="1:6" ht="13.5">
      <c r="A96" s="3117">
        <v>24</v>
      </c>
      <c r="B96" s="3774"/>
      <c r="C96" s="3091" t="s">
        <v>2703</v>
      </c>
      <c r="D96" s="3091" t="s">
        <v>2704</v>
      </c>
      <c r="E96" s="3117">
        <v>0.1</v>
      </c>
      <c r="F96" s="3117">
        <v>15</v>
      </c>
    </row>
    <row r="97" spans="1:6" ht="13.5">
      <c r="A97" s="3117">
        <v>25</v>
      </c>
      <c r="B97" s="3774"/>
      <c r="C97" s="3091" t="s">
        <v>2705</v>
      </c>
      <c r="D97" s="3091" t="s">
        <v>2706</v>
      </c>
      <c r="E97" s="3117">
        <v>0.1</v>
      </c>
      <c r="F97" s="3117">
        <v>15</v>
      </c>
    </row>
    <row r="98" spans="1:6" ht="24">
      <c r="A98" s="3117">
        <v>26</v>
      </c>
      <c r="B98" s="3774"/>
      <c r="C98" s="3091" t="s">
        <v>2707</v>
      </c>
      <c r="D98" s="3091" t="s">
        <v>2708</v>
      </c>
      <c r="E98" s="3117">
        <v>0.1</v>
      </c>
      <c r="F98" s="3117">
        <v>15</v>
      </c>
    </row>
    <row r="99" spans="1:6" ht="24">
      <c r="A99" s="3117">
        <v>27</v>
      </c>
      <c r="B99" s="3774"/>
      <c r="C99" s="3091" t="s">
        <v>2709</v>
      </c>
      <c r="D99" s="3091" t="s">
        <v>2710</v>
      </c>
      <c r="E99" s="3117">
        <v>0.1</v>
      </c>
      <c r="F99" s="3117">
        <v>15</v>
      </c>
    </row>
    <row r="100" spans="1:6" ht="13.5">
      <c r="A100" s="3117">
        <v>28</v>
      </c>
      <c r="B100" s="3774"/>
      <c r="C100" s="3091" t="s">
        <v>2711</v>
      </c>
      <c r="D100" s="3091" t="s">
        <v>2712</v>
      </c>
      <c r="E100" s="3117">
        <v>0.1</v>
      </c>
      <c r="F100" s="3117">
        <v>15</v>
      </c>
    </row>
    <row r="101" spans="1:6" ht="13.5">
      <c r="A101" s="3117">
        <v>29</v>
      </c>
      <c r="B101" s="3774"/>
      <c r="C101" s="3091" t="s">
        <v>2713</v>
      </c>
      <c r="D101" s="3091" t="s">
        <v>2714</v>
      </c>
      <c r="E101" s="3117">
        <v>0.1</v>
      </c>
      <c r="F101" s="3117">
        <v>15</v>
      </c>
    </row>
    <row r="102" spans="1:6" ht="13.5">
      <c r="A102" s="3117">
        <v>30</v>
      </c>
      <c r="B102" s="3774"/>
      <c r="C102" s="3091" t="s">
        <v>2715</v>
      </c>
      <c r="D102" s="3091" t="s">
        <v>2716</v>
      </c>
      <c r="E102" s="3117">
        <v>0.1</v>
      </c>
      <c r="F102" s="3117">
        <v>15</v>
      </c>
    </row>
    <row r="103" spans="1:6" ht="24">
      <c r="A103" s="3117">
        <v>31</v>
      </c>
      <c r="B103" s="3774"/>
      <c r="C103" s="3091" t="s">
        <v>2717</v>
      </c>
      <c r="D103" s="3091" t="s">
        <v>2718</v>
      </c>
      <c r="E103" s="3117">
        <v>0.1</v>
      </c>
      <c r="F103" s="3117">
        <v>15</v>
      </c>
    </row>
    <row r="104" spans="1:6" ht="24">
      <c r="A104" s="3117">
        <v>32</v>
      </c>
      <c r="B104" s="3774"/>
      <c r="C104" s="3091" t="s">
        <v>2719</v>
      </c>
      <c r="D104" s="3091" t="s">
        <v>2720</v>
      </c>
      <c r="E104" s="3117">
        <v>0.1</v>
      </c>
      <c r="F104" s="3117">
        <v>15</v>
      </c>
    </row>
    <row r="105" spans="1:6" ht="24">
      <c r="A105" s="3117">
        <v>33</v>
      </c>
      <c r="B105" s="3774"/>
      <c r="C105" s="3091" t="s">
        <v>2721</v>
      </c>
      <c r="D105" s="3091" t="s">
        <v>2722</v>
      </c>
      <c r="E105" s="3117">
        <v>0.1</v>
      </c>
      <c r="F105" s="3117">
        <v>15</v>
      </c>
    </row>
    <row r="106" spans="1:6" ht="24">
      <c r="A106" s="3117">
        <v>34</v>
      </c>
      <c r="B106" s="3773"/>
      <c r="C106" s="3091" t="s">
        <v>2723</v>
      </c>
      <c r="D106" s="3091" t="s">
        <v>2724</v>
      </c>
      <c r="E106" s="3117">
        <v>0.1</v>
      </c>
      <c r="F106" s="3117">
        <v>15</v>
      </c>
    </row>
    <row r="107" spans="1:6" ht="24">
      <c r="A107" s="3117">
        <v>35</v>
      </c>
      <c r="B107" s="3772" t="s">
        <v>2725</v>
      </c>
      <c r="C107" s="3117" t="s">
        <v>2726</v>
      </c>
      <c r="D107" s="3091" t="s">
        <v>2727</v>
      </c>
      <c r="E107" s="3117">
        <v>0.15</v>
      </c>
      <c r="F107" s="3117">
        <v>20</v>
      </c>
    </row>
    <row r="108" spans="1:6" ht="13.5">
      <c r="A108" s="3117">
        <v>36</v>
      </c>
      <c r="B108" s="3774"/>
      <c r="C108" s="3117" t="s">
        <v>2728</v>
      </c>
      <c r="D108" s="3091" t="s">
        <v>2729</v>
      </c>
      <c r="E108" s="3117">
        <v>0.15</v>
      </c>
      <c r="F108" s="3117">
        <v>20</v>
      </c>
    </row>
    <row r="109" spans="1:6" ht="13.5">
      <c r="A109" s="3117">
        <v>37</v>
      </c>
      <c r="B109" s="3774"/>
      <c r="C109" s="3117" t="s">
        <v>2730</v>
      </c>
      <c r="D109" s="3091" t="s">
        <v>2731</v>
      </c>
      <c r="E109" s="3117">
        <v>0.15</v>
      </c>
      <c r="F109" s="3117">
        <v>20</v>
      </c>
    </row>
    <row r="110" spans="1:6" ht="13.5">
      <c r="A110" s="3117">
        <v>38</v>
      </c>
      <c r="B110" s="3774"/>
      <c r="C110" s="3117" t="s">
        <v>2732</v>
      </c>
      <c r="D110" s="3091" t="s">
        <v>2733</v>
      </c>
      <c r="E110" s="3117">
        <v>0.1</v>
      </c>
      <c r="F110" s="3117">
        <v>15</v>
      </c>
    </row>
    <row r="111" spans="1:6" ht="24">
      <c r="A111" s="3117">
        <v>39</v>
      </c>
      <c r="B111" s="3774"/>
      <c r="C111" s="3117" t="s">
        <v>2734</v>
      </c>
      <c r="D111" s="3091" t="s">
        <v>2735</v>
      </c>
      <c r="E111" s="3117">
        <v>0.1</v>
      </c>
      <c r="F111" s="3117">
        <v>15</v>
      </c>
    </row>
    <row r="112" spans="1:6" ht="24">
      <c r="A112" s="3117">
        <v>40</v>
      </c>
      <c r="B112" s="3773"/>
      <c r="C112" s="3117" t="s">
        <v>2736</v>
      </c>
      <c r="D112" s="3091" t="s">
        <v>2737</v>
      </c>
      <c r="E112" s="3117">
        <v>0.1</v>
      </c>
      <c r="F112" s="3117">
        <v>15</v>
      </c>
    </row>
    <row r="113" spans="1:6" ht="13.5">
      <c r="A113" s="3117">
        <v>41</v>
      </c>
      <c r="B113" s="3771" t="s">
        <v>2738</v>
      </c>
      <c r="C113" s="3117" t="s">
        <v>2739</v>
      </c>
      <c r="D113" s="3091" t="s">
        <v>2740</v>
      </c>
      <c r="E113" s="3117">
        <v>0.1</v>
      </c>
      <c r="F113" s="3117">
        <v>15</v>
      </c>
    </row>
    <row r="114" spans="1:6" ht="13.5">
      <c r="A114" s="3117">
        <v>42</v>
      </c>
      <c r="B114" s="3771"/>
      <c r="C114" s="3117" t="s">
        <v>2741</v>
      </c>
      <c r="D114" s="3091" t="s">
        <v>2742</v>
      </c>
      <c r="E114" s="3117">
        <v>0.1</v>
      </c>
      <c r="F114" s="3117">
        <v>15</v>
      </c>
    </row>
    <row r="115" spans="1:6" ht="24">
      <c r="A115" s="3117">
        <v>43</v>
      </c>
      <c r="B115" s="3771"/>
      <c r="C115" s="3117" t="s">
        <v>2743</v>
      </c>
      <c r="D115" s="3091" t="s">
        <v>2744</v>
      </c>
      <c r="E115" s="3117">
        <v>0.1</v>
      </c>
      <c r="F115" s="3117">
        <v>15</v>
      </c>
    </row>
    <row r="116" spans="1:6" ht="13.5">
      <c r="A116" s="3117">
        <v>44</v>
      </c>
      <c r="B116" s="3772" t="s">
        <v>2745</v>
      </c>
      <c r="C116" s="3117" t="s">
        <v>2746</v>
      </c>
      <c r="D116" s="3091" t="s">
        <v>2747</v>
      </c>
      <c r="E116" s="3117">
        <v>0.1</v>
      </c>
      <c r="F116" s="3117">
        <v>15</v>
      </c>
    </row>
    <row r="117" spans="1:6" ht="24">
      <c r="A117" s="3117">
        <v>45</v>
      </c>
      <c r="B117" s="3773"/>
      <c r="C117" s="3091" t="s">
        <v>2748</v>
      </c>
      <c r="D117" s="3091" t="s">
        <v>2749</v>
      </c>
      <c r="E117" s="3117">
        <v>0.1</v>
      </c>
      <c r="F117" s="3117">
        <v>15</v>
      </c>
    </row>
    <row r="118" spans="1:6" ht="24">
      <c r="A118" s="3117">
        <v>46</v>
      </c>
      <c r="B118" s="3772" t="s">
        <v>2750</v>
      </c>
      <c r="C118" s="3117" t="s">
        <v>2751</v>
      </c>
      <c r="D118" s="3091" t="s">
        <v>2752</v>
      </c>
      <c r="E118" s="3117">
        <v>0.1</v>
      </c>
      <c r="F118" s="3117">
        <v>15</v>
      </c>
    </row>
    <row r="119" spans="1:6" ht="24">
      <c r="A119" s="3117">
        <v>47</v>
      </c>
      <c r="B119" s="3773"/>
      <c r="C119" s="3117" t="s">
        <v>2753</v>
      </c>
      <c r="D119" s="3091" t="s">
        <v>2754</v>
      </c>
      <c r="E119" s="3117">
        <v>0.1</v>
      </c>
      <c r="F119" s="3117">
        <v>15</v>
      </c>
    </row>
    <row r="120" spans="1:6" ht="13.5">
      <c r="A120" s="3117">
        <v>48</v>
      </c>
      <c r="B120" s="3772" t="s">
        <v>2755</v>
      </c>
      <c r="C120" s="3117" t="s">
        <v>2756</v>
      </c>
      <c r="D120" s="3091" t="s">
        <v>2757</v>
      </c>
      <c r="E120" s="3117">
        <v>0.1</v>
      </c>
      <c r="F120" s="3117">
        <v>15</v>
      </c>
    </row>
    <row r="121" spans="1:6" ht="13.5">
      <c r="A121" s="3117">
        <v>49</v>
      </c>
      <c r="B121" s="3773"/>
      <c r="C121" s="3117" t="s">
        <v>2758</v>
      </c>
      <c r="D121" s="3091" t="s">
        <v>2759</v>
      </c>
      <c r="E121" s="3117">
        <v>0.1</v>
      </c>
      <c r="F121" s="3117">
        <v>15</v>
      </c>
    </row>
    <row r="122" spans="1:6" ht="24">
      <c r="A122" s="3117">
        <v>50</v>
      </c>
      <c r="B122" s="3771" t="s">
        <v>2760</v>
      </c>
      <c r="C122" s="3117" t="s">
        <v>2761</v>
      </c>
      <c r="D122" s="3091" t="s">
        <v>2762</v>
      </c>
      <c r="E122" s="3117">
        <v>0.1</v>
      </c>
      <c r="F122" s="3117">
        <v>15</v>
      </c>
    </row>
    <row r="123" spans="1:6" ht="24">
      <c r="A123" s="3117">
        <v>51</v>
      </c>
      <c r="B123" s="3771"/>
      <c r="C123" s="3117" t="s">
        <v>2763</v>
      </c>
      <c r="D123" s="3091" t="s">
        <v>2764</v>
      </c>
      <c r="E123" s="3117">
        <v>0.1</v>
      </c>
      <c r="F123" s="3117">
        <v>15</v>
      </c>
    </row>
    <row r="124" spans="1:6" ht="24">
      <c r="A124" s="3117">
        <v>52</v>
      </c>
      <c r="B124" s="3771" t="s">
        <v>2765</v>
      </c>
      <c r="C124" s="3117" t="s">
        <v>2766</v>
      </c>
      <c r="D124" s="3091" t="s">
        <v>2767</v>
      </c>
      <c r="E124" s="3117">
        <v>0.1</v>
      </c>
      <c r="F124" s="3117">
        <v>15</v>
      </c>
    </row>
    <row r="125" spans="1:6" ht="24">
      <c r="A125" s="3117">
        <v>53</v>
      </c>
      <c r="B125" s="3771"/>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1" t="s">
        <v>2773</v>
      </c>
      <c r="C127" s="3117" t="s">
        <v>2774</v>
      </c>
      <c r="D127" s="3091" t="s">
        <v>2775</v>
      </c>
      <c r="E127" s="3117">
        <v>0.1</v>
      </c>
      <c r="F127" s="3117">
        <v>15</v>
      </c>
    </row>
    <row r="128" spans="1:6" ht="13.5">
      <c r="A128" s="3117">
        <v>56</v>
      </c>
      <c r="B128" s="3771"/>
      <c r="C128" s="3117" t="s">
        <v>2776</v>
      </c>
      <c r="D128" s="3091" t="s">
        <v>2777</v>
      </c>
      <c r="E128" s="3117">
        <v>0.1</v>
      </c>
      <c r="F128" s="3117">
        <v>15</v>
      </c>
    </row>
    <row r="129" spans="1:6" ht="24">
      <c r="A129" s="3117">
        <v>57</v>
      </c>
      <c r="B129" s="3771"/>
      <c r="C129" s="3117" t="s">
        <v>2778</v>
      </c>
      <c r="D129" s="3091" t="s">
        <v>2779</v>
      </c>
      <c r="E129" s="3117">
        <v>0.1</v>
      </c>
      <c r="F129" s="3117">
        <v>15</v>
      </c>
    </row>
    <row r="130" spans="1:6" ht="24">
      <c r="A130" s="3117">
        <v>58</v>
      </c>
      <c r="B130" s="3771" t="s">
        <v>2780</v>
      </c>
      <c r="C130" s="3117" t="s">
        <v>2781</v>
      </c>
      <c r="D130" s="3091" t="s">
        <v>2782</v>
      </c>
      <c r="E130" s="3117">
        <v>0.1</v>
      </c>
      <c r="F130" s="3117">
        <v>15</v>
      </c>
    </row>
    <row r="131" spans="1:6" ht="13.5">
      <c r="A131" s="3117">
        <v>59</v>
      </c>
      <c r="B131" s="3771"/>
      <c r="C131" s="3117" t="s">
        <v>2783</v>
      </c>
      <c r="D131" s="3091" t="s">
        <v>2784</v>
      </c>
      <c r="E131" s="3117">
        <v>0.1</v>
      </c>
      <c r="F131" s="3117">
        <v>15</v>
      </c>
    </row>
    <row r="132" spans="1:6" ht="13.5">
      <c r="A132" s="3117">
        <v>60</v>
      </c>
      <c r="B132" s="3772" t="s">
        <v>2785</v>
      </c>
      <c r="C132" s="3117" t="s">
        <v>2786</v>
      </c>
      <c r="D132" s="3091" t="s">
        <v>2787</v>
      </c>
      <c r="E132" s="3117">
        <v>0.1</v>
      </c>
      <c r="F132" s="3117">
        <v>15</v>
      </c>
    </row>
    <row r="133" spans="1:6" ht="13.5">
      <c r="A133" s="3117">
        <v>61</v>
      </c>
      <c r="B133" s="377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1" t="s">
        <v>2793</v>
      </c>
      <c r="C135" s="3117" t="s">
        <v>2794</v>
      </c>
      <c r="D135" s="3091" t="s">
        <v>2795</v>
      </c>
      <c r="E135" s="3117">
        <v>0.1</v>
      </c>
      <c r="F135" s="3117">
        <v>15</v>
      </c>
    </row>
    <row r="136" spans="1:6" ht="13.5">
      <c r="A136" s="3117">
        <v>64</v>
      </c>
      <c r="B136" s="3771"/>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1.2501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1.1839999999999999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28905</v>
      </c>
      <c r="C2" s="2" t="s">
        <v>106</v>
      </c>
      <c r="D2" s="199"/>
      <c r="E2" s="199"/>
      <c r="F2" s="199"/>
      <c r="G2" s="199"/>
    </row>
    <row r="3" spans="1:7" s="200" customFormat="1" ht="18" customHeight="1" thickBot="1">
      <c r="A3" s="203" t="s">
        <v>58</v>
      </c>
      <c r="B3" s="204">
        <f ca="1">ROUND(B2*10000/'数据-汇总表'!E3,0)</f>
        <v>1804307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160.19999999999999</v>
      </c>
      <c r="E9" s="225">
        <f>'数据-取费表'!B27</f>
        <v>200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160.19999999999999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743</v>
      </c>
      <c r="D22" s="235">
        <f ca="1">C26</f>
        <v>5.0000000000000001E-4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160.19999999999999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5.0000000000000001E-4</v>
      </c>
      <c r="D44" s="238"/>
      <c r="E44" s="238"/>
      <c r="F44" s="239"/>
      <c r="G44" s="3649"/>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101</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97</v>
      </c>
      <c r="D51" s="232"/>
      <c r="E51" s="232"/>
      <c r="F51" s="264"/>
      <c r="G51" s="234" t="s">
        <v>37</v>
      </c>
    </row>
    <row r="52" spans="1:7" s="208" customFormat="1" ht="16.5" thickBot="1">
      <c r="A52" s="265" t="s">
        <v>38</v>
      </c>
      <c r="B52" s="266"/>
      <c r="C52" s="267">
        <f ca="1">C31+C51</f>
        <v>28905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3522</v>
      </c>
      <c r="E5" s="1491"/>
    </row>
    <row r="6" spans="1:5" ht="15.75">
      <c r="A6" s="1491"/>
      <c r="B6" s="3466"/>
      <c r="C6" s="1494" t="s">
        <v>911</v>
      </c>
      <c r="D6" s="850" t="str">
        <f ca="1">NUMBERSTRING(INT(D5*10000),2)&amp;"元整"</f>
        <v>叁仟伍佰贰拾贰万元整</v>
      </c>
      <c r="E6" s="1491"/>
    </row>
    <row r="7" spans="1:5" ht="15.75">
      <c r="A7" s="1491"/>
      <c r="B7" s="3471"/>
      <c r="C7" s="1495" t="s">
        <v>912</v>
      </c>
      <c r="D7" s="851">
        <f ca="1">结果表!H102</f>
        <v>219881</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3522</v>
      </c>
      <c r="E13" s="1491"/>
    </row>
    <row r="14" spans="1:5" ht="15.75">
      <c r="A14" s="1491"/>
      <c r="B14" s="3466"/>
      <c r="C14" s="1494" t="s">
        <v>911</v>
      </c>
      <c r="D14" s="850" t="str">
        <f ca="1">NUMBERSTRING(INT(D13*10000),2)&amp;"元整"</f>
        <v>叁仟伍佰贰拾贰万元整</v>
      </c>
      <c r="E14" s="1491"/>
    </row>
    <row r="15" spans="1:5" ht="15">
      <c r="A15" s="1491"/>
      <c r="B15" s="3471"/>
      <c r="C15" s="1495" t="s">
        <v>921</v>
      </c>
      <c r="D15" s="859">
        <f ca="1">结果表!H108</f>
        <v>219881</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2845</v>
      </c>
      <c r="B1" s="3785"/>
      <c r="C1" s="3785"/>
      <c r="D1" s="3785"/>
      <c r="E1" s="3785"/>
      <c r="F1" s="3785"/>
      <c r="G1" s="3786"/>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3"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4"/>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3187</v>
      </c>
      <c r="B1" s="3787"/>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3238</v>
      </c>
      <c r="B1" s="3788"/>
      <c r="C1" s="3788"/>
      <c r="D1" s="3788"/>
      <c r="E1" s="3788"/>
      <c r="F1" s="3789"/>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45103</v>
      </c>
      <c r="B1" s="3209" t="s">
        <v>2844</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0" t="s">
        <v>2832</v>
      </c>
      <c r="S21" s="3791"/>
      <c r="T21" s="3791"/>
      <c r="U21" s="3791"/>
      <c r="V21" s="3791"/>
      <c r="W21" s="3791"/>
      <c r="X21" s="3164"/>
      <c r="Y21" s="3790" t="s">
        <v>2833</v>
      </c>
      <c r="Z21" s="3791"/>
      <c r="AA21" s="3791"/>
      <c r="AB21" s="3791"/>
      <c r="AC21" s="3791"/>
      <c r="AD21" s="3791"/>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45103</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C14" sqref="C14"/>
    </sheetView>
  </sheetViews>
  <sheetFormatPr defaultRowHeight="13.5"/>
  <sheetData>
    <row r="2" spans="1:14">
      <c r="A2" s="3450" t="s">
        <v>3402</v>
      </c>
    </row>
    <row r="3" spans="1:14">
      <c r="A3" s="3450" t="s">
        <v>3403</v>
      </c>
      <c r="C3" s="3450" t="s">
        <v>3404</v>
      </c>
      <c r="D3" s="3450" t="s">
        <v>3405</v>
      </c>
      <c r="E3" s="3450" t="s">
        <v>3406</v>
      </c>
    </row>
    <row r="4" spans="1:14">
      <c r="A4" s="3451" t="s">
        <v>3407</v>
      </c>
      <c r="B4" s="3451" t="s">
        <v>3408</v>
      </c>
      <c r="C4" s="3452">
        <v>213.5</v>
      </c>
      <c r="D4" s="3452">
        <v>5500</v>
      </c>
      <c r="E4" s="3452">
        <f>ROUND(D4/C4*10000,0)</f>
        <v>257611</v>
      </c>
      <c r="F4" s="3451" t="s">
        <v>3409</v>
      </c>
      <c r="G4" s="3451" t="s">
        <v>3410</v>
      </c>
      <c r="H4" s="3452"/>
      <c r="I4" s="3452"/>
      <c r="J4" s="3452"/>
      <c r="K4" s="3452"/>
      <c r="L4" s="3452"/>
      <c r="M4" s="3452"/>
      <c r="N4" s="3452"/>
    </row>
    <row r="5" spans="1:14">
      <c r="A5" s="3450"/>
      <c r="B5" s="3450" t="s">
        <v>3411</v>
      </c>
      <c r="C5">
        <v>292</v>
      </c>
      <c r="D5">
        <v>6000</v>
      </c>
      <c r="E5">
        <f>ROUND(D5/C5*10000,0)</f>
        <v>205479</v>
      </c>
      <c r="F5" s="3450" t="s">
        <v>3409</v>
      </c>
      <c r="H5">
        <v>2021</v>
      </c>
    </row>
    <row r="7" spans="1:14">
      <c r="A7" s="3450" t="s">
        <v>3412</v>
      </c>
    </row>
    <row r="8" spans="1:14">
      <c r="A8" s="3450" t="s">
        <v>3413</v>
      </c>
      <c r="B8" s="3450" t="s">
        <v>3414</v>
      </c>
      <c r="C8">
        <v>325.19</v>
      </c>
      <c r="D8">
        <v>6500</v>
      </c>
      <c r="E8">
        <f>ROUND(D8/C8*10000,0)</f>
        <v>199883</v>
      </c>
      <c r="F8" s="3450" t="s">
        <v>3409</v>
      </c>
    </row>
    <row r="9" spans="1:14">
      <c r="A9" s="3450" t="s">
        <v>3415</v>
      </c>
      <c r="B9" s="3450" t="s">
        <v>3416</v>
      </c>
      <c r="C9">
        <v>429.74</v>
      </c>
      <c r="D9">
        <v>7500</v>
      </c>
      <c r="E9">
        <f>ROUND(D9/C9*10000,0)</f>
        <v>174524</v>
      </c>
      <c r="F9" s="3450" t="s">
        <v>3409</v>
      </c>
    </row>
    <row r="12" spans="1:14">
      <c r="A12" s="3450" t="s">
        <v>3417</v>
      </c>
    </row>
    <row r="13" spans="1:14">
      <c r="A13" s="3453" t="s">
        <v>3418</v>
      </c>
      <c r="B13" s="3454"/>
      <c r="C13" s="3454">
        <v>570</v>
      </c>
      <c r="D13" s="3454">
        <v>11000</v>
      </c>
      <c r="E13" s="3454">
        <f>ROUND(D13/C13*10000,0)</f>
        <v>192982</v>
      </c>
      <c r="F13" s="3453" t="s">
        <v>3409</v>
      </c>
      <c r="G13" s="3454"/>
      <c r="H13" s="3454"/>
      <c r="I13" s="3454"/>
      <c r="J13" s="3454"/>
      <c r="K13" s="3454"/>
      <c r="L13" s="3454"/>
      <c r="M13" s="3454"/>
      <c r="N13" s="3454"/>
    </row>
    <row r="14" spans="1:14">
      <c r="A14" s="3451" t="s">
        <v>3419</v>
      </c>
      <c r="B14" s="3452"/>
      <c r="C14" s="3452">
        <v>406.26</v>
      </c>
      <c r="D14" s="3452">
        <v>8000</v>
      </c>
      <c r="E14" s="3452">
        <f>ROUND(D14/C14*10000,0)</f>
        <v>196918</v>
      </c>
      <c r="F14" s="3451" t="s">
        <v>3420</v>
      </c>
      <c r="G14" s="3451" t="s">
        <v>3421</v>
      </c>
      <c r="H14" s="3452">
        <v>2011</v>
      </c>
      <c r="I14" s="3452"/>
      <c r="J14" s="3452"/>
      <c r="K14" s="3452"/>
      <c r="L14" s="3452"/>
      <c r="M14" s="3452"/>
      <c r="N14" s="3452"/>
    </row>
    <row r="15" spans="1:14">
      <c r="A15" s="3451" t="s">
        <v>3418</v>
      </c>
      <c r="B15" s="3452"/>
      <c r="C15" s="3452">
        <v>310</v>
      </c>
      <c r="D15" s="3452">
        <v>6500</v>
      </c>
      <c r="E15" s="3452">
        <f>ROUND(D15/C15*10000,0)</f>
        <v>209677</v>
      </c>
      <c r="F15" s="3451" t="s">
        <v>3409</v>
      </c>
      <c r="G15" s="3451" t="s">
        <v>3422</v>
      </c>
      <c r="H15" s="3452"/>
      <c r="I15" s="3452"/>
      <c r="J15" s="3452"/>
      <c r="K15" s="3452"/>
      <c r="L15" s="3452"/>
      <c r="M15" s="3452"/>
      <c r="N15" s="3452"/>
    </row>
    <row r="16" spans="1:14">
      <c r="A16" s="3450" t="s">
        <v>3423</v>
      </c>
      <c r="C16">
        <v>242</v>
      </c>
      <c r="D16">
        <v>4200</v>
      </c>
      <c r="E16">
        <f>ROUND(D16/C16*10000,0)</f>
        <v>173554</v>
      </c>
      <c r="F16" s="3450" t="s">
        <v>3409</v>
      </c>
    </row>
    <row r="22" spans="1:7">
      <c r="A22" s="3450" t="s">
        <v>3412</v>
      </c>
      <c r="C22" s="3450" t="s">
        <v>3424</v>
      </c>
      <c r="D22" s="3450" t="s">
        <v>3425</v>
      </c>
      <c r="E22" s="3450" t="s">
        <v>3426</v>
      </c>
      <c r="F22" s="3450" t="s">
        <v>3427</v>
      </c>
    </row>
    <row r="23" spans="1:7">
      <c r="A23" s="3450" t="s">
        <v>3423</v>
      </c>
      <c r="B23" s="3450" t="s">
        <v>3428</v>
      </c>
      <c r="C23">
        <v>1498.19</v>
      </c>
      <c r="D23">
        <v>36000</v>
      </c>
      <c r="E23">
        <f>ROUND(D23/C23*10000,0)</f>
        <v>240290</v>
      </c>
      <c r="F23">
        <v>1785.52</v>
      </c>
      <c r="G23" s="3450" t="s">
        <v>3429</v>
      </c>
    </row>
    <row r="24" spans="1:7">
      <c r="A24" s="3450" t="s">
        <v>3430</v>
      </c>
      <c r="B24" s="3450" t="s">
        <v>3428</v>
      </c>
      <c r="C24">
        <v>332.22</v>
      </c>
      <c r="D24">
        <v>6650</v>
      </c>
      <c r="E24">
        <f>ROUND(D24/C24*10000,0)</f>
        <v>200169</v>
      </c>
      <c r="F24">
        <v>218</v>
      </c>
      <c r="G24" s="3450" t="s">
        <v>3429</v>
      </c>
    </row>
    <row r="25" spans="1:7">
      <c r="A25" s="3450" t="s">
        <v>3413</v>
      </c>
      <c r="B25" s="3450" t="s">
        <v>3431</v>
      </c>
      <c r="C25">
        <v>325.19</v>
      </c>
      <c r="D25">
        <v>6500</v>
      </c>
      <c r="E25">
        <f>ROUND(D25/C25*10000,0)</f>
        <v>199883</v>
      </c>
      <c r="F25">
        <v>228</v>
      </c>
      <c r="G25" s="3450" t="s">
        <v>3429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160.19999999999999</v>
      </c>
      <c r="C4" s="854">
        <f>项目基本情况!C18</f>
        <v>292.20999999999998</v>
      </c>
      <c r="D4" s="854">
        <f>结果表!D118</f>
        <v>0</v>
      </c>
      <c r="E4" s="854">
        <f>结果表!E118</f>
        <v>0</v>
      </c>
      <c r="F4" s="854">
        <f>结果表!F118</f>
        <v>0</v>
      </c>
      <c r="G4" s="854">
        <f>结果表!G118</f>
        <v>0</v>
      </c>
      <c r="H4" s="854">
        <f ca="1">结果表!H118</f>
        <v>3522</v>
      </c>
      <c r="I4" s="854">
        <f ca="1">结果表!I118</f>
        <v>219881</v>
      </c>
    </row>
    <row r="5" spans="1:9" ht="30" customHeight="1">
      <c r="A5" s="3478" t="s">
        <v>927</v>
      </c>
      <c r="B5" s="3478"/>
      <c r="C5" s="3478"/>
      <c r="D5" s="3478" t="str">
        <f>结果表!D119</f>
        <v>零元整</v>
      </c>
      <c r="E5" s="3478"/>
      <c r="F5" s="3478" t="str">
        <f>结果表!F119</f>
        <v>零元整</v>
      </c>
      <c r="G5" s="3478"/>
      <c r="H5" s="3478" t="str">
        <f ca="1">结果表!H119</f>
        <v>叁仟伍佰贰拾贰万元整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3522</v>
      </c>
      <c r="E8" s="3477"/>
      <c r="F8" s="3477"/>
      <c r="G8" s="3477"/>
      <c r="H8" s="3477"/>
      <c r="I8" s="3477"/>
    </row>
    <row r="9" spans="1:9" ht="15">
      <c r="A9" s="3478" t="s">
        <v>927</v>
      </c>
      <c r="B9" s="3478"/>
      <c r="C9" s="3478"/>
      <c r="D9" s="3478" t="str">
        <f ca="1">结果表!D123</f>
        <v>叁仟伍佰贰拾贰万元整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45103</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市场案例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2023-06-26T05:53:33Z</dcterms:modified>
</cp:coreProperties>
</file>